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152A85FF-3ED0-400C-9094-4B43694CFD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earch dat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1" i="2" l="1"/>
  <c r="AH21" i="2"/>
  <c r="AI21" i="2" s="1"/>
  <c r="AF21" i="2"/>
  <c r="AG21" i="2" s="1"/>
  <c r="AD21" i="2"/>
  <c r="AE21" i="2" s="1"/>
  <c r="H21" i="2"/>
  <c r="I21" i="2" s="1"/>
  <c r="J21" i="2" s="1"/>
  <c r="K21" i="2" s="1"/>
  <c r="AO20" i="2"/>
  <c r="AP20" i="2" s="1"/>
  <c r="AM20" i="2"/>
  <c r="AN20" i="2" s="1"/>
  <c r="AK20" i="2"/>
  <c r="AL20" i="2" s="1"/>
  <c r="AJ20" i="2"/>
  <c r="AH20" i="2"/>
  <c r="AI20" i="2" s="1"/>
  <c r="AG20" i="2"/>
  <c r="AF20" i="2"/>
  <c r="AE20" i="2"/>
  <c r="AB20" i="2"/>
  <c r="AC20" i="2" s="1"/>
  <c r="Z20" i="2"/>
  <c r="AA20" i="2" s="1"/>
  <c r="X20" i="2"/>
  <c r="Y20" i="2" s="1"/>
  <c r="V20" i="2"/>
  <c r="W20" i="2" s="1"/>
  <c r="T20" i="2"/>
  <c r="U20" i="2" s="1"/>
  <c r="P20" i="2"/>
  <c r="R20" i="2" s="1"/>
  <c r="L20" i="2"/>
  <c r="L21" i="2" s="1"/>
  <c r="I20" i="2"/>
  <c r="J20" i="2" s="1"/>
  <c r="K20" i="2" s="1"/>
  <c r="E20" i="2"/>
  <c r="D20" i="2"/>
  <c r="C20" i="2"/>
  <c r="F20" i="2" s="1"/>
  <c r="G20" i="2" s="1"/>
  <c r="B20" i="2"/>
  <c r="AO19" i="2"/>
  <c r="AO21" i="2" s="1"/>
  <c r="AP21" i="2" s="1"/>
  <c r="AM19" i="2"/>
  <c r="AM21" i="2" s="1"/>
  <c r="AN21" i="2" s="1"/>
  <c r="AK19" i="2"/>
  <c r="AK21" i="2" s="1"/>
  <c r="AL21" i="2" s="1"/>
  <c r="AJ19" i="2"/>
  <c r="AH19" i="2"/>
  <c r="AI19" i="2" s="1"/>
  <c r="AG19" i="2"/>
  <c r="AF19" i="2"/>
  <c r="AE19" i="2"/>
  <c r="AB19" i="2"/>
  <c r="AB21" i="2" s="1"/>
  <c r="AC21" i="2" s="1"/>
  <c r="Z19" i="2"/>
  <c r="AA19" i="2" s="1"/>
  <c r="X19" i="2"/>
  <c r="Y19" i="2" s="1"/>
  <c r="V19" i="2"/>
  <c r="W19" i="2" s="1"/>
  <c r="T19" i="2"/>
  <c r="T21" i="2" s="1"/>
  <c r="U21" i="2" s="1"/>
  <c r="R19" i="2"/>
  <c r="Q19" i="2"/>
  <c r="S19" i="2" s="1"/>
  <c r="L19" i="2"/>
  <c r="N19" i="2" s="1"/>
  <c r="I19" i="2"/>
  <c r="J19" i="2" s="1"/>
  <c r="K19" i="2" s="1"/>
  <c r="B19" i="2"/>
  <c r="E19" i="2" s="1"/>
  <c r="AM18" i="2"/>
  <c r="AN18" i="2" s="1"/>
  <c r="AI18" i="2"/>
  <c r="AH18" i="2"/>
  <c r="AE18" i="2"/>
  <c r="AD18" i="2"/>
  <c r="P18" i="2"/>
  <c r="R18" i="2" s="1"/>
  <c r="L18" i="2"/>
  <c r="N18" i="2" s="1"/>
  <c r="I18" i="2"/>
  <c r="J18" i="2" s="1"/>
  <c r="K18" i="2" s="1"/>
  <c r="B18" i="2"/>
  <c r="E18" i="2" s="1"/>
  <c r="AQ17" i="2"/>
  <c r="AQ19" i="2" s="1"/>
  <c r="AQ21" i="2" s="1"/>
  <c r="AO17" i="2"/>
  <c r="AO18" i="2" s="1"/>
  <c r="AP18" i="2" s="1"/>
  <c r="AN17" i="2"/>
  <c r="AM17" i="2"/>
  <c r="AJ17" i="2"/>
  <c r="AI17" i="2"/>
  <c r="AH17" i="2"/>
  <c r="AF17" i="2"/>
  <c r="AF18" i="2" s="1"/>
  <c r="AG18" i="2" s="1"/>
  <c r="AE17" i="2"/>
  <c r="AB17" i="2"/>
  <c r="AC17" i="2" s="1"/>
  <c r="AA17" i="2"/>
  <c r="Z17" i="2"/>
  <c r="Z18" i="2" s="1"/>
  <c r="AA18" i="2" s="1"/>
  <c r="X17" i="2"/>
  <c r="Y17" i="2" s="1"/>
  <c r="W17" i="2"/>
  <c r="V17" i="2"/>
  <c r="V18" i="2" s="1"/>
  <c r="W18" i="2" s="1"/>
  <c r="T17" i="2"/>
  <c r="U17" i="2" s="1"/>
  <c r="S17" i="2"/>
  <c r="R17" i="2"/>
  <c r="Q17" i="2"/>
  <c r="N17" i="2"/>
  <c r="O17" i="2" s="1"/>
  <c r="M17" i="2"/>
  <c r="L17" i="2"/>
  <c r="J17" i="2"/>
  <c r="K17" i="2" s="1"/>
  <c r="I17" i="2"/>
  <c r="E17" i="2"/>
  <c r="B17" i="2"/>
  <c r="D17" i="2" s="1"/>
  <c r="V2" i="2"/>
  <c r="B2" i="2"/>
  <c r="L5" i="2"/>
  <c r="L4" i="2"/>
  <c r="AJ2" i="2"/>
  <c r="N21" i="2" l="1"/>
  <c r="M21" i="2"/>
  <c r="O21" i="2" s="1"/>
  <c r="P21" i="2"/>
  <c r="X21" i="2"/>
  <c r="Y21" i="2" s="1"/>
  <c r="AG17" i="2"/>
  <c r="AK17" i="2"/>
  <c r="C18" i="2"/>
  <c r="F18" i="2" s="1"/>
  <c r="G18" i="2" s="1"/>
  <c r="T18" i="2"/>
  <c r="U18" i="2" s="1"/>
  <c r="X18" i="2"/>
  <c r="Y18" i="2" s="1"/>
  <c r="AB18" i="2"/>
  <c r="AC18" i="2" s="1"/>
  <c r="C19" i="2"/>
  <c r="U19" i="2"/>
  <c r="AC19" i="2"/>
  <c r="AL19" i="2"/>
  <c r="AP19" i="2"/>
  <c r="M20" i="2"/>
  <c r="Q20" i="2"/>
  <c r="S20" i="2" s="1"/>
  <c r="C17" i="2"/>
  <c r="F17" i="2" s="1"/>
  <c r="G17" i="2" s="1"/>
  <c r="AP17" i="2"/>
  <c r="D18" i="2"/>
  <c r="M18" i="2"/>
  <c r="O18" i="2" s="1"/>
  <c r="Q18" i="2"/>
  <c r="S18" i="2" s="1"/>
  <c r="D19" i="2"/>
  <c r="M19" i="2"/>
  <c r="O19" i="2" s="1"/>
  <c r="N20" i="2"/>
  <c r="B21" i="2"/>
  <c r="V21" i="2"/>
  <c r="W21" i="2" s="1"/>
  <c r="Z21" i="2"/>
  <c r="AA21" i="2" s="1"/>
  <c r="AN19" i="2"/>
  <c r="L6" i="2"/>
  <c r="M6" i="2" s="1"/>
  <c r="AQ2" i="2"/>
  <c r="AQ4" i="2" s="1"/>
  <c r="AH6" i="2"/>
  <c r="AI6" i="2" s="1"/>
  <c r="AD6" i="2"/>
  <c r="AE6" i="2" s="1"/>
  <c r="H6" i="2"/>
  <c r="I6" i="2" s="1"/>
  <c r="J6" i="2" s="1"/>
  <c r="K6" i="2" s="1"/>
  <c r="AO5" i="2"/>
  <c r="AP5" i="2" s="1"/>
  <c r="AM5" i="2"/>
  <c r="AN5" i="2" s="1"/>
  <c r="AJ5" i="2"/>
  <c r="AK5" i="2" s="1"/>
  <c r="AL5" i="2" s="1"/>
  <c r="AH5" i="2"/>
  <c r="AI5" i="2" s="1"/>
  <c r="AF5" i="2"/>
  <c r="AG5" i="2" s="1"/>
  <c r="AE5" i="2"/>
  <c r="AB5" i="2"/>
  <c r="AC5" i="2" s="1"/>
  <c r="Z5" i="2"/>
  <c r="AA5" i="2" s="1"/>
  <c r="X5" i="2"/>
  <c r="Y5" i="2" s="1"/>
  <c r="V5" i="2"/>
  <c r="W5" i="2" s="1"/>
  <c r="T5" i="2"/>
  <c r="U5" i="2" s="1"/>
  <c r="P5" i="2"/>
  <c r="Q5" i="2" s="1"/>
  <c r="N5" i="2"/>
  <c r="M5" i="2"/>
  <c r="I5" i="2"/>
  <c r="J5" i="2" s="1"/>
  <c r="K5" i="2" s="1"/>
  <c r="B5" i="2"/>
  <c r="E5" i="2" s="1"/>
  <c r="AO4" i="2"/>
  <c r="AM4" i="2"/>
  <c r="AM6" i="2" s="1"/>
  <c r="AN6" i="2" s="1"/>
  <c r="AJ4" i="2"/>
  <c r="AJ6" i="2" s="1"/>
  <c r="AH4" i="2"/>
  <c r="AI4" i="2" s="1"/>
  <c r="AF4" i="2"/>
  <c r="AE4" i="2"/>
  <c r="AB4" i="2"/>
  <c r="AB6" i="2" s="1"/>
  <c r="AC6" i="2" s="1"/>
  <c r="Z4" i="2"/>
  <c r="X4" i="2"/>
  <c r="X6" i="2" s="1"/>
  <c r="Y6" i="2" s="1"/>
  <c r="V4" i="2"/>
  <c r="W4" i="2" s="1"/>
  <c r="T4" i="2"/>
  <c r="R4" i="2"/>
  <c r="Q4" i="2"/>
  <c r="N4" i="2"/>
  <c r="M4" i="2"/>
  <c r="I4" i="2"/>
  <c r="J4" i="2" s="1"/>
  <c r="K4" i="2" s="1"/>
  <c r="B4" i="2"/>
  <c r="C4" i="2" s="1"/>
  <c r="AH3" i="2"/>
  <c r="AI3" i="2" s="1"/>
  <c r="AD3" i="2"/>
  <c r="AE3" i="2" s="1"/>
  <c r="V3" i="2"/>
  <c r="W3" i="2" s="1"/>
  <c r="P3" i="2"/>
  <c r="Q3" i="2" s="1"/>
  <c r="H3" i="2"/>
  <c r="I3" i="2" s="1"/>
  <c r="J3" i="2" s="1"/>
  <c r="K3" i="2" s="1"/>
  <c r="B3" i="2"/>
  <c r="D3" i="2" s="1"/>
  <c r="AO2" i="2"/>
  <c r="AO3" i="2" s="1"/>
  <c r="AP3" i="2" s="1"/>
  <c r="AM2" i="2"/>
  <c r="AM3" i="2" s="1"/>
  <c r="AN3" i="2" s="1"/>
  <c r="AK2" i="2"/>
  <c r="AK3" i="2" s="1"/>
  <c r="AL3" i="2" s="1"/>
  <c r="AH2" i="2"/>
  <c r="AI2" i="2" s="1"/>
  <c r="AF2" i="2"/>
  <c r="AG2" i="2" s="1"/>
  <c r="AE2" i="2"/>
  <c r="AB2" i="2"/>
  <c r="AB3" i="2" s="1"/>
  <c r="AC3" i="2" s="1"/>
  <c r="Z2" i="2"/>
  <c r="Z3" i="2" s="1"/>
  <c r="AA3" i="2" s="1"/>
  <c r="X2" i="2"/>
  <c r="X3" i="2" s="1"/>
  <c r="Y3" i="2" s="1"/>
  <c r="W2" i="2"/>
  <c r="T2" i="2"/>
  <c r="T3" i="2" s="1"/>
  <c r="U3" i="2" s="1"/>
  <c r="R2" i="2"/>
  <c r="Q2" i="2"/>
  <c r="L2" i="2"/>
  <c r="L3" i="2" s="1"/>
  <c r="I2" i="2"/>
  <c r="J2" i="2" s="1"/>
  <c r="K2" i="2" s="1"/>
  <c r="E2" i="2"/>
  <c r="D2" i="2"/>
  <c r="C2" i="2"/>
  <c r="F19" i="2" l="1"/>
  <c r="G19" i="2" s="1"/>
  <c r="R21" i="2"/>
  <c r="Q21" i="2"/>
  <c r="S21" i="2" s="1"/>
  <c r="C21" i="2"/>
  <c r="D21" i="2"/>
  <c r="E21" i="2"/>
  <c r="AK18" i="2"/>
  <c r="AL18" i="2" s="1"/>
  <c r="AL17" i="2"/>
  <c r="O20" i="2"/>
  <c r="E3" i="2"/>
  <c r="F2" i="2"/>
  <c r="G2" i="2" s="1"/>
  <c r="S2" i="2"/>
  <c r="R3" i="2"/>
  <c r="S3" i="2" s="1"/>
  <c r="U2" i="2"/>
  <c r="AA2" i="2"/>
  <c r="C5" i="2"/>
  <c r="AP2" i="2"/>
  <c r="T6" i="2"/>
  <c r="U6" i="2" s="1"/>
  <c r="Z6" i="2"/>
  <c r="AA6" i="2" s="1"/>
  <c r="AF6" i="2"/>
  <c r="AG6" i="2" s="1"/>
  <c r="AN4" i="2"/>
  <c r="D5" i="2"/>
  <c r="AL2" i="2"/>
  <c r="V6" i="2"/>
  <c r="W6" i="2" s="1"/>
  <c r="AA4" i="2"/>
  <c r="AO6" i="2"/>
  <c r="AP6" i="2" s="1"/>
  <c r="R5" i="2"/>
  <c r="S5" i="2" s="1"/>
  <c r="N3" i="2"/>
  <c r="M3" i="2"/>
  <c r="N2" i="2"/>
  <c r="Y2" i="2"/>
  <c r="AC2" i="2"/>
  <c r="AN2" i="2"/>
  <c r="C3" i="2"/>
  <c r="F3" i="2" s="1"/>
  <c r="G3" i="2" s="1"/>
  <c r="AF3" i="2"/>
  <c r="AG3" i="2" s="1"/>
  <c r="D4" i="2"/>
  <c r="U4" i="2"/>
  <c r="Y4" i="2"/>
  <c r="AC4" i="2"/>
  <c r="AP4" i="2"/>
  <c r="P6" i="2"/>
  <c r="M2" i="2"/>
  <c r="E4" i="2"/>
  <c r="S4" i="2"/>
  <c r="B6" i="2"/>
  <c r="AG4" i="2"/>
  <c r="AK4" i="2"/>
  <c r="O4" i="2"/>
  <c r="O5" i="2"/>
  <c r="N6" i="2"/>
  <c r="O6" i="2" s="1"/>
  <c r="AQ6" i="2"/>
  <c r="F21" i="2" l="1"/>
  <c r="G21" i="2" s="1"/>
  <c r="F5" i="2"/>
  <c r="G5" i="2" s="1"/>
  <c r="O2" i="2"/>
  <c r="F4" i="2"/>
  <c r="G4" i="2" s="1"/>
  <c r="O3" i="2"/>
  <c r="AK6" i="2"/>
  <c r="AL6" i="2" s="1"/>
  <c r="AL4" i="2"/>
  <c r="R6" i="2"/>
  <c r="Q6" i="2"/>
  <c r="D6" i="2"/>
  <c r="C6" i="2"/>
  <c r="E6" i="2"/>
  <c r="F6" i="2" l="1"/>
  <c r="G6" i="2" s="1"/>
  <c r="S6" i="2"/>
  <c r="AJ3" i="2"/>
  <c r="AJ18" i="2"/>
</calcChain>
</file>

<file path=xl/sharedStrings.xml><?xml version="1.0" encoding="utf-8"?>
<sst xmlns="http://schemas.openxmlformats.org/spreadsheetml/2006/main" count="153" uniqueCount="77">
  <si>
    <t xml:space="preserve">Total monocultivo </t>
  </si>
  <si>
    <t xml:space="preserve">Total consórcio </t>
  </si>
  <si>
    <t>Diesel (L)</t>
  </si>
  <si>
    <t>Energia elétrica (kwh)</t>
  </si>
  <si>
    <t>Calagem (kg)</t>
  </si>
  <si>
    <t>N (NH4NO3) fabricação (kg)</t>
  </si>
  <si>
    <t>K2O (KCL) fabricação (kg)</t>
  </si>
  <si>
    <t>P2O5 (SS) fabricação (kg)</t>
  </si>
  <si>
    <t>N sintético (kg)</t>
  </si>
  <si>
    <t>Esterco bovino (kg)</t>
  </si>
  <si>
    <t>N2O aplicação de N</t>
  </si>
  <si>
    <t xml:space="preserve">N2O lixiviação </t>
  </si>
  <si>
    <t>N2O volatilização</t>
  </si>
  <si>
    <t>Total N2O emitido (kg)</t>
  </si>
  <si>
    <t>N2O emitido (kg) - N aplicado</t>
  </si>
  <si>
    <t>N2O emitido (kg) - N lixiviado</t>
  </si>
  <si>
    <t>N2O emitido (kg) - N volatilizado</t>
  </si>
  <si>
    <t>Fator (kg N2O / kg de N)</t>
  </si>
  <si>
    <t xml:space="preserve">Fatores de emissão - N sintético </t>
  </si>
  <si>
    <t>CO2 direto emitido (kg) - calagem</t>
  </si>
  <si>
    <t>CO2 indireto emitido (kg) - calagem</t>
  </si>
  <si>
    <t xml:space="preserve">CO2 fabricação de NH4NO3 (kg) </t>
  </si>
  <si>
    <t>Fator de emissão fabricação de N (kg CO2/kg de N)</t>
  </si>
  <si>
    <t xml:space="preserve">CO2 fabricação de K2O (kg) </t>
  </si>
  <si>
    <t xml:space="preserve">CO2 fabricação de P2O5 (kg) </t>
  </si>
  <si>
    <t>Fator de emissão fabricação de K2O (kg CO2/kg de K2O)</t>
  </si>
  <si>
    <t>Fator de emissão fabricação P2O5 (kg CO2/kg de P2O5)</t>
  </si>
  <si>
    <t>Fator de emissão indireta calagem (kg CO2/kg de calcario)</t>
  </si>
  <si>
    <t>Fator de emissão direta calagem (kg CO2/ kg de calcario)</t>
  </si>
  <si>
    <t>Fator (kg N / kg de N no esterco)</t>
  </si>
  <si>
    <t xml:space="preserve">CO2 fabricação de Fungicida (kg) </t>
  </si>
  <si>
    <t xml:space="preserve">CO2 fabricação de Inseticida (kg) </t>
  </si>
  <si>
    <t>Fator de emissão fabricação (kg CO2/kg fungicida)</t>
  </si>
  <si>
    <t>Fator de emissão fabricação (kg CO2/kg de inseticida)</t>
  </si>
  <si>
    <t xml:space="preserve">CO2 emissão direta diesel (kg) </t>
  </si>
  <si>
    <t xml:space="preserve">Fator de emissão direta (kg CO2/L de diesel) </t>
  </si>
  <si>
    <t xml:space="preserve">Fator de emissão indireta (kg CO2 eq./L diesel) </t>
  </si>
  <si>
    <t xml:space="preserve">CO2 emissão indireta diesel  (kg) </t>
  </si>
  <si>
    <t>Total CO2eq emitido (kg)</t>
  </si>
  <si>
    <t xml:space="preserve">CO2 fabricação do Plástico por ano (kg) </t>
  </si>
  <si>
    <t xml:space="preserve">N2O emitido esterco (kg) </t>
  </si>
  <si>
    <t>Total de N no esterco (kg)</t>
  </si>
  <si>
    <t>Total CO2eq diesel (kg)</t>
  </si>
  <si>
    <t>Total CO2 calagem (kg)</t>
  </si>
  <si>
    <t>Fator de emissão fabricação (kg CO2/kWh)</t>
  </si>
  <si>
    <t xml:space="preserve">Total CO2 emitido energia (kg) </t>
  </si>
  <si>
    <t xml:space="preserve">CO2 fabricação de tubos por ano (kg) </t>
  </si>
  <si>
    <t>Fator de emissão fabricação (kg CO2/kg polyetileno)</t>
  </si>
  <si>
    <t>Cref</t>
  </si>
  <si>
    <t>Fi</t>
  </si>
  <si>
    <t>Fmg</t>
  </si>
  <si>
    <t>C/CO2</t>
  </si>
  <si>
    <t xml:space="preserve">Carbono no solo (t/ha/20anos) </t>
  </si>
  <si>
    <t>C/CO2 (t/ha/20anos)</t>
  </si>
  <si>
    <t>Couve+Espinafre</t>
  </si>
  <si>
    <t>Espinafre</t>
  </si>
  <si>
    <t>Couve</t>
  </si>
  <si>
    <t>Almeirão</t>
  </si>
  <si>
    <t xml:space="preserve">Bandejas para mudas  (kg) </t>
  </si>
  <si>
    <t>Fator de emissão fabricação (kg CO2/kg PLBD)</t>
  </si>
  <si>
    <t xml:space="preserve">Tubos PVC (kg/ano) </t>
  </si>
  <si>
    <t xml:space="preserve">CO2 fabricação de PVC por ano (kg) </t>
  </si>
  <si>
    <t xml:space="preserve">Aspersores (kg/ano) </t>
  </si>
  <si>
    <t>Fator de emissão fabricação (kg CO2/kg PVC)</t>
  </si>
  <si>
    <t>Total por ano (t/ha/ano)</t>
  </si>
  <si>
    <t>Couve+Almeirão</t>
  </si>
  <si>
    <t xml:space="preserve">Fungicida (kg) </t>
  </si>
  <si>
    <t xml:space="preserve">Inseticida (L) </t>
  </si>
  <si>
    <t>Total de ferro por ano (kg)</t>
  </si>
  <si>
    <t xml:space="preserve">Ferro  casa de vegetação (kg) </t>
  </si>
  <si>
    <t xml:space="preserve">CO2 fabricação de ferro por ano (kg) </t>
  </si>
  <si>
    <t>Fator de emissão fabricação (kg CO2/kg plastico)</t>
  </si>
  <si>
    <t>Fator de emissão fabricação (kg CO2/kg ferro)</t>
  </si>
  <si>
    <t xml:space="preserve">Plástico casa de vegetação (kg/mês) </t>
  </si>
  <si>
    <t>Flu</t>
  </si>
  <si>
    <t>SOC</t>
  </si>
  <si>
    <t xml:space="preserve">Cenários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</si>
</sst>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8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6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6" borderId="0" xfId="0" applyFont="1" applyFill="1" applyBorder="1"/>
    <xf numFmtId="0" fontId="4" fillId="0" borderId="0" xfId="0" applyFont="1" applyBorder="1" applyAlignment="1">
      <alignment horizontal="center"/>
    </xf>
    <xf numFmtId="0" fontId="5" fillId="6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6" borderId="0" xfId="0" applyFont="1" applyFill="1" applyBorder="1" applyAlignment="1">
      <alignment horizontal="center" vertical="center" wrapText="1"/>
    </xf>
    <xf numFmtId="2" fontId="0" fillId="0" borderId="0" xfId="0" applyNumberForma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3" borderId="1" xfId="0" applyFont="1" applyFill="1" applyBorder="1"/>
    <xf numFmtId="0" fontId="3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0" applyFont="1"/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2" fontId="8" fillId="0" borderId="1" xfId="0" applyNumberFormat="1" applyFont="1" applyBorder="1"/>
    <xf numFmtId="0" fontId="8" fillId="0" borderId="1" xfId="0" applyFont="1" applyBorder="1"/>
    <xf numFmtId="0" fontId="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/>
    <xf numFmtId="2" fontId="7" fillId="6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/>
    <xf numFmtId="164" fontId="3" fillId="0" borderId="0" xfId="0" applyNumberFormat="1" applyFont="1" applyFill="1" applyBorder="1"/>
    <xf numFmtId="165" fontId="10" fillId="0" borderId="1" xfId="0" applyNumberFormat="1" applyFont="1" applyBorder="1"/>
    <xf numFmtId="165" fontId="11" fillId="2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center"/>
    </xf>
    <xf numFmtId="165" fontId="3" fillId="6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0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4.4" x14ac:dyDescent="0.3"/>
  <cols>
    <col min="1" max="1" width="25.5546875" bestFit="1" customWidth="1"/>
    <col min="2" max="2" width="18.88671875" customWidth="1"/>
    <col min="3" max="3" width="16.6640625" bestFit="1" customWidth="1"/>
    <col min="4" max="4" width="20.33203125" customWidth="1"/>
    <col min="5" max="5" width="17.5546875" bestFit="1" customWidth="1"/>
    <col min="6" max="7" width="18.6640625" customWidth="1"/>
    <col min="8" max="8" width="17.21875" customWidth="1"/>
    <col min="9" max="9" width="15.88671875" customWidth="1"/>
    <col min="10" max="10" width="17.33203125" customWidth="1"/>
    <col min="11" max="11" width="20.33203125" customWidth="1"/>
    <col min="12" max="12" width="21" customWidth="1"/>
    <col min="13" max="13" width="20.6640625" customWidth="1"/>
    <col min="14" max="14" width="19.33203125" bestFit="1" customWidth="1"/>
    <col min="15" max="15" width="24.21875" customWidth="1"/>
    <col min="16" max="16" width="23.77734375" customWidth="1"/>
    <col min="17" max="17" width="20.6640625" bestFit="1" customWidth="1"/>
    <col min="18" max="18" width="20.88671875" bestFit="1" customWidth="1"/>
    <col min="19" max="20" width="20.33203125" bestFit="1" customWidth="1"/>
    <col min="21" max="21" width="20.44140625" customWidth="1"/>
    <col min="22" max="22" width="17" customWidth="1"/>
    <col min="23" max="23" width="18.88671875" customWidth="1"/>
    <col min="24" max="24" width="16.5546875" bestFit="1" customWidth="1"/>
    <col min="25" max="25" width="20.88671875" bestFit="1" customWidth="1"/>
    <col min="26" max="26" width="14.44140625" bestFit="1" customWidth="1"/>
    <col min="27" max="27" width="18.44140625" customWidth="1"/>
    <col min="28" max="28" width="11.21875" bestFit="1" customWidth="1"/>
    <col min="29" max="29" width="21.21875" customWidth="1"/>
    <col min="30" max="30" width="14.109375" bestFit="1" customWidth="1"/>
    <col min="31" max="31" width="18.5546875" customWidth="1"/>
    <col min="32" max="32" width="15.88671875" bestFit="1" customWidth="1"/>
    <col min="33" max="33" width="20.5546875" bestFit="1" customWidth="1"/>
    <col min="34" max="38" width="20.5546875" customWidth="1"/>
    <col min="39" max="39" width="19.6640625" bestFit="1" customWidth="1"/>
    <col min="40" max="40" width="18.77734375" bestFit="1" customWidth="1"/>
    <col min="41" max="41" width="19.6640625" bestFit="1" customWidth="1"/>
    <col min="42" max="42" width="20.21875" bestFit="1" customWidth="1"/>
    <col min="43" max="43" width="22.21875" bestFit="1" customWidth="1"/>
  </cols>
  <sheetData>
    <row r="1" spans="1:44" ht="31.2" customHeight="1" x14ac:dyDescent="0.3">
      <c r="A1" s="28" t="s">
        <v>76</v>
      </c>
      <c r="B1" s="3" t="s">
        <v>8</v>
      </c>
      <c r="C1" s="19" t="s">
        <v>14</v>
      </c>
      <c r="D1" s="19" t="s">
        <v>15</v>
      </c>
      <c r="E1" s="19" t="s">
        <v>16</v>
      </c>
      <c r="F1" s="13" t="s">
        <v>13</v>
      </c>
      <c r="G1" s="13" t="s">
        <v>38</v>
      </c>
      <c r="H1" s="3" t="s">
        <v>9</v>
      </c>
      <c r="I1" s="3" t="s">
        <v>41</v>
      </c>
      <c r="J1" s="19" t="s">
        <v>40</v>
      </c>
      <c r="K1" s="13" t="s">
        <v>38</v>
      </c>
      <c r="L1" s="2" t="s">
        <v>2</v>
      </c>
      <c r="M1" s="19" t="s">
        <v>34</v>
      </c>
      <c r="N1" s="19" t="s">
        <v>37</v>
      </c>
      <c r="O1" s="13" t="s">
        <v>42</v>
      </c>
      <c r="P1" s="3" t="s">
        <v>4</v>
      </c>
      <c r="Q1" s="19" t="s">
        <v>19</v>
      </c>
      <c r="R1" s="19" t="s">
        <v>20</v>
      </c>
      <c r="S1" s="13" t="s">
        <v>43</v>
      </c>
      <c r="T1" s="3" t="s">
        <v>5</v>
      </c>
      <c r="U1" s="19" t="s">
        <v>21</v>
      </c>
      <c r="V1" s="3" t="s">
        <v>6</v>
      </c>
      <c r="W1" s="19" t="s">
        <v>23</v>
      </c>
      <c r="X1" s="3" t="s">
        <v>7</v>
      </c>
      <c r="Y1" s="19" t="s">
        <v>24</v>
      </c>
      <c r="Z1" s="3" t="s">
        <v>66</v>
      </c>
      <c r="AA1" s="19" t="s">
        <v>30</v>
      </c>
      <c r="AB1" s="3" t="s">
        <v>67</v>
      </c>
      <c r="AC1" s="19" t="s">
        <v>31</v>
      </c>
      <c r="AD1" s="3" t="s">
        <v>3</v>
      </c>
      <c r="AE1" s="19" t="s">
        <v>45</v>
      </c>
      <c r="AF1" s="3" t="s">
        <v>58</v>
      </c>
      <c r="AG1" s="19" t="s">
        <v>39</v>
      </c>
      <c r="AH1" s="55" t="s">
        <v>73</v>
      </c>
      <c r="AI1" s="64" t="s">
        <v>39</v>
      </c>
      <c r="AJ1" s="55" t="s">
        <v>69</v>
      </c>
      <c r="AK1" s="55" t="s">
        <v>68</v>
      </c>
      <c r="AL1" s="64" t="s">
        <v>70</v>
      </c>
      <c r="AM1" s="3" t="s">
        <v>60</v>
      </c>
      <c r="AN1" s="19" t="s">
        <v>61</v>
      </c>
      <c r="AO1" s="3" t="s">
        <v>62</v>
      </c>
      <c r="AP1" s="19" t="s">
        <v>46</v>
      </c>
      <c r="AQ1" s="55" t="s">
        <v>52</v>
      </c>
    </row>
    <row r="2" spans="1:44" ht="15.6" x14ac:dyDescent="0.3">
      <c r="A2" s="6" t="s">
        <v>54</v>
      </c>
      <c r="B2" s="4">
        <f>230+(60*2)</f>
        <v>350</v>
      </c>
      <c r="C2" s="14">
        <f>B2*$C$10</f>
        <v>3.5</v>
      </c>
      <c r="D2" s="14">
        <f>B2*$C$11</f>
        <v>0.35000000000000003</v>
      </c>
      <c r="E2" s="14">
        <f>B2*$C$12</f>
        <v>0.78749999999999998</v>
      </c>
      <c r="F2" s="14">
        <f>SUM(C2:E2)</f>
        <v>4.6375000000000002</v>
      </c>
      <c r="G2" s="14">
        <f>F2*265</f>
        <v>1228.9375</v>
      </c>
      <c r="H2" s="4">
        <v>40000</v>
      </c>
      <c r="I2" s="4">
        <f>((H2*1.7)/100)</f>
        <v>680</v>
      </c>
      <c r="J2" s="4">
        <f>I2*$J$10</f>
        <v>0.68</v>
      </c>
      <c r="K2" s="4">
        <f>J2*265</f>
        <v>180.20000000000002</v>
      </c>
      <c r="L2" s="4">
        <f>(143+33)+((50/4)*3)</f>
        <v>213.5</v>
      </c>
      <c r="M2" s="4">
        <f>L2*$M$10</f>
        <v>555.7405</v>
      </c>
      <c r="N2" s="4">
        <f>L2*$N$10</f>
        <v>124.04349999999999</v>
      </c>
      <c r="O2" s="4">
        <f>SUM(M2:N2)</f>
        <v>679.78399999999999</v>
      </c>
      <c r="P2" s="4">
        <v>1500</v>
      </c>
      <c r="Q2" s="4">
        <f>P2*$Q$10</f>
        <v>195</v>
      </c>
      <c r="R2" s="4">
        <f>P2*$R$10</f>
        <v>150</v>
      </c>
      <c r="S2" s="4">
        <f>(SUM(Q2:R2))/3</f>
        <v>115</v>
      </c>
      <c r="T2" s="4">
        <f>230+(60*2)</f>
        <v>350</v>
      </c>
      <c r="U2" s="4">
        <f>T2*$U$10</f>
        <v>1389.5</v>
      </c>
      <c r="V2" s="4">
        <f>(120+100)+(30*2)</f>
        <v>280</v>
      </c>
      <c r="W2" s="4">
        <f>V2*$W$10</f>
        <v>198.79999999999998</v>
      </c>
      <c r="X2" s="4">
        <f>240+180</f>
        <v>420</v>
      </c>
      <c r="Y2" s="4">
        <f>X2*$Y$10</f>
        <v>546</v>
      </c>
      <c r="Z2" s="46">
        <f>4.8*2*0.02</f>
        <v>0.192</v>
      </c>
      <c r="AA2" s="46">
        <f>Z2*$AA$10</f>
        <v>5.4316800000000001</v>
      </c>
      <c r="AB2" s="46">
        <f>(0.6*2*0.1)+ (2.4*2*0.24)</f>
        <v>1.2719999999999998</v>
      </c>
      <c r="AC2" s="46">
        <f>AB2*$AC$10</f>
        <v>36.887999999999991</v>
      </c>
      <c r="AD2" s="46">
        <v>1093.95</v>
      </c>
      <c r="AE2" s="46">
        <f>AD2*$AE$10</f>
        <v>67.496714999999995</v>
      </c>
      <c r="AF2" s="46">
        <f xml:space="preserve"> ((200*1.1)+(417*1.1))/5</f>
        <v>135.74</v>
      </c>
      <c r="AG2" s="46">
        <f>((AF2*$AG$10)/3)</f>
        <v>81.444000000000003</v>
      </c>
      <c r="AH2" s="46">
        <f xml:space="preserve"> ((160)/36)*2</f>
        <v>8.8888888888888893</v>
      </c>
      <c r="AI2" s="46">
        <f>(AH2*$AI$10)</f>
        <v>46.044444444444444</v>
      </c>
      <c r="AJ2" s="46">
        <f>3500</f>
        <v>3500</v>
      </c>
      <c r="AK2" s="46">
        <f>(AJ2/480)*2</f>
        <v>14.583333333333334</v>
      </c>
      <c r="AL2" s="51">
        <f>AK2*$AL$10</f>
        <v>19.687500000000004</v>
      </c>
      <c r="AM2" s="51">
        <f>((600*0.9)+(100*2.56))/5</f>
        <v>159.19999999999999</v>
      </c>
      <c r="AN2" s="43">
        <f>AM2*$AN$10</f>
        <v>350.24</v>
      </c>
      <c r="AO2" s="51">
        <f>50*0.25/3</f>
        <v>4.166666666666667</v>
      </c>
      <c r="AP2" s="51">
        <f>AO2*$AP$10</f>
        <v>7.5000000000000009</v>
      </c>
      <c r="AQ2" s="73">
        <f>(AR10*AR11*AR12*AR13)-AR10</f>
        <v>-8.9832000000000001</v>
      </c>
    </row>
    <row r="3" spans="1:44" ht="15.6" x14ac:dyDescent="0.3">
      <c r="A3" s="7" t="s">
        <v>1</v>
      </c>
      <c r="B3" s="5">
        <f>SUM(B2:B2)</f>
        <v>350</v>
      </c>
      <c r="C3" s="20">
        <f>B3*$C$10</f>
        <v>3.5</v>
      </c>
      <c r="D3" s="20">
        <f>B3*$C$11</f>
        <v>0.35000000000000003</v>
      </c>
      <c r="E3" s="20">
        <f>B3*$C$12</f>
        <v>0.78749999999999998</v>
      </c>
      <c r="F3" s="20">
        <f>SUM(C3:E3)</f>
        <v>4.6375000000000002</v>
      </c>
      <c r="G3" s="20">
        <f>F3*265</f>
        <v>1228.9375</v>
      </c>
      <c r="H3" s="5">
        <f>SUM(H2)</f>
        <v>40000</v>
      </c>
      <c r="I3" s="5">
        <f>((H3*1.7)/100)</f>
        <v>680</v>
      </c>
      <c r="J3" s="5">
        <f>I3*$J$10</f>
        <v>0.68</v>
      </c>
      <c r="K3" s="5">
        <f>J3*265</f>
        <v>180.20000000000002</v>
      </c>
      <c r="L3" s="5">
        <f>SUM(L2:L2)</f>
        <v>213.5</v>
      </c>
      <c r="M3" s="5">
        <f>L3*$M$10</f>
        <v>555.7405</v>
      </c>
      <c r="N3" s="5">
        <f>L3*$N$10</f>
        <v>124.04349999999999</v>
      </c>
      <c r="O3" s="5">
        <f>SUM(M3:N3)</f>
        <v>679.78399999999999</v>
      </c>
      <c r="P3" s="5">
        <f>SUM(P2:P2)</f>
        <v>1500</v>
      </c>
      <c r="Q3" s="5">
        <f>P3*$Q$10</f>
        <v>195</v>
      </c>
      <c r="R3" s="5">
        <f>P3*$R$10</f>
        <v>150</v>
      </c>
      <c r="S3" s="5">
        <f t="shared" ref="S3:S6" si="0">(SUM(Q3:R3))/3</f>
        <v>115</v>
      </c>
      <c r="T3" s="5">
        <f>SUM(T2:T2)</f>
        <v>350</v>
      </c>
      <c r="U3" s="5">
        <f>T3*$U$10</f>
        <v>1389.5</v>
      </c>
      <c r="V3" s="5">
        <f>SUM(V2:V2)</f>
        <v>280</v>
      </c>
      <c r="W3" s="5">
        <f>V3*$W$10</f>
        <v>198.79999999999998</v>
      </c>
      <c r="X3" s="5">
        <f>SUM(X2:X2)</f>
        <v>420</v>
      </c>
      <c r="Y3" s="5">
        <f>X3*$Y$10</f>
        <v>546</v>
      </c>
      <c r="Z3" s="47">
        <f>SUM(Z2:Z2)</f>
        <v>0.192</v>
      </c>
      <c r="AA3" s="47">
        <f>Z3*$AA$10</f>
        <v>5.4316800000000001</v>
      </c>
      <c r="AB3" s="47">
        <f>SUM(AB2:AB2)</f>
        <v>1.2719999999999998</v>
      </c>
      <c r="AC3" s="47">
        <f>AB3*$AC$10</f>
        <v>36.887999999999991</v>
      </c>
      <c r="AD3" s="47">
        <f>SUM(AD2:AD2)</f>
        <v>1093.95</v>
      </c>
      <c r="AE3" s="47">
        <f>AD3*$AE$10</f>
        <v>67.496714999999995</v>
      </c>
      <c r="AF3" s="47">
        <f>SUM(AF2)</f>
        <v>135.74</v>
      </c>
      <c r="AG3" s="47">
        <f>((AF3*$AG$10)/3)</f>
        <v>81.444000000000003</v>
      </c>
      <c r="AH3" s="47">
        <f xml:space="preserve"> ((160)/36)*2</f>
        <v>8.8888888888888893</v>
      </c>
      <c r="AI3" s="47">
        <f>((AH3*$AI$10))</f>
        <v>46.044444444444444</v>
      </c>
      <c r="AJ3" s="47">
        <f ca="1">SUM(AJ2:AJ3)</f>
        <v>3500</v>
      </c>
      <c r="AK3" s="47">
        <f>SUM(AK2)</f>
        <v>14.583333333333334</v>
      </c>
      <c r="AL3" s="52">
        <f>AK3*$AL$10</f>
        <v>19.687500000000004</v>
      </c>
      <c r="AM3" s="52">
        <f>SUM(AM2:AM2)</f>
        <v>159.19999999999999</v>
      </c>
      <c r="AN3" s="53">
        <f>AM3*$AN$10</f>
        <v>350.24</v>
      </c>
      <c r="AO3" s="52">
        <f>SUM(AO2:AO2)</f>
        <v>4.166666666666667</v>
      </c>
      <c r="AP3" s="52">
        <f>AO3*$AP$10</f>
        <v>7.5000000000000009</v>
      </c>
      <c r="AQ3" s="74" t="s">
        <v>53</v>
      </c>
    </row>
    <row r="4" spans="1:44" ht="15.6" x14ac:dyDescent="0.3">
      <c r="A4" s="6" t="s">
        <v>56</v>
      </c>
      <c r="B4" s="4">
        <f>30+200</f>
        <v>230</v>
      </c>
      <c r="C4" s="14">
        <f>B4*$C$10</f>
        <v>2.3000000000000003</v>
      </c>
      <c r="D4" s="14">
        <f>B4*$C$11</f>
        <v>0.23</v>
      </c>
      <c r="E4" s="14">
        <f>B4*$C$12</f>
        <v>0.51749999999999996</v>
      </c>
      <c r="F4" s="14">
        <f>SUM(C4:E4)</f>
        <v>3.0475000000000003</v>
      </c>
      <c r="G4" s="14">
        <f>F4*265</f>
        <v>807.58750000000009</v>
      </c>
      <c r="H4" s="4">
        <v>40000</v>
      </c>
      <c r="I4" s="4">
        <f>((H4*1.7)/100)</f>
        <v>680</v>
      </c>
      <c r="J4" s="4">
        <f>I4*$J$10</f>
        <v>0.68</v>
      </c>
      <c r="K4" s="4">
        <f>J4*265</f>
        <v>180.20000000000002</v>
      </c>
      <c r="L4" s="4">
        <f>(143+((50/4)))</f>
        <v>155.5</v>
      </c>
      <c r="M4" s="4">
        <f>L4*$M$10</f>
        <v>404.76650000000001</v>
      </c>
      <c r="N4" s="4">
        <f>L4*$N$10</f>
        <v>90.345499999999987</v>
      </c>
      <c r="O4" s="4">
        <f>SUM(M4:N4)</f>
        <v>495.11199999999997</v>
      </c>
      <c r="P4" s="4">
        <v>1500</v>
      </c>
      <c r="Q4" s="4">
        <f>P4*$Q$10</f>
        <v>195</v>
      </c>
      <c r="R4" s="4">
        <f>P4*$R$10</f>
        <v>150</v>
      </c>
      <c r="S4" s="4">
        <f t="shared" si="0"/>
        <v>115</v>
      </c>
      <c r="T4" s="4">
        <f>30+200</f>
        <v>230</v>
      </c>
      <c r="U4" s="4">
        <f>T4*$U$10</f>
        <v>913.1</v>
      </c>
      <c r="V4" s="4">
        <f>(120+100)</f>
        <v>220</v>
      </c>
      <c r="W4" s="4">
        <f>V4*$W$10</f>
        <v>156.19999999999999</v>
      </c>
      <c r="X4" s="4">
        <f>240</f>
        <v>240</v>
      </c>
      <c r="Y4" s="4">
        <f>X4*$Y$10</f>
        <v>312</v>
      </c>
      <c r="Z4" s="46">
        <f>4.8*0.02</f>
        <v>9.6000000000000002E-2</v>
      </c>
      <c r="AA4" s="46">
        <f>Z4*$AA$10</f>
        <v>2.71584</v>
      </c>
      <c r="AB4" s="46">
        <f>(0.6*0.1)+ (2.4*0.24)</f>
        <v>0.6359999999999999</v>
      </c>
      <c r="AC4" s="46">
        <f>AB4*$AC$10</f>
        <v>18.443999999999996</v>
      </c>
      <c r="AD4" s="46">
        <v>1093.95</v>
      </c>
      <c r="AE4" s="46">
        <f>AD4*$AE$10</f>
        <v>67.496714999999995</v>
      </c>
      <c r="AF4" s="46">
        <f>(200*1.1)/5</f>
        <v>44.000000000000007</v>
      </c>
      <c r="AG4" s="46">
        <f>((AF4*$AG$10)/3)</f>
        <v>26.400000000000006</v>
      </c>
      <c r="AH4" s="46">
        <f xml:space="preserve"> ((160)/72)*2</f>
        <v>4.4444444444444446</v>
      </c>
      <c r="AI4" s="46">
        <f>((AH4*$AI$10))</f>
        <v>23.022222222222222</v>
      </c>
      <c r="AJ4" s="46">
        <f>3500/2</f>
        <v>1750</v>
      </c>
      <c r="AK4" s="46">
        <f>(AJ4/480)*2</f>
        <v>7.291666666666667</v>
      </c>
      <c r="AL4" s="51">
        <f>AK4*$AL$10</f>
        <v>9.8437500000000018</v>
      </c>
      <c r="AM4" s="51">
        <f>((600*0.9)+(100*2.56))/5</f>
        <v>159.19999999999999</v>
      </c>
      <c r="AN4" s="43">
        <f>AM4*$AN$10</f>
        <v>350.24</v>
      </c>
      <c r="AO4" s="51">
        <f>50*0.25/3</f>
        <v>4.166666666666667</v>
      </c>
      <c r="AP4" s="51">
        <f>AO4*$AP$10</f>
        <v>7.5000000000000009</v>
      </c>
      <c r="AQ4" s="73">
        <f>AQ2*AR14</f>
        <v>-32.968344000000002</v>
      </c>
    </row>
    <row r="5" spans="1:44" ht="15.6" x14ac:dyDescent="0.3">
      <c r="A5" s="6" t="s">
        <v>55</v>
      </c>
      <c r="B5" s="4">
        <f>(30+60)*2</f>
        <v>180</v>
      </c>
      <c r="C5" s="14">
        <f>B5*$C$10</f>
        <v>1.8</v>
      </c>
      <c r="D5" s="14">
        <f>B5*$C$11</f>
        <v>0.18</v>
      </c>
      <c r="E5" s="14">
        <f>B5*$C$12</f>
        <v>0.40499999999999997</v>
      </c>
      <c r="F5" s="14">
        <f>SUM(C5:E5)</f>
        <v>2.3849999999999998</v>
      </c>
      <c r="G5" s="14">
        <f>F5*265</f>
        <v>632.02499999999998</v>
      </c>
      <c r="H5" s="4">
        <v>40000</v>
      </c>
      <c r="I5" s="4">
        <f>((H5*1.7)/100)</f>
        <v>680</v>
      </c>
      <c r="J5" s="4">
        <f>I5*$J$10</f>
        <v>0.68</v>
      </c>
      <c r="K5" s="4">
        <f>J5*265</f>
        <v>180.20000000000002</v>
      </c>
      <c r="L5" s="4">
        <f>(143*2-55)+((50/4)*2)</f>
        <v>256</v>
      </c>
      <c r="M5" s="4">
        <f>L5*$M$10</f>
        <v>666.36800000000005</v>
      </c>
      <c r="N5" s="4">
        <f>L5*$N$10</f>
        <v>148.73599999999999</v>
      </c>
      <c r="O5" s="4">
        <f>SUM(M5:N5)</f>
        <v>815.10400000000004</v>
      </c>
      <c r="P5" s="4">
        <f>1500</f>
        <v>1500</v>
      </c>
      <c r="Q5" s="4">
        <f>P5*$Q$10</f>
        <v>195</v>
      </c>
      <c r="R5" s="4">
        <f>P5*$R$10</f>
        <v>150</v>
      </c>
      <c r="S5" s="4">
        <f t="shared" si="0"/>
        <v>115</v>
      </c>
      <c r="T5" s="4">
        <f>(30+60)*2</f>
        <v>180</v>
      </c>
      <c r="U5" s="4">
        <f>T5*$U$10</f>
        <v>714.6</v>
      </c>
      <c r="V5" s="4">
        <f>(60+30)*2</f>
        <v>180</v>
      </c>
      <c r="W5" s="4">
        <f>V5*$W$10</f>
        <v>127.8</v>
      </c>
      <c r="X5" s="4">
        <f>180*2</f>
        <v>360</v>
      </c>
      <c r="Y5" s="4">
        <f>X5*$Y$10</f>
        <v>468</v>
      </c>
      <c r="Z5" s="46">
        <f>4.8*2*0.02</f>
        <v>0.192</v>
      </c>
      <c r="AA5" s="46">
        <f>Z5*$AA$10</f>
        <v>5.4316800000000001</v>
      </c>
      <c r="AB5" s="46">
        <f>(0.6*2*0.1)+ (2.4*2*0.24)</f>
        <v>1.2719999999999998</v>
      </c>
      <c r="AC5" s="46">
        <f>AB5*$AC$10</f>
        <v>36.887999999999991</v>
      </c>
      <c r="AD5" s="46">
        <v>1093.95</v>
      </c>
      <c r="AE5" s="46">
        <f>AD5*$AE$10</f>
        <v>67.496714999999995</v>
      </c>
      <c r="AF5" s="46">
        <f>(417*1.1)/5</f>
        <v>91.740000000000009</v>
      </c>
      <c r="AG5" s="46">
        <f>((AF5*$AG$10)/3)</f>
        <v>55.044000000000011</v>
      </c>
      <c r="AH5" s="46">
        <f xml:space="preserve"> ((160)/72)*2</f>
        <v>4.4444444444444446</v>
      </c>
      <c r="AI5" s="46">
        <f>((AH5*$AI$10))</f>
        <v>23.022222222222222</v>
      </c>
      <c r="AJ5" s="46">
        <f>3500/2</f>
        <v>1750</v>
      </c>
      <c r="AK5" s="46">
        <f>(AJ5/480)*2</f>
        <v>7.291666666666667</v>
      </c>
      <c r="AL5" s="51">
        <f>AK5*$AL$10</f>
        <v>9.8437500000000018</v>
      </c>
      <c r="AM5" s="51">
        <f>((600*0.9)+(100*2.56))/5</f>
        <v>159.19999999999999</v>
      </c>
      <c r="AN5" s="43">
        <f>AM5*$AN$10</f>
        <v>350.24</v>
      </c>
      <c r="AO5" s="51">
        <f>50*0.25/3</f>
        <v>4.166666666666667</v>
      </c>
      <c r="AP5" s="51">
        <f>AO5*$AP$10</f>
        <v>7.5000000000000009</v>
      </c>
      <c r="AQ5" s="74" t="s">
        <v>64</v>
      </c>
    </row>
    <row r="6" spans="1:44" ht="15.6" x14ac:dyDescent="0.3">
      <c r="A6" s="7" t="s">
        <v>0</v>
      </c>
      <c r="B6" s="5">
        <f>SUM(B4:B5)</f>
        <v>410</v>
      </c>
      <c r="C6" s="20">
        <f>B6*$C$10</f>
        <v>4.0999999999999996</v>
      </c>
      <c r="D6" s="20">
        <f>B6*$C$11</f>
        <v>0.41000000000000003</v>
      </c>
      <c r="E6" s="20">
        <f>B6*$C$12</f>
        <v>0.92249999999999988</v>
      </c>
      <c r="F6" s="20">
        <f>SUM(C6:E6)</f>
        <v>5.4324999999999992</v>
      </c>
      <c r="G6" s="20">
        <f>F6*265</f>
        <v>1439.6124999999997</v>
      </c>
      <c r="H6" s="5">
        <f>SUM(H4:H5)</f>
        <v>80000</v>
      </c>
      <c r="I6" s="5">
        <f>((H6*1.7)/100)</f>
        <v>1360</v>
      </c>
      <c r="J6" s="5">
        <f>I6*$J$10</f>
        <v>1.36</v>
      </c>
      <c r="K6" s="5">
        <f>J6*265</f>
        <v>360.40000000000003</v>
      </c>
      <c r="L6" s="5">
        <f>SUM(L4:L5)</f>
        <v>411.5</v>
      </c>
      <c r="M6" s="5">
        <f>L6*$M$10</f>
        <v>1071.1345000000001</v>
      </c>
      <c r="N6" s="5">
        <f>L6*$N$10</f>
        <v>239.08149999999998</v>
      </c>
      <c r="O6" s="5">
        <f>SUM(M6:N6)</f>
        <v>1310.2160000000001</v>
      </c>
      <c r="P6" s="5">
        <f>SUM(P4:P5)</f>
        <v>3000</v>
      </c>
      <c r="Q6" s="5">
        <f>P6*$Q$10</f>
        <v>390</v>
      </c>
      <c r="R6" s="5">
        <f>P6*$R$10</f>
        <v>300</v>
      </c>
      <c r="S6" s="5">
        <f t="shared" si="0"/>
        <v>230</v>
      </c>
      <c r="T6" s="5">
        <f>SUM(T4:T5)</f>
        <v>410</v>
      </c>
      <c r="U6" s="5">
        <f>T6*$U$10</f>
        <v>1627.7</v>
      </c>
      <c r="V6" s="5">
        <f>SUM(V4:V5)</f>
        <v>400</v>
      </c>
      <c r="W6" s="5">
        <f>V6*$W$10</f>
        <v>284</v>
      </c>
      <c r="X6" s="5">
        <f>SUM(X4:X5)</f>
        <v>600</v>
      </c>
      <c r="Y6" s="5">
        <f>X6*$Y$10</f>
        <v>780</v>
      </c>
      <c r="Z6" s="47">
        <f>SUM(Z4:Z5)</f>
        <v>0.28800000000000003</v>
      </c>
      <c r="AA6" s="47">
        <f>Z6*$AA$10</f>
        <v>8.1475200000000001</v>
      </c>
      <c r="AB6" s="47">
        <f>SUM(AB4:AB5)</f>
        <v>1.9079999999999997</v>
      </c>
      <c r="AC6" s="47">
        <f>AB6*$AC$10</f>
        <v>55.331999999999994</v>
      </c>
      <c r="AD6" s="47">
        <f>SUM(AD4:AD5)</f>
        <v>2187.9</v>
      </c>
      <c r="AE6" s="47">
        <f>AD6*$AE$10</f>
        <v>134.99342999999999</v>
      </c>
      <c r="AF6" s="47">
        <f>SUM(AF4:AF5)</f>
        <v>135.74</v>
      </c>
      <c r="AG6" s="47">
        <f>((AF6*$AG$10)/3)</f>
        <v>81.444000000000003</v>
      </c>
      <c r="AH6" s="47">
        <f xml:space="preserve"> ((160)/36)*2</f>
        <v>8.8888888888888893</v>
      </c>
      <c r="AI6" s="47">
        <f>((AH6*$AI$10))</f>
        <v>46.044444444444444</v>
      </c>
      <c r="AJ6" s="47">
        <f>SUM(AJ4:AJ5)</f>
        <v>3500</v>
      </c>
      <c r="AK6" s="47">
        <f>SUM(AK4:AK5)</f>
        <v>14.583333333333334</v>
      </c>
      <c r="AL6" s="52">
        <f>AK6*$AL$10</f>
        <v>19.687500000000004</v>
      </c>
      <c r="AM6" s="52">
        <f>SUM(AM4:AM5)</f>
        <v>318.39999999999998</v>
      </c>
      <c r="AN6" s="53">
        <f>AM6*$AN$10</f>
        <v>700.48</v>
      </c>
      <c r="AO6" s="52">
        <f>SUM(AO4:AO5)</f>
        <v>8.3333333333333339</v>
      </c>
      <c r="AP6" s="52">
        <f>AO6*$AP$10</f>
        <v>15.000000000000002</v>
      </c>
      <c r="AQ6" s="73">
        <f>AQ4/20</f>
        <v>-1.6484172000000001</v>
      </c>
    </row>
    <row r="7" spans="1:44" ht="15.6" x14ac:dyDescent="0.3">
      <c r="H7" s="26"/>
      <c r="I7" s="26"/>
      <c r="AA7" s="4"/>
      <c r="AF7" s="21"/>
      <c r="AG7" s="48"/>
      <c r="AL7" s="68"/>
      <c r="AM7" s="49"/>
      <c r="AN7" s="49"/>
    </row>
    <row r="8" spans="1:44" ht="15.6" x14ac:dyDescent="0.3">
      <c r="H8" s="26"/>
      <c r="I8" s="26"/>
      <c r="AG8" s="49"/>
      <c r="AJ8" s="66"/>
      <c r="AK8" s="66"/>
      <c r="AL8" s="68"/>
      <c r="AM8" s="49"/>
      <c r="AN8" s="49"/>
    </row>
    <row r="9" spans="1:44" ht="52.2" customHeight="1" x14ac:dyDescent="0.3">
      <c r="B9" s="15" t="s">
        <v>18</v>
      </c>
      <c r="C9" s="9" t="s">
        <v>17</v>
      </c>
      <c r="D9" s="17"/>
      <c r="E9" s="12"/>
      <c r="F9" s="32"/>
      <c r="G9" s="32"/>
      <c r="J9" s="27" t="s">
        <v>29</v>
      </c>
      <c r="K9" s="81"/>
      <c r="M9" s="9" t="s">
        <v>35</v>
      </c>
      <c r="N9" s="9" t="s">
        <v>36</v>
      </c>
      <c r="O9" s="12"/>
      <c r="Q9" s="9" t="s">
        <v>28</v>
      </c>
      <c r="R9" s="9" t="s">
        <v>27</v>
      </c>
      <c r="S9" s="40"/>
      <c r="U9" s="16" t="s">
        <v>22</v>
      </c>
      <c r="W9" s="24" t="s">
        <v>25</v>
      </c>
      <c r="Y9" s="24" t="s">
        <v>26</v>
      </c>
      <c r="AA9" s="27" t="s">
        <v>32</v>
      </c>
      <c r="AC9" s="27" t="s">
        <v>33</v>
      </c>
      <c r="AE9" s="24" t="s">
        <v>44</v>
      </c>
      <c r="AG9" s="24" t="s">
        <v>59</v>
      </c>
      <c r="AH9" s="61"/>
      <c r="AI9" s="65" t="s">
        <v>71</v>
      </c>
      <c r="AJ9" s="67"/>
      <c r="AK9" s="67"/>
      <c r="AL9" s="24" t="s">
        <v>72</v>
      </c>
      <c r="AM9" s="49"/>
      <c r="AN9" s="24" t="s">
        <v>63</v>
      </c>
      <c r="AP9" s="24" t="s">
        <v>47</v>
      </c>
      <c r="AR9" t="s">
        <v>75</v>
      </c>
    </row>
    <row r="10" spans="1:44" s="29" customFormat="1" ht="15.6" x14ac:dyDescent="0.3">
      <c r="B10" s="38" t="s">
        <v>10</v>
      </c>
      <c r="C10" s="25">
        <v>0.01</v>
      </c>
      <c r="D10" s="75"/>
      <c r="E10" s="77"/>
      <c r="F10" s="78"/>
      <c r="G10" s="33"/>
      <c r="H10" s="34"/>
      <c r="I10" s="34"/>
      <c r="J10" s="42">
        <v>1E-3</v>
      </c>
      <c r="K10" s="36"/>
      <c r="M10" s="25">
        <v>2.6030000000000002</v>
      </c>
      <c r="N10" s="25">
        <v>0.58099999999999996</v>
      </c>
      <c r="O10" s="39"/>
      <c r="Q10" s="25">
        <v>0.13</v>
      </c>
      <c r="R10" s="25">
        <v>0.1</v>
      </c>
      <c r="S10" s="39"/>
      <c r="U10" s="25">
        <v>3.97</v>
      </c>
      <c r="V10" s="30"/>
      <c r="W10" s="25">
        <v>0.71</v>
      </c>
      <c r="X10" s="30"/>
      <c r="Y10" s="25">
        <v>1.3</v>
      </c>
      <c r="AA10" s="25">
        <v>28.29</v>
      </c>
      <c r="AC10" s="31">
        <v>29</v>
      </c>
      <c r="AE10" s="42">
        <v>6.1699999999999998E-2</v>
      </c>
      <c r="AG10" s="50">
        <v>1.8</v>
      </c>
      <c r="AH10" s="62"/>
      <c r="AI10" s="42">
        <v>5.18</v>
      </c>
      <c r="AJ10" s="26"/>
      <c r="AK10" s="26"/>
      <c r="AL10" s="42">
        <v>1.35</v>
      </c>
      <c r="AM10" s="54"/>
      <c r="AN10" s="42">
        <v>2.2000000000000002</v>
      </c>
      <c r="AP10" s="31">
        <v>1.8</v>
      </c>
      <c r="AQ10" s="44" t="s">
        <v>48</v>
      </c>
      <c r="AR10" s="71">
        <v>38</v>
      </c>
    </row>
    <row r="11" spans="1:44" ht="15.6" x14ac:dyDescent="0.3">
      <c r="B11" s="8" t="s">
        <v>11</v>
      </c>
      <c r="C11" s="25">
        <v>1E-3</v>
      </c>
      <c r="D11" s="18"/>
      <c r="E11" s="77"/>
      <c r="F11" s="78"/>
      <c r="G11" s="35"/>
      <c r="H11" s="10"/>
      <c r="I11" s="10"/>
      <c r="AH11" s="26"/>
      <c r="AI11" s="26"/>
      <c r="AJ11" s="26"/>
      <c r="AK11" s="26"/>
      <c r="AL11" s="26"/>
      <c r="AQ11" s="44" t="s">
        <v>74</v>
      </c>
      <c r="AR11" s="44">
        <v>0.83</v>
      </c>
    </row>
    <row r="12" spans="1:44" ht="15.6" x14ac:dyDescent="0.3">
      <c r="A12" s="11"/>
      <c r="B12" s="22" t="s">
        <v>12</v>
      </c>
      <c r="C12" s="25">
        <v>2.2499999999999998E-3</v>
      </c>
      <c r="D12" s="18"/>
      <c r="E12" s="77"/>
      <c r="F12" s="78"/>
      <c r="G12" s="35"/>
      <c r="H12" s="10"/>
      <c r="I12" s="10"/>
      <c r="AH12" s="26"/>
      <c r="AJ12" s="26"/>
      <c r="AK12" s="26"/>
      <c r="AQ12" s="44" t="s">
        <v>49</v>
      </c>
      <c r="AR12" s="44">
        <v>0.92</v>
      </c>
    </row>
    <row r="13" spans="1:44" ht="15.6" x14ac:dyDescent="0.3">
      <c r="A13" s="23"/>
      <c r="B13" s="10"/>
      <c r="C13" s="10"/>
      <c r="D13" s="1"/>
      <c r="E13" s="10"/>
      <c r="F13" s="10"/>
      <c r="G13" s="10"/>
      <c r="AH13" s="63"/>
      <c r="AJ13" s="63"/>
      <c r="AK13" s="63"/>
      <c r="AQ13" s="44" t="s">
        <v>50</v>
      </c>
      <c r="AR13" s="71">
        <v>1</v>
      </c>
    </row>
    <row r="14" spans="1:44" ht="15.6" x14ac:dyDescent="0.3">
      <c r="A14" s="10"/>
      <c r="B14" s="10"/>
      <c r="C14" s="10"/>
      <c r="D14" s="10"/>
      <c r="E14" s="10"/>
      <c r="F14" s="10"/>
      <c r="G14" s="10"/>
      <c r="AQ14" s="44" t="s">
        <v>51</v>
      </c>
      <c r="AR14" s="44">
        <v>3.67</v>
      </c>
    </row>
    <row r="15" spans="1:44" x14ac:dyDescent="0.3">
      <c r="N15" s="41"/>
    </row>
    <row r="16" spans="1:44" ht="46.8" x14ac:dyDescent="0.3">
      <c r="A16" s="28" t="s">
        <v>76</v>
      </c>
      <c r="B16" s="3" t="s">
        <v>8</v>
      </c>
      <c r="C16" s="19" t="s">
        <v>14</v>
      </c>
      <c r="D16" s="19" t="s">
        <v>15</v>
      </c>
      <c r="E16" s="19" t="s">
        <v>16</v>
      </c>
      <c r="F16" s="13" t="s">
        <v>13</v>
      </c>
      <c r="G16" s="13" t="s">
        <v>38</v>
      </c>
      <c r="H16" s="3" t="s">
        <v>9</v>
      </c>
      <c r="I16" s="3" t="s">
        <v>41</v>
      </c>
      <c r="J16" s="19" t="s">
        <v>40</v>
      </c>
      <c r="K16" s="13" t="s">
        <v>38</v>
      </c>
      <c r="L16" s="2" t="s">
        <v>2</v>
      </c>
      <c r="M16" s="19" t="s">
        <v>34</v>
      </c>
      <c r="N16" s="19" t="s">
        <v>37</v>
      </c>
      <c r="O16" s="13" t="s">
        <v>42</v>
      </c>
      <c r="P16" s="3" t="s">
        <v>4</v>
      </c>
      <c r="Q16" s="19" t="s">
        <v>19</v>
      </c>
      <c r="R16" s="19" t="s">
        <v>20</v>
      </c>
      <c r="S16" s="13" t="s">
        <v>43</v>
      </c>
      <c r="T16" s="3" t="s">
        <v>5</v>
      </c>
      <c r="U16" s="19" t="s">
        <v>21</v>
      </c>
      <c r="V16" s="3" t="s">
        <v>6</v>
      </c>
      <c r="W16" s="19" t="s">
        <v>23</v>
      </c>
      <c r="X16" s="3" t="s">
        <v>7</v>
      </c>
      <c r="Y16" s="19" t="s">
        <v>24</v>
      </c>
      <c r="Z16" s="3" t="s">
        <v>66</v>
      </c>
      <c r="AA16" s="19" t="s">
        <v>30</v>
      </c>
      <c r="AB16" s="3" t="s">
        <v>67</v>
      </c>
      <c r="AC16" s="19" t="s">
        <v>31</v>
      </c>
      <c r="AD16" s="3" t="s">
        <v>3</v>
      </c>
      <c r="AE16" s="19" t="s">
        <v>45</v>
      </c>
      <c r="AF16" s="3" t="s">
        <v>58</v>
      </c>
      <c r="AG16" s="19" t="s">
        <v>39</v>
      </c>
      <c r="AH16" s="3" t="s">
        <v>73</v>
      </c>
      <c r="AI16" s="19" t="s">
        <v>39</v>
      </c>
      <c r="AJ16" s="3" t="s">
        <v>69</v>
      </c>
      <c r="AK16" s="3" t="s">
        <v>68</v>
      </c>
      <c r="AL16" s="19" t="s">
        <v>70</v>
      </c>
      <c r="AM16" s="3" t="s">
        <v>60</v>
      </c>
      <c r="AN16" s="19" t="s">
        <v>61</v>
      </c>
      <c r="AO16" s="3" t="s">
        <v>62</v>
      </c>
      <c r="AP16" s="19" t="s">
        <v>46</v>
      </c>
      <c r="AQ16" s="55" t="s">
        <v>52</v>
      </c>
    </row>
    <row r="17" spans="1:44" ht="15.6" x14ac:dyDescent="0.3">
      <c r="A17" s="6" t="s">
        <v>65</v>
      </c>
      <c r="B17" s="46">
        <f>230+(60*3)</f>
        <v>410</v>
      </c>
      <c r="C17" s="58">
        <f>B17*$C$10</f>
        <v>4.0999999999999996</v>
      </c>
      <c r="D17" s="58">
        <f>B17*$C$11</f>
        <v>0.41000000000000003</v>
      </c>
      <c r="E17" s="58">
        <f>B17*$C$12</f>
        <v>0.92249999999999988</v>
      </c>
      <c r="F17" s="58">
        <f>SUM(C17:E17)</f>
        <v>5.4324999999999992</v>
      </c>
      <c r="G17" s="58">
        <f>F17*265</f>
        <v>1439.6124999999997</v>
      </c>
      <c r="H17" s="46">
        <v>40000</v>
      </c>
      <c r="I17" s="46">
        <f>((H17*1.7)/100)</f>
        <v>680</v>
      </c>
      <c r="J17" s="46">
        <f>I17*$J$10</f>
        <v>0.68</v>
      </c>
      <c r="K17" s="46">
        <f>J17*265</f>
        <v>180.20000000000002</v>
      </c>
      <c r="L17" s="46">
        <f>(143+66)+((50/4)*4)</f>
        <v>259</v>
      </c>
      <c r="M17" s="46">
        <f>L17*$M$10</f>
        <v>674.17700000000002</v>
      </c>
      <c r="N17" s="46">
        <f>L17*$N$10</f>
        <v>150.47899999999998</v>
      </c>
      <c r="O17" s="46">
        <f>SUM(M17:N17)</f>
        <v>824.65599999999995</v>
      </c>
      <c r="P17" s="46">
        <v>1500</v>
      </c>
      <c r="Q17" s="46">
        <f>P17*$Q$10</f>
        <v>195</v>
      </c>
      <c r="R17" s="46">
        <f>P17*$R$10</f>
        <v>150</v>
      </c>
      <c r="S17" s="46">
        <f>(SUM(Q17:R17))/3</f>
        <v>115</v>
      </c>
      <c r="T17" s="46">
        <f>230+(60*3)</f>
        <v>410</v>
      </c>
      <c r="U17" s="46">
        <f>T17*$U$10</f>
        <v>1627.7</v>
      </c>
      <c r="V17" s="46">
        <f>(120+100)+(30*3)</f>
        <v>310</v>
      </c>
      <c r="W17" s="46">
        <f>V17*$W$10</f>
        <v>220.1</v>
      </c>
      <c r="X17" s="46">
        <f>240+180*2</f>
        <v>600</v>
      </c>
      <c r="Y17" s="46">
        <f>X17*$Y$10</f>
        <v>780</v>
      </c>
      <c r="Z17" s="46">
        <f>4.8*3*0.02</f>
        <v>0.28799999999999998</v>
      </c>
      <c r="AA17" s="46">
        <f>Z17*$AA$10</f>
        <v>8.1475199999999983</v>
      </c>
      <c r="AB17" s="46">
        <f>(0.6*3*0.1)+ (2.4*3*0.24)</f>
        <v>1.9079999999999997</v>
      </c>
      <c r="AC17" s="46">
        <f>AB17*$AC$10</f>
        <v>55.331999999999994</v>
      </c>
      <c r="AD17" s="46">
        <v>1093.95</v>
      </c>
      <c r="AE17" s="46">
        <f>AD17*$AE$10</f>
        <v>67.496714999999995</v>
      </c>
      <c r="AF17" s="46">
        <f xml:space="preserve"> ((200*1.1)+(1000*1.1))/5</f>
        <v>264</v>
      </c>
      <c r="AG17" s="46">
        <f>((AF17*$AG$10)/3)</f>
        <v>158.4</v>
      </c>
      <c r="AH17" s="46">
        <f xml:space="preserve"> ((160)/36)*2</f>
        <v>8.8888888888888893</v>
      </c>
      <c r="AI17" s="46">
        <f>(AH17*$AI$10)</f>
        <v>46.044444444444444</v>
      </c>
      <c r="AJ17" s="46">
        <f>3500</f>
        <v>3500</v>
      </c>
      <c r="AK17" s="46">
        <f>(AJ17/480)*2</f>
        <v>14.583333333333334</v>
      </c>
      <c r="AL17" s="46">
        <f>AK17*$AL$10</f>
        <v>19.687500000000004</v>
      </c>
      <c r="AM17" s="51">
        <f>((600*0.9)+(100*2.56))/5</f>
        <v>159.19999999999999</v>
      </c>
      <c r="AN17" s="43">
        <f>AM17*$AN$10</f>
        <v>350.24</v>
      </c>
      <c r="AO17" s="51">
        <f>50*0.25/3</f>
        <v>4.166666666666667</v>
      </c>
      <c r="AP17" s="51">
        <f>AO17*$AP$10</f>
        <v>7.5000000000000009</v>
      </c>
      <c r="AQ17" s="56">
        <f>(AR25*AR26*AR27*AR28)-AR25</f>
        <v>-8.9832000000000001</v>
      </c>
    </row>
    <row r="18" spans="1:44" ht="15.6" x14ac:dyDescent="0.3">
      <c r="A18" s="7" t="s">
        <v>1</v>
      </c>
      <c r="B18" s="47">
        <f>SUM(B17:B17)</f>
        <v>410</v>
      </c>
      <c r="C18" s="59">
        <f>B18*$C$10</f>
        <v>4.0999999999999996</v>
      </c>
      <c r="D18" s="59">
        <f>B18*$C$11</f>
        <v>0.41000000000000003</v>
      </c>
      <c r="E18" s="59">
        <f>B18*$C$12</f>
        <v>0.92249999999999988</v>
      </c>
      <c r="F18" s="59">
        <f>SUM(C18:E18)</f>
        <v>5.4324999999999992</v>
      </c>
      <c r="G18" s="59">
        <f>F18*265</f>
        <v>1439.6124999999997</v>
      </c>
      <c r="H18" s="47">
        <v>40000</v>
      </c>
      <c r="I18" s="47">
        <f>((H18*1.7)/100)</f>
        <v>680</v>
      </c>
      <c r="J18" s="47">
        <f>I18*$J$10</f>
        <v>0.68</v>
      </c>
      <c r="K18" s="47">
        <f>J18*265</f>
        <v>180.20000000000002</v>
      </c>
      <c r="L18" s="47">
        <f>SUM(L17:L17)</f>
        <v>259</v>
      </c>
      <c r="M18" s="47">
        <f>L18*$M$10</f>
        <v>674.17700000000002</v>
      </c>
      <c r="N18" s="47">
        <f>L18*$N$10</f>
        <v>150.47899999999998</v>
      </c>
      <c r="O18" s="47">
        <f>SUM(M18:N18)</f>
        <v>824.65599999999995</v>
      </c>
      <c r="P18" s="47">
        <f>SUM(P17:P17)</f>
        <v>1500</v>
      </c>
      <c r="Q18" s="47">
        <f>P18*$Q$10</f>
        <v>195</v>
      </c>
      <c r="R18" s="47">
        <f>P18*$R$10</f>
        <v>150</v>
      </c>
      <c r="S18" s="47">
        <f t="shared" ref="S18:S21" si="1">(SUM(Q18:R18))/3</f>
        <v>115</v>
      </c>
      <c r="T18" s="47">
        <f>SUM(T17:T17)</f>
        <v>410</v>
      </c>
      <c r="U18" s="47">
        <f>T18*$U$10</f>
        <v>1627.7</v>
      </c>
      <c r="V18" s="47">
        <f>SUM(V17:V17)</f>
        <v>310</v>
      </c>
      <c r="W18" s="47">
        <f>V18*$W$10</f>
        <v>220.1</v>
      </c>
      <c r="X18" s="47">
        <f>SUM(X17:X17)</f>
        <v>600</v>
      </c>
      <c r="Y18" s="47">
        <f>X18*$Y$10</f>
        <v>780</v>
      </c>
      <c r="Z18" s="47">
        <f>SUM(Z17:Z17)</f>
        <v>0.28799999999999998</v>
      </c>
      <c r="AA18" s="47">
        <f>Z18*$AA$10</f>
        <v>8.1475199999999983</v>
      </c>
      <c r="AB18" s="47">
        <f>SUM(AB17:AB17)</f>
        <v>1.9079999999999997</v>
      </c>
      <c r="AC18" s="47">
        <f>AB18*$AC$10</f>
        <v>55.331999999999994</v>
      </c>
      <c r="AD18" s="47">
        <f>SUM(AD17:AD17)</f>
        <v>1093.95</v>
      </c>
      <c r="AE18" s="47">
        <f>AD18*$AE$10</f>
        <v>67.496714999999995</v>
      </c>
      <c r="AF18" s="47">
        <f>SUM(AF17)</f>
        <v>264</v>
      </c>
      <c r="AG18" s="47">
        <f>((AF18*$AG$10)/3)</f>
        <v>158.4</v>
      </c>
      <c r="AH18" s="47">
        <f xml:space="preserve"> ((160)/36)*2</f>
        <v>8.8888888888888893</v>
      </c>
      <c r="AI18" s="47">
        <f>((AH18*$AI$10))</f>
        <v>46.044444444444444</v>
      </c>
      <c r="AJ18" s="47">
        <f ca="1">SUM(AJ17:AJ18)</f>
        <v>3500</v>
      </c>
      <c r="AK18" s="47">
        <f>SUM(AK17)</f>
        <v>14.583333333333334</v>
      </c>
      <c r="AL18" s="47">
        <f>AK18*$AL$10</f>
        <v>19.687500000000004</v>
      </c>
      <c r="AM18" s="52">
        <f>SUM(AM17:AM17)</f>
        <v>159.19999999999999</v>
      </c>
      <c r="AN18" s="53">
        <f>AM18*$AN$10</f>
        <v>350.24</v>
      </c>
      <c r="AO18" s="52">
        <f>SUM(AO17:AO17)</f>
        <v>4.166666666666667</v>
      </c>
      <c r="AP18" s="52">
        <f>AO18*$AP$10</f>
        <v>7.5000000000000009</v>
      </c>
      <c r="AQ18" s="57" t="s">
        <v>53</v>
      </c>
    </row>
    <row r="19" spans="1:44" ht="15.6" x14ac:dyDescent="0.3">
      <c r="A19" s="6" t="s">
        <v>56</v>
      </c>
      <c r="B19" s="46">
        <f>30+200</f>
        <v>230</v>
      </c>
      <c r="C19" s="58">
        <f>B19*$C$10</f>
        <v>2.3000000000000003</v>
      </c>
      <c r="D19" s="58">
        <f>B19*$C$11</f>
        <v>0.23</v>
      </c>
      <c r="E19" s="58">
        <f>B19*$C$12</f>
        <v>0.51749999999999996</v>
      </c>
      <c r="F19" s="58">
        <f>SUM(C19:E19)</f>
        <v>3.0475000000000003</v>
      </c>
      <c r="G19" s="58">
        <f>F19*265</f>
        <v>807.58750000000009</v>
      </c>
      <c r="H19" s="46">
        <v>40000</v>
      </c>
      <c r="I19" s="46">
        <f>((H19*1.7)/100)</f>
        <v>680</v>
      </c>
      <c r="J19" s="46">
        <f>I19*$J$10</f>
        <v>0.68</v>
      </c>
      <c r="K19" s="46">
        <f>J19*265</f>
        <v>180.20000000000002</v>
      </c>
      <c r="L19" s="46">
        <f>143+(50/4)</f>
        <v>155.5</v>
      </c>
      <c r="M19" s="46">
        <f>L19*$M$10</f>
        <v>404.76650000000001</v>
      </c>
      <c r="N19" s="46">
        <f>L19*$N$10</f>
        <v>90.345499999999987</v>
      </c>
      <c r="O19" s="46">
        <f>SUM(M19:N19)</f>
        <v>495.11199999999997</v>
      </c>
      <c r="P19" s="46">
        <v>1500</v>
      </c>
      <c r="Q19" s="46">
        <f>P19*$Q$10</f>
        <v>195</v>
      </c>
      <c r="R19" s="46">
        <f>P19*$R$10</f>
        <v>150</v>
      </c>
      <c r="S19" s="46">
        <f t="shared" si="1"/>
        <v>115</v>
      </c>
      <c r="T19" s="46">
        <f>30+200</f>
        <v>230</v>
      </c>
      <c r="U19" s="46">
        <f>T19*$U$10</f>
        <v>913.1</v>
      </c>
      <c r="V19" s="46">
        <f>(120+100)</f>
        <v>220</v>
      </c>
      <c r="W19" s="46">
        <f>V19*$W$10</f>
        <v>156.19999999999999</v>
      </c>
      <c r="X19" s="46">
        <f>240</f>
        <v>240</v>
      </c>
      <c r="Y19" s="46">
        <f>X19*$Y$10</f>
        <v>312</v>
      </c>
      <c r="Z19" s="46">
        <f>4.8*0.02</f>
        <v>9.6000000000000002E-2</v>
      </c>
      <c r="AA19" s="46">
        <f>Z19*$AA$10</f>
        <v>2.71584</v>
      </c>
      <c r="AB19" s="46">
        <f>(0.6*0.1)+ (2.4*0.24)</f>
        <v>0.6359999999999999</v>
      </c>
      <c r="AC19" s="46">
        <f>AB19*$AC$10</f>
        <v>18.443999999999996</v>
      </c>
      <c r="AD19" s="46">
        <v>1093.95</v>
      </c>
      <c r="AE19" s="46">
        <f>AD19*$AE$10</f>
        <v>67.496714999999995</v>
      </c>
      <c r="AF19" s="46">
        <f>(200*1.1)/5</f>
        <v>44.000000000000007</v>
      </c>
      <c r="AG19" s="46">
        <f>((AF19*$AG$10)/3)</f>
        <v>26.400000000000006</v>
      </c>
      <c r="AH19" s="46">
        <f xml:space="preserve"> ((160)/72)*2</f>
        <v>4.4444444444444446</v>
      </c>
      <c r="AI19" s="46">
        <f>((AH19*$AI$10))</f>
        <v>23.022222222222222</v>
      </c>
      <c r="AJ19" s="46">
        <f>3500/2</f>
        <v>1750</v>
      </c>
      <c r="AK19" s="46">
        <f>(AJ19/480)*2</f>
        <v>7.291666666666667</v>
      </c>
      <c r="AL19" s="46">
        <f>AK19*$AL$10</f>
        <v>9.8437500000000018</v>
      </c>
      <c r="AM19" s="51">
        <f>((600*0.9)+(100*2.56))/5</f>
        <v>159.19999999999999</v>
      </c>
      <c r="AN19" s="43">
        <f>AM19*$AN$10</f>
        <v>350.24</v>
      </c>
      <c r="AO19" s="51">
        <f>50*0.25/3</f>
        <v>4.166666666666667</v>
      </c>
      <c r="AP19" s="51">
        <f>AO19*$AP$10</f>
        <v>7.5000000000000009</v>
      </c>
      <c r="AQ19" s="56">
        <f>AQ17*AR29</f>
        <v>-32.968344000000002</v>
      </c>
    </row>
    <row r="20" spans="1:44" ht="15.6" x14ac:dyDescent="0.3">
      <c r="A20" s="6" t="s">
        <v>57</v>
      </c>
      <c r="B20" s="46">
        <f>(30+60)*3</f>
        <v>270</v>
      </c>
      <c r="C20" s="58">
        <f>B20*$C$10</f>
        <v>2.7</v>
      </c>
      <c r="D20" s="58">
        <f>B20*$C$11</f>
        <v>0.27</v>
      </c>
      <c r="E20" s="58">
        <f>B20*$C$12</f>
        <v>0.60749999999999993</v>
      </c>
      <c r="F20" s="58">
        <f>SUM(C20:E20)</f>
        <v>3.5775000000000001</v>
      </c>
      <c r="G20" s="58">
        <f>F20*265</f>
        <v>948.03750000000002</v>
      </c>
      <c r="H20" s="46">
        <v>40000</v>
      </c>
      <c r="I20" s="46">
        <f>((H20*1.7)/100)</f>
        <v>680</v>
      </c>
      <c r="J20" s="46">
        <f>I20*$J$10</f>
        <v>0.68</v>
      </c>
      <c r="K20" s="46">
        <f>J20*265</f>
        <v>180.20000000000002</v>
      </c>
      <c r="L20" s="46">
        <f>(143*3-44-33)+((50/4)*3)</f>
        <v>389.5</v>
      </c>
      <c r="M20" s="46">
        <f>L20*$M$10</f>
        <v>1013.8685</v>
      </c>
      <c r="N20" s="46">
        <f>L20*$N$10</f>
        <v>226.29949999999999</v>
      </c>
      <c r="O20" s="46">
        <f>SUM(M20:N20)</f>
        <v>1240.1680000000001</v>
      </c>
      <c r="P20" s="46">
        <f>1500</f>
        <v>1500</v>
      </c>
      <c r="Q20" s="46">
        <f>P20*$Q$10</f>
        <v>195</v>
      </c>
      <c r="R20" s="46">
        <f>P20*$R$10</f>
        <v>150</v>
      </c>
      <c r="S20" s="46">
        <f t="shared" si="1"/>
        <v>115</v>
      </c>
      <c r="T20" s="46">
        <f>(30+60)*3</f>
        <v>270</v>
      </c>
      <c r="U20" s="46">
        <f>T20*$U$10</f>
        <v>1071.9000000000001</v>
      </c>
      <c r="V20" s="46">
        <f>(60+30)*3</f>
        <v>270</v>
      </c>
      <c r="W20" s="46">
        <f>V20*$W$10</f>
        <v>191.7</v>
      </c>
      <c r="X20" s="46">
        <f>180*3</f>
        <v>540</v>
      </c>
      <c r="Y20" s="46">
        <f>X20*$Y$10</f>
        <v>702</v>
      </c>
      <c r="Z20" s="46">
        <f>4.8*3*0.02</f>
        <v>0.28799999999999998</v>
      </c>
      <c r="AA20" s="46">
        <f>Z20*$AA$10</f>
        <v>8.1475199999999983</v>
      </c>
      <c r="AB20" s="46">
        <f>((0.6*0.1)+ (2.4*0.24))*3</f>
        <v>1.9079999999999997</v>
      </c>
      <c r="AC20" s="46">
        <f>AB20*$AC$10</f>
        <v>55.331999999999994</v>
      </c>
      <c r="AD20" s="46">
        <v>1093.95</v>
      </c>
      <c r="AE20" s="46">
        <f>AD20*$AE$10</f>
        <v>67.496714999999995</v>
      </c>
      <c r="AF20" s="46">
        <f>(1000*1.1)/5</f>
        <v>220</v>
      </c>
      <c r="AG20" s="46">
        <f>((AF20*$AG$10)/3)</f>
        <v>132</v>
      </c>
      <c r="AH20" s="46">
        <f xml:space="preserve"> ((160)/72)*2</f>
        <v>4.4444444444444446</v>
      </c>
      <c r="AI20" s="46">
        <f>((AH20*$AI$10))</f>
        <v>23.022222222222222</v>
      </c>
      <c r="AJ20" s="46">
        <f>3500/2</f>
        <v>1750</v>
      </c>
      <c r="AK20" s="46">
        <f>(AJ20/480)*2</f>
        <v>7.291666666666667</v>
      </c>
      <c r="AL20" s="46">
        <f>AK20*$AL$10</f>
        <v>9.8437500000000018</v>
      </c>
      <c r="AM20" s="51">
        <f>((600*0.9)+(100*2.56))/5</f>
        <v>159.19999999999999</v>
      </c>
      <c r="AN20" s="43">
        <f>AM20*$AN$10</f>
        <v>350.24</v>
      </c>
      <c r="AO20" s="51">
        <f>50*0.25/3</f>
        <v>4.166666666666667</v>
      </c>
      <c r="AP20" s="51">
        <f>AO20*$AP$10</f>
        <v>7.5000000000000009</v>
      </c>
      <c r="AQ20" s="57" t="s">
        <v>64</v>
      </c>
    </row>
    <row r="21" spans="1:44" ht="15.6" x14ac:dyDescent="0.3">
      <c r="A21" s="7" t="s">
        <v>0</v>
      </c>
      <c r="B21" s="47">
        <f>SUM(B19:B20)</f>
        <v>500</v>
      </c>
      <c r="C21" s="59">
        <f>B21*$C$10</f>
        <v>5</v>
      </c>
      <c r="D21" s="59">
        <f>B21*$C$11</f>
        <v>0.5</v>
      </c>
      <c r="E21" s="59">
        <f>B21*$C$12</f>
        <v>1.125</v>
      </c>
      <c r="F21" s="59">
        <f>SUM(C21:E21)</f>
        <v>6.625</v>
      </c>
      <c r="G21" s="59">
        <f>F21*265</f>
        <v>1755.625</v>
      </c>
      <c r="H21" s="47">
        <f>SUM(H19:H20)</f>
        <v>80000</v>
      </c>
      <c r="I21" s="47">
        <f>((H21*1.7)/100)</f>
        <v>1360</v>
      </c>
      <c r="J21" s="47">
        <f>I21*$J$10</f>
        <v>1.36</v>
      </c>
      <c r="K21" s="47">
        <f>J21*265</f>
        <v>360.40000000000003</v>
      </c>
      <c r="L21" s="47">
        <f>SUM(L19:L20)</f>
        <v>545</v>
      </c>
      <c r="M21" s="47">
        <f>L21*$M$10</f>
        <v>1418.6350000000002</v>
      </c>
      <c r="N21" s="47">
        <f>L21*$N$10</f>
        <v>316.64499999999998</v>
      </c>
      <c r="O21" s="47">
        <f>SUM(M21:N21)</f>
        <v>1735.2800000000002</v>
      </c>
      <c r="P21" s="47">
        <f>SUM(P19:P20)</f>
        <v>3000</v>
      </c>
      <c r="Q21" s="47">
        <f>P21*$Q$10</f>
        <v>390</v>
      </c>
      <c r="R21" s="47">
        <f>P21*$R$10</f>
        <v>300</v>
      </c>
      <c r="S21" s="47">
        <f t="shared" si="1"/>
        <v>230</v>
      </c>
      <c r="T21" s="47">
        <f>SUM(T19:T20)</f>
        <v>500</v>
      </c>
      <c r="U21" s="47">
        <f>T21*$U$10</f>
        <v>1985</v>
      </c>
      <c r="V21" s="47">
        <f>SUM(V19:V20)</f>
        <v>490</v>
      </c>
      <c r="W21" s="47">
        <f>V21*$W$10</f>
        <v>347.9</v>
      </c>
      <c r="X21" s="47">
        <f>SUM(X19:X20)</f>
        <v>780</v>
      </c>
      <c r="Y21" s="47">
        <f>X21*$Y$10</f>
        <v>1014</v>
      </c>
      <c r="Z21" s="47">
        <f>SUM(Z19:Z20)</f>
        <v>0.38400000000000001</v>
      </c>
      <c r="AA21" s="47">
        <f>Z21*$AA$10</f>
        <v>10.86336</v>
      </c>
      <c r="AB21" s="47">
        <f>SUM(AB19:AB20)</f>
        <v>2.5439999999999996</v>
      </c>
      <c r="AC21" s="47">
        <f>AB21*$AC$10</f>
        <v>73.775999999999982</v>
      </c>
      <c r="AD21" s="47">
        <f>SUM(AD19:AD20)</f>
        <v>2187.9</v>
      </c>
      <c r="AE21" s="47">
        <f>AD21*$AE$10</f>
        <v>134.99342999999999</v>
      </c>
      <c r="AF21" s="47">
        <f>SUM(AF19:AF20)</f>
        <v>264</v>
      </c>
      <c r="AG21" s="47">
        <f>((AF21*$AG$10)/3)</f>
        <v>158.4</v>
      </c>
      <c r="AH21" s="47">
        <f xml:space="preserve"> ((160)/36)*2</f>
        <v>8.8888888888888893</v>
      </c>
      <c r="AI21" s="47">
        <f>((AH21*$AI$10))</f>
        <v>46.044444444444444</v>
      </c>
      <c r="AJ21" s="47">
        <f>SUM(AJ19:AJ20)</f>
        <v>3500</v>
      </c>
      <c r="AK21" s="47">
        <f>SUM(AK19:AK20)</f>
        <v>14.583333333333334</v>
      </c>
      <c r="AL21" s="47">
        <f>AK21*$AL$10</f>
        <v>19.687500000000004</v>
      </c>
      <c r="AM21" s="52">
        <f>SUM(AM19:AM20)</f>
        <v>318.39999999999998</v>
      </c>
      <c r="AN21" s="53">
        <f>AM21*$AN$10</f>
        <v>700.48</v>
      </c>
      <c r="AO21" s="52">
        <f>SUM(AO19:AO20)</f>
        <v>8.3333333333333339</v>
      </c>
      <c r="AP21" s="52">
        <f>AO21*$AP$10</f>
        <v>15.000000000000002</v>
      </c>
      <c r="AQ21" s="56">
        <f>AQ19/20</f>
        <v>-1.6484172000000001</v>
      </c>
    </row>
    <row r="22" spans="1:44" ht="15.6" x14ac:dyDescent="0.3">
      <c r="H22" s="26"/>
      <c r="I22" s="26"/>
      <c r="AA22" s="4"/>
      <c r="AF22" s="21"/>
      <c r="AG22" s="48"/>
      <c r="AH22" s="48"/>
      <c r="AI22" s="48"/>
      <c r="AJ22" s="48"/>
      <c r="AK22" s="48"/>
      <c r="AL22" s="48"/>
      <c r="AM22" s="49"/>
      <c r="AN22" s="49"/>
    </row>
    <row r="23" spans="1:44" x14ac:dyDescent="0.3">
      <c r="H23" s="26"/>
      <c r="I23" s="26"/>
      <c r="AG23" s="49"/>
      <c r="AH23" s="49"/>
      <c r="AI23" s="49"/>
      <c r="AJ23" s="49"/>
      <c r="AK23" s="49"/>
      <c r="AL23" s="49"/>
      <c r="AM23" s="49"/>
      <c r="AN23" s="49"/>
    </row>
    <row r="24" spans="1:44" ht="62.4" x14ac:dyDescent="0.3">
      <c r="B24" s="15" t="s">
        <v>18</v>
      </c>
      <c r="C24" s="9" t="s">
        <v>17</v>
      </c>
      <c r="D24" s="17"/>
      <c r="E24" s="12"/>
      <c r="F24" s="17"/>
      <c r="G24" s="17"/>
      <c r="J24" s="27" t="s">
        <v>29</v>
      </c>
      <c r="K24" s="37"/>
      <c r="M24" s="9" t="s">
        <v>35</v>
      </c>
      <c r="N24" s="9" t="s">
        <v>36</v>
      </c>
      <c r="O24" s="40"/>
      <c r="Q24" s="9" t="s">
        <v>28</v>
      </c>
      <c r="R24" s="9" t="s">
        <v>27</v>
      </c>
      <c r="S24" s="40"/>
      <c r="U24" s="16" t="s">
        <v>22</v>
      </c>
      <c r="W24" s="24" t="s">
        <v>25</v>
      </c>
      <c r="Y24" s="24" t="s">
        <v>26</v>
      </c>
      <c r="AA24" s="27" t="s">
        <v>32</v>
      </c>
      <c r="AC24" s="27" t="s">
        <v>33</v>
      </c>
      <c r="AE24" s="24" t="s">
        <v>44</v>
      </c>
      <c r="AG24" s="24" t="s">
        <v>59</v>
      </c>
      <c r="AH24" s="70"/>
      <c r="AI24" s="24" t="s">
        <v>71</v>
      </c>
      <c r="AJ24" s="70"/>
      <c r="AK24" s="70"/>
      <c r="AL24" s="24" t="s">
        <v>72</v>
      </c>
      <c r="AM24" s="49"/>
      <c r="AN24" s="24" t="s">
        <v>63</v>
      </c>
      <c r="AP24" s="24" t="s">
        <v>47</v>
      </c>
    </row>
    <row r="25" spans="1:44" ht="15.6" x14ac:dyDescent="0.3">
      <c r="A25" s="29"/>
      <c r="B25" s="38" t="s">
        <v>10</v>
      </c>
      <c r="C25" s="45">
        <v>0.01</v>
      </c>
      <c r="D25" s="75"/>
      <c r="E25" s="76"/>
      <c r="F25" s="79"/>
      <c r="G25" s="80"/>
      <c r="H25" s="34"/>
      <c r="I25" s="34"/>
      <c r="J25" s="42">
        <v>1E-3</v>
      </c>
      <c r="K25" s="36"/>
      <c r="L25" s="29"/>
      <c r="M25" s="45">
        <v>2.6030000000000002</v>
      </c>
      <c r="N25" s="45">
        <v>0.58099999999999996</v>
      </c>
      <c r="O25" s="39"/>
      <c r="P25" s="29"/>
      <c r="Q25" s="45">
        <v>0.13</v>
      </c>
      <c r="R25" s="45">
        <v>0.1</v>
      </c>
      <c r="S25" s="39"/>
      <c r="T25" s="29"/>
      <c r="U25" s="45">
        <v>3.97</v>
      </c>
      <c r="V25" s="30"/>
      <c r="W25" s="45">
        <v>0.71</v>
      </c>
      <c r="X25" s="30"/>
      <c r="Y25" s="45">
        <v>1.3</v>
      </c>
      <c r="Z25" s="29"/>
      <c r="AA25" s="45">
        <v>28.29</v>
      </c>
      <c r="AB25" s="29"/>
      <c r="AC25" s="31">
        <v>29</v>
      </c>
      <c r="AD25" s="29"/>
      <c r="AE25" s="42">
        <v>6.1699999999999998E-2</v>
      </c>
      <c r="AF25" s="29"/>
      <c r="AG25" s="50">
        <v>1.8</v>
      </c>
      <c r="AH25" s="60"/>
      <c r="AI25" s="50">
        <v>5.18</v>
      </c>
      <c r="AJ25" s="60"/>
      <c r="AK25" s="60"/>
      <c r="AL25" s="69">
        <v>1.35</v>
      </c>
      <c r="AM25" s="54"/>
      <c r="AN25" s="42">
        <v>2.2000000000000002</v>
      </c>
      <c r="AO25" s="29"/>
      <c r="AP25" s="31">
        <v>1.8</v>
      </c>
      <c r="AQ25" s="44" t="s">
        <v>48</v>
      </c>
      <c r="AR25" s="71">
        <v>38</v>
      </c>
    </row>
    <row r="26" spans="1:44" ht="15.6" x14ac:dyDescent="0.3">
      <c r="B26" s="8" t="s">
        <v>11</v>
      </c>
      <c r="C26" s="45">
        <v>1E-3</v>
      </c>
      <c r="D26" s="18"/>
      <c r="E26" s="76"/>
      <c r="F26" s="72"/>
      <c r="G26" s="18"/>
      <c r="H26" s="10"/>
      <c r="I26" s="10"/>
      <c r="AQ26" s="44" t="s">
        <v>74</v>
      </c>
      <c r="AR26" s="44">
        <v>0.83</v>
      </c>
    </row>
    <row r="27" spans="1:44" ht="15.6" x14ac:dyDescent="0.3">
      <c r="A27" s="11"/>
      <c r="B27" s="22" t="s">
        <v>12</v>
      </c>
      <c r="C27" s="45">
        <v>2.2499999999999998E-3</v>
      </c>
      <c r="D27" s="18"/>
      <c r="E27" s="76"/>
      <c r="F27" s="72"/>
      <c r="G27" s="18"/>
      <c r="H27" s="10"/>
      <c r="I27" s="10"/>
      <c r="AQ27" s="44" t="s">
        <v>49</v>
      </c>
      <c r="AR27" s="44">
        <v>0.92</v>
      </c>
    </row>
    <row r="28" spans="1:44" ht="15.6" x14ac:dyDescent="0.3">
      <c r="A28" s="23"/>
      <c r="B28" s="10"/>
      <c r="C28" s="10"/>
      <c r="D28" s="10"/>
      <c r="E28" s="10"/>
      <c r="F28" s="18"/>
      <c r="G28" s="18"/>
      <c r="AQ28" s="44" t="s">
        <v>50</v>
      </c>
      <c r="AR28" s="71">
        <v>1</v>
      </c>
    </row>
    <row r="29" spans="1:44" ht="15.6" x14ac:dyDescent="0.3">
      <c r="A29" s="10"/>
      <c r="B29" s="10"/>
      <c r="C29" s="10"/>
      <c r="D29" s="10"/>
      <c r="E29" s="10"/>
      <c r="F29" s="10"/>
      <c r="G29" s="10"/>
      <c r="AQ29" s="44" t="s">
        <v>51</v>
      </c>
      <c r="AR29" s="44">
        <v>3.67</v>
      </c>
    </row>
    <row r="30" spans="1:44" x14ac:dyDescent="0.3">
      <c r="N30" s="4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Research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2022-01-25T21:54:23Z</dcterms:modified>
</cp:coreProperties>
</file>