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biotic\JitaoZou\RNAseq_cold\2021-22\Manuscript\Submission\Supplementary\"/>
    </mc:Choice>
  </mc:AlternateContent>
  <bookViews>
    <workbookView xWindow="0" yWindow="0" windowWidth="27960" windowHeight="12150"/>
  </bookViews>
  <sheets>
    <sheet name="Summary" sheetId="1" r:id="rId1"/>
    <sheet name="P0001BP" sheetId="2" r:id="rId2"/>
    <sheet name="P0002BP" sheetId="3" r:id="rId3"/>
    <sheet name="P0010BP" sheetId="4" r:id="rId4"/>
    <sheet name="P0020BP" sheetId="5" r:id="rId5"/>
    <sheet name="P0100BP" sheetId="6" r:id="rId6"/>
    <sheet name="P0200BP" sheetId="7" r:id="rId7"/>
    <sheet name="P1000BP" sheetId="8" r:id="rId8"/>
    <sheet name="P2000BP" sheetId="9" r:id="rId9"/>
    <sheet name="P1111BP" sheetId="10" r:id="rId10"/>
    <sheet name="P2222BP" sheetId="11" r:id="rId11"/>
  </sheets>
  <calcPr calcId="152511"/>
</workbook>
</file>

<file path=xl/calcChain.xml><?xml version="1.0" encoding="utf-8"?>
<calcChain xmlns="http://schemas.openxmlformats.org/spreadsheetml/2006/main">
  <c r="A1221" i="1" l="1"/>
  <c r="A1220" i="1"/>
  <c r="A1217" i="1"/>
  <c r="A1219" i="1"/>
  <c r="A1218" i="1"/>
  <c r="A1216" i="1"/>
  <c r="A1215" i="1"/>
  <c r="A1214" i="1"/>
  <c r="A1213" i="1"/>
  <c r="A1211" i="1"/>
  <c r="A1212" i="1"/>
  <c r="A1210" i="1"/>
  <c r="A1208" i="1"/>
  <c r="A1209" i="1"/>
  <c r="A1207" i="1"/>
  <c r="A1206" i="1"/>
  <c r="A1205" i="1"/>
  <c r="A1204" i="1"/>
  <c r="A1203" i="1"/>
  <c r="A1202" i="1"/>
  <c r="A1201" i="1"/>
  <c r="A1200" i="1"/>
  <c r="A1198" i="1"/>
  <c r="A1199" i="1"/>
  <c r="A1197" i="1"/>
  <c r="A1196" i="1"/>
  <c r="A1195" i="1"/>
  <c r="A1194" i="1"/>
  <c r="A1193" i="1"/>
  <c r="A1192" i="1"/>
  <c r="A1191" i="1"/>
  <c r="A1190" i="1"/>
  <c r="A1189" i="1"/>
  <c r="A1187" i="1"/>
  <c r="A1188" i="1"/>
  <c r="A1186" i="1"/>
  <c r="A1185" i="1"/>
  <c r="A1184" i="1"/>
  <c r="A1183" i="1"/>
  <c r="A1182" i="1"/>
  <c r="A1181" i="1"/>
  <c r="A1180" i="1"/>
  <c r="A1179" i="1"/>
  <c r="A1177" i="1"/>
  <c r="A1178" i="1"/>
  <c r="A1176" i="1"/>
  <c r="A1175" i="1"/>
  <c r="A1174" i="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168" i="1"/>
  <c r="A1172" i="1"/>
  <c r="A1171" i="1"/>
  <c r="A1173" i="1"/>
  <c r="A1170" i="1"/>
  <c r="A1169" i="1"/>
  <c r="A1161" i="1"/>
  <c r="A1162" i="1"/>
  <c r="A1167" i="1"/>
  <c r="A1104" i="1"/>
  <c r="A1166" i="1"/>
  <c r="A1165" i="1"/>
  <c r="A1164" i="1"/>
  <c r="A1163" i="1"/>
  <c r="A1158" i="1"/>
  <c r="A1157" i="1"/>
  <c r="A1159" i="1"/>
  <c r="A1160" i="1"/>
  <c r="A1151" i="1"/>
  <c r="A1152" i="1"/>
  <c r="A1155" i="1"/>
  <c r="A1153" i="1"/>
  <c r="A1154" i="1"/>
  <c r="A1156" i="1"/>
  <c r="A1150" i="1"/>
  <c r="A1149" i="1"/>
  <c r="A1148" i="1"/>
  <c r="A1147" i="1"/>
  <c r="A1146" i="1"/>
  <c r="A1145" i="1"/>
  <c r="A1143" i="1"/>
  <c r="A1144" i="1"/>
  <c r="A1142" i="1"/>
  <c r="A1140" i="1"/>
  <c r="A1141" i="1"/>
  <c r="A1139" i="1"/>
  <c r="A1138" i="1"/>
  <c r="A1137" i="1"/>
  <c r="A1136" i="1"/>
  <c r="A1135" i="1"/>
  <c r="A1134" i="1"/>
  <c r="A1133" i="1"/>
  <c r="A1132" i="1"/>
  <c r="A1131" i="1"/>
  <c r="A1130" i="1"/>
  <c r="A1128" i="1"/>
  <c r="A1129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08" i="1"/>
  <c r="A1110" i="1"/>
  <c r="A1109" i="1"/>
  <c r="A1107" i="1"/>
  <c r="A1106" i="1"/>
  <c r="A1105" i="1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869" i="1"/>
  <c r="A868" i="1"/>
  <c r="A1022" i="1"/>
  <c r="A1021" i="1"/>
  <c r="A1020" i="1"/>
  <c r="A782" i="1"/>
  <c r="A955" i="1"/>
  <c r="A954" i="1"/>
  <c r="A775" i="1"/>
  <c r="A1096" i="1"/>
  <c r="A922" i="1"/>
  <c r="A921" i="1"/>
  <c r="A920" i="1"/>
  <c r="A885" i="1"/>
  <c r="A1017" i="1"/>
  <c r="A951" i="1"/>
  <c r="A807" i="1"/>
  <c r="A894" i="1"/>
  <c r="A919" i="1"/>
  <c r="A888" i="1"/>
  <c r="A929" i="1"/>
  <c r="A913" i="1"/>
  <c r="A892" i="1"/>
  <c r="A1092" i="1"/>
  <c r="A1091" i="1"/>
  <c r="A1010" i="1"/>
  <c r="A1009" i="1"/>
  <c r="A891" i="1"/>
  <c r="A867" i="1"/>
  <c r="A796" i="1"/>
  <c r="A785" i="1"/>
  <c r="A918" i="1"/>
  <c r="A1074" i="1"/>
  <c r="A1073" i="1"/>
  <c r="A1000" i="1"/>
  <c r="A999" i="1"/>
  <c r="A949" i="1"/>
  <c r="A1071" i="1"/>
  <c r="A948" i="1"/>
  <c r="A778" i="1"/>
  <c r="A947" i="1"/>
  <c r="A890" i="1"/>
  <c r="A945" i="1"/>
  <c r="A931" i="1"/>
  <c r="A930" i="1"/>
  <c r="A1068" i="1"/>
  <c r="A943" i="1"/>
  <c r="A849" i="1"/>
  <c r="A792" i="1"/>
  <c r="A909" i="1"/>
  <c r="A1087" i="1"/>
  <c r="A1086" i="1"/>
  <c r="A940" i="1"/>
  <c r="A835" i="1"/>
  <c r="A908" i="1"/>
  <c r="A865" i="1"/>
  <c r="A939" i="1"/>
  <c r="A917" i="1"/>
  <c r="A895" i="1"/>
  <c r="A987" i="1"/>
  <c r="A1039" i="1"/>
  <c r="A985" i="1"/>
  <c r="A1064" i="1"/>
  <c r="A980" i="1"/>
  <c r="A1036" i="1"/>
  <c r="A1062" i="1"/>
  <c r="A978" i="1"/>
  <c r="A1035" i="1"/>
  <c r="A886" i="1"/>
  <c r="A973" i="1"/>
  <c r="A1028" i="1"/>
  <c r="A853" i="1"/>
  <c r="A1084" i="1"/>
  <c r="A971" i="1"/>
  <c r="A791" i="1"/>
  <c r="A1031" i="1"/>
  <c r="A906" i="1"/>
  <c r="A968" i="1"/>
  <c r="A956" i="1"/>
  <c r="A953" i="1"/>
  <c r="A898" i="1"/>
  <c r="A1018" i="1"/>
  <c r="A915" i="1"/>
  <c r="A781" i="1"/>
  <c r="A795" i="1"/>
  <c r="A780" i="1"/>
  <c r="A845" i="1"/>
  <c r="A852" i="1"/>
  <c r="A878" i="1"/>
  <c r="A1079" i="1"/>
  <c r="A1078" i="1"/>
  <c r="A1008" i="1"/>
  <c r="A1007" i="1"/>
  <c r="A1076" i="1"/>
  <c r="A826" i="1"/>
  <c r="A1089" i="1"/>
  <c r="A1049" i="1"/>
  <c r="A998" i="1"/>
  <c r="A877" i="1"/>
  <c r="A946" i="1"/>
  <c r="A1046" i="1"/>
  <c r="A779" i="1"/>
  <c r="A1045" i="1"/>
  <c r="A788" i="1"/>
  <c r="A967" i="1"/>
  <c r="A812" i="1"/>
  <c r="A996" i="1"/>
  <c r="A790" i="1"/>
  <c r="A801" i="1"/>
  <c r="A1030" i="1"/>
  <c r="A786" i="1"/>
  <c r="A797" i="1"/>
  <c r="A926" i="1"/>
  <c r="A993" i="1"/>
  <c r="A844" i="1"/>
  <c r="A863" i="1"/>
  <c r="A897" i="1"/>
  <c r="A942" i="1"/>
  <c r="A989" i="1"/>
  <c r="A1041" i="1"/>
  <c r="A1040" i="1"/>
  <c r="A1066" i="1"/>
  <c r="A1065" i="1"/>
  <c r="A938" i="1"/>
  <c r="A981" i="1"/>
  <c r="A937" i="1"/>
  <c r="A1063" i="1"/>
  <c r="A972" i="1"/>
  <c r="A933" i="1"/>
  <c r="A805" i="1"/>
  <c r="A1061" i="1"/>
  <c r="A874" i="1"/>
  <c r="A965" i="1"/>
  <c r="A964" i="1"/>
  <c r="A1060" i="1"/>
  <c r="A1083" i="1"/>
  <c r="A873" i="1"/>
  <c r="A1059" i="1"/>
  <c r="A841" i="1"/>
  <c r="A881" i="1"/>
  <c r="A872" i="1"/>
  <c r="A871" i="1"/>
  <c r="A1081" i="1"/>
  <c r="A1057" i="1"/>
  <c r="A1013" i="1"/>
  <c r="A1012" i="1"/>
  <c r="A923" i="1"/>
  <c r="A887" i="1"/>
  <c r="A911" i="1"/>
  <c r="A1056" i="1"/>
  <c r="A1055" i="1"/>
  <c r="A1054" i="1"/>
  <c r="A1090" i="1"/>
  <c r="A804" i="1"/>
  <c r="A850" i="1"/>
  <c r="A803" i="1"/>
  <c r="A816" i="1"/>
  <c r="A771" i="1"/>
  <c r="A798" i="1"/>
  <c r="A1051" i="1"/>
  <c r="A879" i="1"/>
  <c r="A1005" i="1"/>
  <c r="A773" i="1"/>
  <c r="A828" i="1"/>
  <c r="A827" i="1"/>
  <c r="A854" i="1"/>
  <c r="A1075" i="1"/>
  <c r="A925" i="1"/>
  <c r="A821" i="1"/>
  <c r="A820" i="1"/>
  <c r="A819" i="1"/>
  <c r="A818" i="1"/>
  <c r="A840" i="1"/>
  <c r="A808" i="1"/>
  <c r="A963" i="1"/>
  <c r="A1033" i="1"/>
  <c r="A1050" i="1"/>
  <c r="A839" i="1"/>
  <c r="A950" i="1"/>
  <c r="A1024" i="1"/>
  <c r="A896" i="1"/>
  <c r="A882" i="1"/>
  <c r="A870" i="1"/>
  <c r="A777" i="1"/>
  <c r="A1048" i="1"/>
  <c r="A916" i="1"/>
  <c r="A806" i="1"/>
  <c r="A1070" i="1"/>
  <c r="A774" i="1"/>
  <c r="A928" i="1"/>
  <c r="A794" i="1"/>
  <c r="A802" i="1"/>
  <c r="A836" i="1"/>
  <c r="A830" i="1"/>
  <c r="A770" i="1"/>
  <c r="A787" i="1"/>
  <c r="A966" i="1"/>
  <c r="A1043" i="1"/>
  <c r="A858" i="1"/>
  <c r="A907" i="1"/>
  <c r="A992" i="1"/>
  <c r="A991" i="1"/>
  <c r="A1029" i="1"/>
  <c r="A990" i="1"/>
  <c r="A813" i="1"/>
  <c r="A857" i="1"/>
  <c r="A800" i="1"/>
  <c r="A905" i="1"/>
  <c r="A824" i="1"/>
  <c r="A962" i="1"/>
  <c r="A941" i="1"/>
  <c r="A848" i="1"/>
  <c r="A961" i="1"/>
  <c r="A1042" i="1"/>
  <c r="A970" i="1"/>
  <c r="A838" i="1"/>
  <c r="A1026" i="1"/>
  <c r="A1023" i="1"/>
  <c r="A924" i="1"/>
  <c r="A822" i="1"/>
  <c r="A1038" i="1"/>
  <c r="A866" i="1"/>
  <c r="A862" i="1"/>
  <c r="A837" i="1"/>
  <c r="A1027" i="1"/>
  <c r="A793" i="1"/>
  <c r="A834" i="1"/>
  <c r="A833" i="1"/>
  <c r="A914" i="1"/>
  <c r="A811" i="1"/>
  <c r="A815" i="1"/>
  <c r="A880" i="1"/>
  <c r="A901" i="1"/>
  <c r="A1085" i="1"/>
  <c r="A772" i="1"/>
  <c r="A859" i="1"/>
  <c r="A1037" i="1"/>
  <c r="A935" i="1"/>
  <c r="A776" i="1"/>
  <c r="A817" i="1"/>
  <c r="A799" i="1"/>
  <c r="A977" i="1"/>
  <c r="A976" i="1"/>
  <c r="A975" i="1"/>
  <c r="A960" i="1"/>
  <c r="A959" i="1"/>
  <c r="A958" i="1"/>
  <c r="A1102" i="1"/>
  <c r="A957" i="1"/>
  <c r="A1019" i="1"/>
  <c r="A1101" i="1"/>
  <c r="A851" i="1"/>
  <c r="A1082" i="1"/>
  <c r="A1100" i="1"/>
  <c r="A876" i="1"/>
  <c r="A1099" i="1"/>
  <c r="A1098" i="1"/>
  <c r="A1058" i="1"/>
  <c r="A1097" i="1"/>
  <c r="A1095" i="1"/>
  <c r="A952" i="1"/>
  <c r="A1094" i="1"/>
  <c r="A855" i="1"/>
  <c r="A912" i="1"/>
  <c r="A860" i="1"/>
  <c r="A1032" i="1"/>
  <c r="A1016" i="1"/>
  <c r="A1015" i="1"/>
  <c r="A1014" i="1"/>
  <c r="A784" i="1"/>
  <c r="A783" i="1"/>
  <c r="A1093" i="1"/>
  <c r="A1011" i="1"/>
  <c r="A932" i="1"/>
  <c r="A1080" i="1"/>
  <c r="A789" i="1"/>
  <c r="A969" i="1"/>
  <c r="A1053" i="1"/>
  <c r="A1052" i="1"/>
  <c r="A1077" i="1"/>
  <c r="A1006" i="1"/>
  <c r="A884" i="1"/>
  <c r="A864" i="1"/>
  <c r="A1004" i="1"/>
  <c r="A1003" i="1"/>
  <c r="A1002" i="1"/>
  <c r="A927" i="1"/>
  <c r="A1001" i="1"/>
  <c r="A1072" i="1"/>
  <c r="A910" i="1"/>
  <c r="A861" i="1"/>
  <c r="A875" i="1"/>
  <c r="A1047" i="1"/>
  <c r="A997" i="1"/>
  <c r="A1088" i="1"/>
  <c r="A1069" i="1"/>
  <c r="A1025" i="1"/>
  <c r="A843" i="1"/>
  <c r="A944" i="1"/>
  <c r="A823" i="1"/>
  <c r="A810" i="1"/>
  <c r="A809" i="1"/>
  <c r="A1044" i="1"/>
  <c r="A1067" i="1"/>
  <c r="A995" i="1"/>
  <c r="A994" i="1"/>
  <c r="A899" i="1"/>
  <c r="A893" i="1"/>
  <c r="A856" i="1"/>
  <c r="A847" i="1"/>
  <c r="A988" i="1"/>
  <c r="A846" i="1"/>
  <c r="A842" i="1"/>
  <c r="A832" i="1"/>
  <c r="A986" i="1"/>
  <c r="A984" i="1"/>
  <c r="A904" i="1"/>
  <c r="A983" i="1"/>
  <c r="A903" i="1"/>
  <c r="A902" i="1"/>
  <c r="A982" i="1"/>
  <c r="A814" i="1"/>
  <c r="A883" i="1"/>
  <c r="A831" i="1"/>
  <c r="A979" i="1"/>
  <c r="A936" i="1"/>
  <c r="A829" i="1"/>
  <c r="A934" i="1"/>
  <c r="A889" i="1"/>
  <c r="A900" i="1"/>
  <c r="A825" i="1"/>
  <c r="A974" i="1"/>
  <c r="A1034" i="1"/>
  <c r="A184" i="1"/>
  <c r="A599" i="1"/>
  <c r="A598" i="1"/>
  <c r="A336" i="1"/>
  <c r="A768" i="1"/>
  <c r="A767" i="1"/>
  <c r="A329" i="1"/>
  <c r="A52" i="1"/>
  <c r="A766" i="1"/>
  <c r="A536" i="1"/>
  <c r="A656" i="1"/>
  <c r="A747" i="1"/>
  <c r="A637" i="1"/>
  <c r="A635" i="1"/>
  <c r="A450" i="1"/>
  <c r="A591" i="1"/>
  <c r="A182" i="1"/>
  <c r="A542" i="1"/>
  <c r="A335" i="1"/>
  <c r="A765" i="1"/>
  <c r="A681" i="1"/>
  <c r="A119" i="1"/>
  <c r="A54" i="1"/>
  <c r="A764" i="1"/>
  <c r="A763" i="1"/>
  <c r="A762" i="1"/>
  <c r="A761" i="1"/>
  <c r="A760" i="1"/>
  <c r="A574" i="1"/>
  <c r="A97" i="1"/>
  <c r="A181" i="1"/>
  <c r="A528" i="1"/>
  <c r="A452" i="1"/>
  <c r="A180" i="1"/>
  <c r="A109" i="1"/>
  <c r="A143" i="1"/>
  <c r="A718" i="1"/>
  <c r="A194" i="1"/>
  <c r="A193" i="1"/>
  <c r="A759" i="1"/>
  <c r="A717" i="1"/>
  <c r="A753" i="1"/>
  <c r="A758" i="1"/>
  <c r="A334" i="1"/>
  <c r="A578" i="1"/>
  <c r="A337" i="1"/>
  <c r="A573" i="1"/>
  <c r="A662" i="1"/>
  <c r="A620" i="1"/>
  <c r="A614" i="1"/>
  <c r="A71" i="1"/>
  <c r="A654" i="1"/>
  <c r="A653" i="1"/>
  <c r="A572" i="1"/>
  <c r="A187" i="1"/>
  <c r="A752" i="1"/>
  <c r="A757" i="1"/>
  <c r="A467" i="1"/>
  <c r="A51" i="1"/>
  <c r="A579" i="1"/>
  <c r="A126" i="1"/>
  <c r="A659" i="1"/>
  <c r="A754" i="1"/>
  <c r="A756" i="1"/>
  <c r="A755" i="1"/>
  <c r="A694" i="1"/>
  <c r="A192" i="1"/>
  <c r="A191" i="1"/>
  <c r="A185" i="1"/>
  <c r="A186" i="1"/>
  <c r="A713" i="1"/>
  <c r="A723" i="1"/>
  <c r="A697" i="1"/>
  <c r="A729" i="1"/>
  <c r="A728" i="1"/>
  <c r="A748" i="1"/>
  <c r="A704" i="1"/>
  <c r="A737" i="1"/>
  <c r="A738" i="1"/>
  <c r="A721" i="1"/>
  <c r="A719" i="1"/>
  <c r="A741" i="1"/>
  <c r="A740" i="1"/>
  <c r="A701" i="1"/>
  <c r="A730" i="1"/>
  <c r="A710" i="1"/>
  <c r="A709" i="1"/>
  <c r="A707" i="1"/>
  <c r="A727" i="1"/>
  <c r="A698" i="1"/>
  <c r="A664" i="1"/>
  <c r="A687" i="1"/>
  <c r="A680" i="1"/>
  <c r="A174" i="1"/>
  <c r="A172" i="1"/>
  <c r="A661" i="1"/>
  <c r="A691" i="1"/>
  <c r="A690" i="1"/>
  <c r="A173" i="1"/>
  <c r="A679" i="1"/>
  <c r="A669" i="1"/>
  <c r="A643" i="1"/>
  <c r="A648" i="1"/>
  <c r="A642" i="1"/>
  <c r="A624" i="1"/>
  <c r="A158" i="1"/>
  <c r="A638" i="1"/>
  <c r="A633" i="1"/>
  <c r="A144" i="1"/>
  <c r="A626" i="1"/>
  <c r="A646" i="1"/>
  <c r="A645" i="1"/>
  <c r="A631" i="1"/>
  <c r="A640" i="1"/>
  <c r="A639" i="1"/>
  <c r="A168" i="1"/>
  <c r="A157" i="1"/>
  <c r="A150" i="1"/>
  <c r="A625" i="1"/>
  <c r="A613" i="1"/>
  <c r="A628" i="1"/>
  <c r="A627" i="1"/>
  <c r="A622" i="1"/>
  <c r="A621" i="1"/>
  <c r="A623" i="1"/>
  <c r="A535" i="1"/>
  <c r="A597" i="1"/>
  <c r="A593" i="1"/>
  <c r="A589" i="1"/>
  <c r="A586" i="1"/>
  <c r="A128" i="1"/>
  <c r="A596" i="1"/>
  <c r="A595" i="1"/>
  <c r="A124" i="1"/>
  <c r="A588" i="1"/>
  <c r="A121" i="1"/>
  <c r="A587" i="1"/>
  <c r="A575" i="1"/>
  <c r="A170" i="1"/>
  <c r="A569" i="1"/>
  <c r="A571" i="1"/>
  <c r="A570" i="1"/>
  <c r="A565" i="1"/>
  <c r="A562" i="1"/>
  <c r="A563" i="1"/>
  <c r="A567" i="1"/>
  <c r="A554" i="1"/>
  <c r="A111" i="1"/>
  <c r="A551" i="1"/>
  <c r="A550" i="1"/>
  <c r="A553" i="1"/>
  <c r="A552" i="1"/>
  <c r="A110" i="1"/>
  <c r="A549" i="1"/>
  <c r="A545" i="1"/>
  <c r="A166" i="1"/>
  <c r="A537" i="1"/>
  <c r="A539" i="1"/>
  <c r="A540" i="1"/>
  <c r="A538" i="1"/>
  <c r="A531" i="1"/>
  <c r="A530" i="1"/>
  <c r="A529" i="1"/>
  <c r="A524" i="1"/>
  <c r="A113" i="1"/>
  <c r="A517" i="1"/>
  <c r="A516" i="1"/>
  <c r="A521" i="1"/>
  <c r="A165" i="1"/>
  <c r="A510" i="1"/>
  <c r="A505" i="1"/>
  <c r="A507" i="1"/>
  <c r="A504" i="1"/>
  <c r="A506" i="1"/>
  <c r="A508" i="1"/>
  <c r="A87" i="1"/>
  <c r="A503" i="1"/>
  <c r="A84" i="1"/>
  <c r="A85" i="1"/>
  <c r="A496" i="1"/>
  <c r="A493" i="1"/>
  <c r="A82" i="1"/>
  <c r="A488" i="1"/>
  <c r="A485" i="1"/>
  <c r="A486" i="1"/>
  <c r="A484" i="1"/>
  <c r="A487" i="1"/>
  <c r="A73" i="1"/>
  <c r="A479" i="1"/>
  <c r="A164" i="1"/>
  <c r="A72" i="1"/>
  <c r="A518" i="1"/>
  <c r="A465" i="1"/>
  <c r="A464" i="1"/>
  <c r="A70" i="1"/>
  <c r="A461" i="1"/>
  <c r="A652" i="1"/>
  <c r="A458" i="1"/>
  <c r="A457" i="1"/>
  <c r="A454" i="1"/>
  <c r="A456" i="1"/>
  <c r="A455" i="1"/>
  <c r="A449" i="1"/>
  <c r="A62" i="1"/>
  <c r="A448" i="1"/>
  <c r="A447" i="1"/>
  <c r="A439" i="1"/>
  <c r="A438" i="1"/>
  <c r="A444" i="1"/>
  <c r="A443" i="1"/>
  <c r="A442" i="1"/>
  <c r="A441" i="1"/>
  <c r="A435" i="1"/>
  <c r="A445" i="1"/>
  <c r="A434" i="1"/>
  <c r="A433" i="1"/>
  <c r="A440" i="1"/>
  <c r="A436" i="1"/>
  <c r="A437" i="1"/>
  <c r="A429" i="1"/>
  <c r="A430" i="1"/>
  <c r="A432" i="1"/>
  <c r="A431" i="1"/>
  <c r="A423" i="1"/>
  <c r="A61" i="1"/>
  <c r="A421" i="1"/>
  <c r="A422" i="1"/>
  <c r="A414" i="1"/>
  <c r="A415" i="1"/>
  <c r="A56" i="1"/>
  <c r="A409" i="1"/>
  <c r="A410" i="1"/>
  <c r="A411" i="1"/>
  <c r="A162" i="1"/>
  <c r="A406" i="1"/>
  <c r="A407" i="1"/>
  <c r="A47" i="1"/>
  <c r="A391" i="1"/>
  <c r="A393" i="1"/>
  <c r="A392" i="1"/>
  <c r="A405" i="1"/>
  <c r="A44" i="1"/>
  <c r="A45" i="1"/>
  <c r="A398" i="1"/>
  <c r="A399" i="1"/>
  <c r="A397" i="1"/>
  <c r="A41" i="1"/>
  <c r="A387" i="1"/>
  <c r="A386" i="1"/>
  <c r="A606" i="1"/>
  <c r="A388" i="1"/>
  <c r="A40" i="1"/>
  <c r="A383" i="1"/>
  <c r="A384" i="1"/>
  <c r="A139" i="1"/>
  <c r="A138" i="1"/>
  <c r="A378" i="1"/>
  <c r="A370" i="1"/>
  <c r="A371" i="1"/>
  <c r="A372" i="1"/>
  <c r="A368" i="1"/>
  <c r="A367" i="1"/>
  <c r="A365" i="1"/>
  <c r="A362" i="1"/>
  <c r="A363" i="1"/>
  <c r="A364" i="1"/>
  <c r="A361" i="1"/>
  <c r="A359" i="1"/>
  <c r="A360" i="1"/>
  <c r="A137" i="1"/>
  <c r="A350" i="1"/>
  <c r="A355" i="1"/>
  <c r="A348" i="1"/>
  <c r="A357" i="1"/>
  <c r="A356" i="1"/>
  <c r="A347" i="1"/>
  <c r="A354" i="1"/>
  <c r="A346" i="1"/>
  <c r="A353" i="1"/>
  <c r="A344" i="1"/>
  <c r="A351" i="1"/>
  <c r="A352" i="1"/>
  <c r="A345" i="1"/>
  <c r="A349" i="1"/>
  <c r="A33" i="1"/>
  <c r="A338" i="1"/>
  <c r="A331" i="1"/>
  <c r="A31" i="1"/>
  <c r="A136" i="1"/>
  <c r="A330" i="1"/>
  <c r="A135" i="1"/>
  <c r="A132" i="1"/>
  <c r="A325" i="1"/>
  <c r="A324" i="1"/>
  <c r="A323" i="1"/>
  <c r="A29" i="1"/>
  <c r="A131" i="1"/>
  <c r="A318" i="1"/>
  <c r="A316" i="1"/>
  <c r="A102" i="1"/>
  <c r="A103" i="1"/>
  <c r="A101" i="1"/>
  <c r="A26" i="1"/>
  <c r="A313" i="1"/>
  <c r="A25" i="1"/>
  <c r="A24" i="1"/>
  <c r="A130" i="1"/>
  <c r="A307" i="1"/>
  <c r="A306" i="1"/>
  <c r="A453" i="1"/>
  <c r="A22" i="1"/>
  <c r="A301" i="1"/>
  <c r="A300" i="1"/>
  <c r="A20" i="1"/>
  <c r="A296" i="1"/>
  <c r="A298" i="1"/>
  <c r="A297" i="1"/>
  <c r="A134" i="1"/>
  <c r="A491" i="1"/>
  <c r="A293" i="1"/>
  <c r="A18" i="1"/>
  <c r="A17" i="1"/>
  <c r="A289" i="1"/>
  <c r="A288" i="1"/>
  <c r="A286" i="1"/>
  <c r="A285" i="1"/>
  <c r="A280" i="1"/>
  <c r="A284" i="1"/>
  <c r="A279" i="1"/>
  <c r="A278" i="1"/>
  <c r="A277" i="1"/>
  <c r="A283" i="1"/>
  <c r="A282" i="1"/>
  <c r="A281" i="1"/>
  <c r="A276" i="1"/>
  <c r="A274" i="1"/>
  <c r="A275" i="1"/>
  <c r="A273" i="1"/>
  <c r="A272" i="1"/>
  <c r="A16" i="1"/>
  <c r="A270" i="1"/>
  <c r="A271" i="1"/>
  <c r="A268" i="1"/>
  <c r="A267" i="1"/>
  <c r="A515" i="1"/>
  <c r="A266" i="1"/>
  <c r="A262" i="1"/>
  <c r="A263" i="1"/>
  <c r="A15" i="1"/>
  <c r="A253" i="1"/>
  <c r="A254" i="1"/>
  <c r="A252" i="1"/>
  <c r="A248" i="1"/>
  <c r="A11" i="1"/>
  <c r="A244" i="1"/>
  <c r="A243" i="1"/>
  <c r="A242" i="1"/>
  <c r="A241" i="1"/>
  <c r="A240" i="1"/>
  <c r="A239" i="1"/>
  <c r="A237" i="1"/>
  <c r="A236" i="1"/>
  <c r="A235" i="1"/>
  <c r="A234" i="1"/>
  <c r="A233" i="1"/>
  <c r="A232" i="1"/>
  <c r="A230" i="1"/>
  <c r="A229" i="1"/>
  <c r="A228" i="1"/>
  <c r="A10" i="1"/>
  <c r="A226" i="1"/>
  <c r="A225" i="1"/>
  <c r="A224" i="1"/>
  <c r="A223" i="1"/>
  <c r="A220" i="1"/>
  <c r="A219" i="1"/>
  <c r="A218" i="1"/>
  <c r="A216" i="1"/>
  <c r="A215" i="1"/>
  <c r="A213" i="1"/>
  <c r="A210" i="1"/>
  <c r="A209" i="1"/>
  <c r="A208" i="1"/>
  <c r="A207" i="1"/>
  <c r="A205" i="1"/>
  <c r="A204" i="1"/>
  <c r="A203" i="1"/>
  <c r="A202" i="1"/>
  <c r="A201" i="1"/>
  <c r="A200" i="1"/>
  <c r="A199" i="1"/>
  <c r="A198" i="1"/>
  <c r="A197" i="1"/>
  <c r="A196" i="1"/>
  <c r="A9" i="1"/>
  <c r="A95" i="1"/>
  <c r="A92" i="1"/>
  <c r="A7" i="1"/>
  <c r="A8" i="1"/>
  <c r="A93" i="1"/>
  <c r="A96" i="1"/>
  <c r="A238" i="1"/>
  <c r="A65" i="1"/>
  <c r="A245" i="1"/>
  <c r="A246" i="1"/>
  <c r="A247" i="1"/>
  <c r="A249" i="1"/>
  <c r="A250" i="1"/>
  <c r="A12" i="1"/>
  <c r="A13" i="1"/>
  <c r="A14" i="1"/>
  <c r="A50" i="1"/>
  <c r="A256" i="1"/>
  <c r="A258" i="1"/>
  <c r="A257" i="1"/>
  <c r="A259" i="1"/>
  <c r="A260" i="1"/>
  <c r="A261" i="1"/>
  <c r="A264" i="1"/>
  <c r="A265" i="1"/>
  <c r="A269" i="1"/>
  <c r="A290" i="1"/>
  <c r="A140" i="1"/>
  <c r="A292" i="1"/>
  <c r="A294" i="1"/>
  <c r="A160" i="1"/>
  <c r="A19" i="1"/>
  <c r="A299" i="1"/>
  <c r="A21" i="1"/>
  <c r="A169" i="1"/>
  <c r="A303" i="1"/>
  <c r="A304" i="1"/>
  <c r="A308" i="1"/>
  <c r="A381" i="1"/>
  <c r="A23" i="1"/>
  <c r="A27" i="1"/>
  <c r="A317" i="1"/>
  <c r="A28" i="1"/>
  <c r="A320" i="1"/>
  <c r="A312" i="1"/>
  <c r="A30" i="1"/>
  <c r="A332" i="1"/>
  <c r="A333" i="1"/>
  <c r="A32" i="1"/>
  <c r="A339" i="1"/>
  <c r="A341" i="1"/>
  <c r="A340" i="1"/>
  <c r="A342" i="1"/>
  <c r="A34" i="1"/>
  <c r="A35" i="1"/>
  <c r="A36" i="1"/>
  <c r="A366" i="1"/>
  <c r="A37" i="1"/>
  <c r="A38" i="1"/>
  <c r="A39" i="1"/>
  <c r="A369" i="1"/>
  <c r="A376" i="1"/>
  <c r="A374" i="1"/>
  <c r="A375" i="1"/>
  <c r="A373" i="1"/>
  <c r="A377" i="1"/>
  <c r="A379" i="1"/>
  <c r="A380" i="1"/>
  <c r="A382" i="1"/>
  <c r="A385" i="1"/>
  <c r="A394" i="1"/>
  <c r="A42" i="1"/>
  <c r="A88" i="1"/>
  <c r="A396" i="1"/>
  <c r="A43" i="1"/>
  <c r="A400" i="1"/>
  <c r="A401" i="1"/>
  <c r="A402" i="1"/>
  <c r="A46" i="1"/>
  <c r="A404" i="1"/>
  <c r="A390" i="1"/>
  <c r="A48" i="1"/>
  <c r="A49" i="1"/>
  <c r="A53" i="1"/>
  <c r="A55" i="1"/>
  <c r="A408" i="1"/>
  <c r="A57" i="1"/>
  <c r="A413" i="1"/>
  <c r="A416" i="1"/>
  <c r="A58" i="1"/>
  <c r="A419" i="1"/>
  <c r="A417" i="1"/>
  <c r="A420" i="1"/>
  <c r="A418" i="1"/>
  <c r="A60" i="1"/>
  <c r="A403" i="1"/>
  <c r="A163" i="1"/>
  <c r="A63" i="1"/>
  <c r="A534" i="1"/>
  <c r="A66" i="1"/>
  <c r="A459" i="1"/>
  <c r="A460" i="1"/>
  <c r="A67" i="1"/>
  <c r="A462" i="1"/>
  <c r="A463" i="1"/>
  <c r="A68" i="1"/>
  <c r="A69" i="1"/>
  <c r="A466" i="1"/>
  <c r="A469" i="1"/>
  <c r="A468" i="1"/>
  <c r="A471" i="1"/>
  <c r="A412" i="1"/>
  <c r="A475" i="1"/>
  <c r="A476" i="1"/>
  <c r="A477" i="1"/>
  <c r="A478" i="1"/>
  <c r="A473" i="1"/>
  <c r="A474" i="1"/>
  <c r="A74" i="1"/>
  <c r="A481" i="1"/>
  <c r="A59" i="1"/>
  <c r="A483" i="1"/>
  <c r="A482" i="1"/>
  <c r="A77" i="1"/>
  <c r="A76" i="1"/>
  <c r="A79" i="1"/>
  <c r="A80" i="1"/>
  <c r="A81" i="1"/>
  <c r="A78" i="1"/>
  <c r="A75" i="1"/>
  <c r="A480" i="1"/>
  <c r="A490" i="1"/>
  <c r="A489" i="1"/>
  <c r="A83" i="1"/>
  <c r="A494" i="1"/>
  <c r="A495" i="1"/>
  <c r="A499" i="1"/>
  <c r="A497" i="1"/>
  <c r="A498" i="1"/>
  <c r="A86" i="1"/>
  <c r="A502" i="1"/>
  <c r="A89" i="1"/>
  <c r="A90" i="1"/>
  <c r="A94" i="1"/>
  <c r="A511" i="1"/>
  <c r="A99" i="1"/>
  <c r="A512" i="1"/>
  <c r="A100" i="1"/>
  <c r="A513" i="1"/>
  <c r="A514" i="1"/>
  <c r="A519" i="1"/>
  <c r="A520" i="1"/>
  <c r="A522" i="1"/>
  <c r="A523" i="1"/>
  <c r="A105" i="1"/>
  <c r="A106" i="1"/>
  <c r="A532" i="1"/>
  <c r="A533" i="1"/>
  <c r="A564" i="1"/>
  <c r="A108" i="1"/>
  <c r="A500" i="1"/>
  <c r="A501" i="1"/>
  <c r="A544" i="1"/>
  <c r="A112" i="1"/>
  <c r="A556" i="1"/>
  <c r="A555" i="1"/>
  <c r="A114" i="1"/>
  <c r="A560" i="1"/>
  <c r="A115" i="1"/>
  <c r="A116" i="1"/>
  <c r="A566" i="1"/>
  <c r="A568" i="1"/>
  <c r="A117" i="1"/>
  <c r="A104" i="1"/>
  <c r="A179" i="1"/>
  <c r="A122" i="1"/>
  <c r="A129" i="1"/>
  <c r="A118" i="1"/>
  <c r="A120" i="1"/>
  <c r="A133" i="1"/>
  <c r="A594" i="1"/>
  <c r="A592" i="1"/>
  <c r="A127" i="1"/>
  <c r="A125" i="1"/>
  <c r="A123" i="1"/>
  <c r="A601" i="1"/>
  <c r="A584" i="1"/>
  <c r="A603" i="1"/>
  <c r="A590" i="1"/>
  <c r="A602" i="1"/>
  <c r="A600" i="1"/>
  <c r="A585" i="1"/>
  <c r="A159" i="1"/>
  <c r="A632" i="1"/>
  <c r="A612" i="1"/>
  <c r="A156" i="1"/>
  <c r="A605" i="1"/>
  <c r="A604" i="1"/>
  <c r="A145" i="1"/>
  <c r="A147" i="1"/>
  <c r="A641" i="1"/>
  <c r="A630" i="1"/>
  <c r="A153" i="1"/>
  <c r="A607" i="1"/>
  <c r="A618" i="1"/>
  <c r="A619" i="1"/>
  <c r="A644" i="1"/>
  <c r="A636" i="1"/>
  <c r="A634" i="1"/>
  <c r="A152" i="1"/>
  <c r="A151" i="1"/>
  <c r="A141" i="1"/>
  <c r="A615" i="1"/>
  <c r="A647" i="1"/>
  <c r="A616" i="1"/>
  <c r="A149" i="1"/>
  <c r="A148" i="1"/>
  <c r="A154" i="1"/>
  <c r="A155" i="1"/>
  <c r="A668" i="1"/>
  <c r="A175" i="1"/>
  <c r="A684" i="1"/>
  <c r="A677" i="1"/>
  <c r="A667" i="1"/>
  <c r="A682" i="1"/>
  <c r="A678" i="1"/>
  <c r="A693" i="1"/>
  <c r="A657" i="1"/>
  <c r="A658" i="1"/>
  <c r="A675" i="1"/>
  <c r="A676" i="1"/>
  <c r="A665" i="1"/>
  <c r="A660" i="1"/>
  <c r="A663" i="1"/>
  <c r="A689" i="1"/>
  <c r="A683" i="1"/>
  <c r="A670" i="1"/>
  <c r="A671" i="1"/>
  <c r="A672" i="1"/>
  <c r="A674" i="1"/>
  <c r="A673" i="1"/>
  <c r="A692" i="1"/>
  <c r="A177" i="1"/>
  <c r="A176" i="1"/>
  <c r="A716" i="1"/>
  <c r="A171" i="1"/>
  <c r="A167" i="1"/>
  <c r="A651" i="1"/>
  <c r="A749" i="1"/>
  <c r="A720" i="1"/>
  <c r="A696" i="1"/>
  <c r="A739" i="1"/>
  <c r="A183" i="1"/>
  <c r="A706" i="1"/>
  <c r="A708" i="1"/>
  <c r="A711" i="1"/>
  <c r="A712" i="1"/>
  <c r="A731" i="1"/>
  <c r="A702" i="1"/>
  <c r="A724" i="1"/>
  <c r="A703" i="1"/>
  <c r="A743" i="1"/>
  <c r="A744" i="1"/>
  <c r="A705" i="1"/>
  <c r="A189" i="1"/>
  <c r="A188" i="1"/>
  <c r="A746" i="1"/>
  <c r="A742" i="1"/>
  <c r="A699" i="1"/>
  <c r="A733" i="1"/>
  <c r="A732" i="1"/>
  <c r="A735" i="1"/>
  <c r="A734" i="1"/>
  <c r="A700" i="1"/>
  <c r="A714" i="1"/>
  <c r="A751" i="1"/>
  <c r="A736" i="1"/>
  <c r="A722" i="1"/>
  <c r="A142" i="1"/>
  <c r="A726" i="1"/>
  <c r="A745" i="1"/>
  <c r="A750" i="1"/>
  <c r="A695" i="1"/>
  <c r="A725" i="1"/>
  <c r="A715" i="1"/>
  <c r="A161" i="1"/>
  <c r="A190" i="1"/>
  <c r="A655" i="1"/>
</calcChain>
</file>

<file path=xl/sharedStrings.xml><?xml version="1.0" encoding="utf-8"?>
<sst xmlns="http://schemas.openxmlformats.org/spreadsheetml/2006/main" count="7013" uniqueCount="3277">
  <si>
    <t>Gene Count:</t>
  </si>
  <si>
    <t>Background Gene Count:</t>
  </si>
  <si>
    <t>Ontology:</t>
  </si>
  <si>
    <t>E:\GOAnalyzer\Deployment\Data\gofiles\go-basic.obo</t>
  </si>
  <si>
    <t>Annotation:</t>
  </si>
  <si>
    <t>E:\GOAnalyzer\Deployment\data\gofiles\Gene-GO_association.wheat2022</t>
  </si>
  <si>
    <t>Hierarchy:</t>
  </si>
  <si>
    <t>biological_process</t>
  </si>
  <si>
    <t>Correction:</t>
  </si>
  <si>
    <t>BH FDR p-value adjustment</t>
  </si>
  <si>
    <t>Max Path Length From Leaf:</t>
  </si>
  <si>
    <t>N/A</t>
  </si>
  <si>
    <t>Min Path Length From Root:</t>
  </si>
  <si>
    <t>GO ID</t>
  </si>
  <si>
    <t>Description</t>
  </si>
  <si>
    <t>P-Value</t>
  </si>
  <si>
    <t>Corrected P-Value</t>
  </si>
  <si>
    <t>Total Genes</t>
  </si>
  <si>
    <t>Matched Gene Counts</t>
  </si>
  <si>
    <t>Matched Genes</t>
  </si>
  <si>
    <t>cellular component biogenesis</t>
  </si>
  <si>
    <t>59 (3.25%)</t>
  </si>
  <si>
    <t>TraesCS2A03G0229400;TraesCS7B03G0877500;TraesCS2D03G0644100;TraesCS1B03G0982500;TraesCS1B03G0788000;TraesCS5A03G0785100;TraesCS2B03G1153800;TraesCS7D03G0624900;TraesCS1A03G0691100;TraesCS3A03G0446500;TraesCS7B03G0917200;TraesCS6B03G1260400;TraesCS7B03G0876600;TraesCS1B03G0841400;TraesCS2B03G1463600;TraesCS4D03G0331800;TraesCS7A03G1035500;TraesCS3B03G0108500;TraesCS6A03G0713400;TraesCS3B03G0108300;TraesCS5B03G0875800;TraesCS4A03G0390200;TraesCS7B03G0876800;TraesCS2B03G0966000;TraesCS3D03G1159800;TraesCS2D03G0427900;TraesCS7D03G0992500;TraesCS5B03G0378800;TraesCS1D03G0870500;TraesCS1D03G0010900;TraesCS2A03G0923600;TraesCS6A03G0122300;TraesCS1B03G0263000;TraesCS6B03G0186600;TraesCS6D03G0396800;TraesCS1B03G0515500;TraesCS3D03G1089500;TraesCS4B03G0454300;TraesCS7A03G1073700;TraesCS5A03G0835900;TraesCS4D03G0361400;TraesCS7D03G0991300;TraesCS3D03G0779100;TraesCS7D03G0991100;TraesCS6B03G0629000;TraesCS6B03G0988400;TraesCS1B03G0654200;TraesCS1B03G1049800;TraesCS7A03G1037700;TraesCS7A03G0751500;TraesCS7B03G0469000;TraesCS1D03G0654900;TraesCS1B03G0636600;TraesCS2D03G0235500;TraesCS7D03G1023900;TraesCS7D03G1033100;TraesCS7D03G0715000;TraesCS1B03G0020700;TraesCS5D03G0270100</t>
  </si>
  <si>
    <t>cellular modified amino acid metabolic process</t>
  </si>
  <si>
    <t>25 (5.39%)</t>
  </si>
  <si>
    <t>TraesCS3D03G0686300;TraesCS5B03G1172800;TraesCS1B03G0139900;TraesCS1A03G0501900;TraesCS4A03G0045900;TraesCS1D03G0221300;TraesCS4B03G0857300;TraesCS4D03G0493400;TraesCS3D03G0978800;TraesCS1D03G0221500;TraesCS2A03G0129000;TraesCS3A03G1049300;TraesCS3D03G0337600;TraesCS1B03G0574900;TraesCS2D03G1101000;TraesCS1B03G0574500;TraesCS2B03G1308200;TraesCS2A03G1152000;TraesCS1D03G0486300;TraesCS3D03G1077900;TraesCS6B03G1189600;TraesCS1A03G0249300;TraesCS4D03G0492800;TraesCS5D03G0473100;TraesCS3D03G0686600</t>
  </si>
  <si>
    <t>L-serine biosynthetic process</t>
  </si>
  <si>
    <t>6 (37.5%)</t>
  </si>
  <si>
    <t>TraesCS7A03G0399200;TraesCS7D03G1144000;TraesCS4A03G0060100;TraesCS7B03G1078600;TraesCS7B03G0199600;TraesCS2A03G1182500</t>
  </si>
  <si>
    <t>hemicellulose metabolic process</t>
  </si>
  <si>
    <t>16 (7.62%)</t>
  </si>
  <si>
    <t>TraesCS7B03G0876600;TraesCS7A03G1037700;TraesCS7A03G1035500;TraesCS7B03G0877500;TraesCS3D03G1089500;TraesCS7A03G1073700;TraesCS7B03G0876800;TraesCS7D03G0991300;TraesCS2B03G1153800;TraesCS7D03G0992500;TraesCS7D03G0991100;TraesCS7D03G1023900;TraesCS7B03G0917200;TraesCS3B03G1276900;TraesCS2A03G0923600;TraesCS6B03G1260400</t>
  </si>
  <si>
    <t>cell wall polysaccharide metabolic process</t>
  </si>
  <si>
    <t>16 (7.34%)</t>
  </si>
  <si>
    <t>protein folding</t>
  </si>
  <si>
    <t>20 (5.54%)</t>
  </si>
  <si>
    <t>TraesCS2D03G0714700;TraesCS1A03G0565000;TraesCS2B03G0419300;TraesCS6B03G1050700;TraesCS3B03G0108500;TraesCS5A03G0733900;TraesCS1B03G0473000;TraesCS1D03G0542400;TraesCS3B03G0108300;TraesCS4A03G0569900;TraesCS7D03G0654000;TraesCS5A03G0796500;TraesCS6A03G0877100;TraesCS5D03G0696400;TraesCS1D03G0166300;TraesCS6D03G0748600;TraesCS1B03G0020700;TraesCS1D03G0364300;TraesCS1D03G0010900;TraesCS1A03G0391400</t>
  </si>
  <si>
    <t>cellular component organization or biogenesis</t>
  </si>
  <si>
    <t>89 (2.52%)</t>
  </si>
  <si>
    <t>TraesCS2A03G0229400;TraesCS2B03G1296100;TraesCS7B03G0877500;TraesCS4A03G0608900;TraesCS4B03G1000000;TraesCS5B03G1168500;TraesCS2D03G0644100;TraesCS6A03G0729500;TraesCS6D03G0011000;TraesCS1B03G0982500;TraesCS2B03G0320600;TraesCS5D03G0369100;TraesCS1B03G0788000;TraesCS5A03G0785100;TraesCS2B03G1153800;TraesCS7D03G0624900;TraesCS1A03G0691100;TraesCS3A03G0446500;TraesCS2D03G0749200;TraesCS7B03G0917200;TraesCS6B03G1260400;TraesCS7B03G0876600;TraesCS1B03G0841400;TraesCS2B03G1463600;TraesCS4D03G0331800;TraesCS7A03G1035500;TraesCS3B03G0108500;TraesCS5A03G0528100;TraesCS6A03G0713400;TraesCS3B03G0108300;TraesCS5B03G0875800;TraesCS4A03G0390200;TraesCS7B03G0876800;TraesCS2B03G0966000;TraesCS3D03G1159800;TraesCS2D03G0427900;TraesCS7D03G0992500;TraesCS5B03G0378800;TraesCS3D03G0816100;TraesCS1D03G0870500;TraesCS2B03G0480100;TraesCS7A03G0844200;TraesCS1A03G0826700;TraesCS2B03G0224700;TraesCS3B03G0520500;TraesCS1D03G0010900;TraesCS2A03G0923600;TraesCS2B03G1353400;TraesCS6A03G0122300;TraesCS1B03G0263000;TraesCS6B03G0186600;TraesCS6D03G0396800;TraesCS1B03G0515500;TraesCS5A03G0199200;TraesCS5B03G1017600;TraesCS3D03G1089500;TraesCS4B03G0454300;TraesCS7A03G1073700;TraesCS1D03G0597100;TraesCS5A03G0835900;TraesCS4D03G0361400;TraesCS6D03G0611700;TraesCS7D03G0991300;TraesCS3D03G0779100;TraesCS4D03G0040400;TraesCS2A03G0161300;TraesCS7D03G0991100;TraesCS4B03G0536000;TraesCS6B03G0629000;TraesCS1D03G0143400;TraesCS4A03G0086300;TraesCS6B03G0988400;TraesCS1B03G0654200;TraesCS1B03G1049800;TraesCS7A03G1037700;TraesCS7A03G0751500;TraesCS7B03G0469000;TraesCS1D03G0654900;TraesCS1B03G0205900;TraesCS2D03G0664300;TraesCS1B03G0636600;TraesCS2D03G0235500;TraesCS3D03G0411500;TraesCS7D03G1023900;TraesCS2B03G0796300;TraesCS7D03G1033100;TraesCS7D03G0715000;TraesCS1B03G0020700;TraesCS5D03G0270100</t>
  </si>
  <si>
    <t>L-serine metabolic process</t>
  </si>
  <si>
    <t>9 (12.16%)</t>
  </si>
  <si>
    <t>TraesCS2A03G1152000;TraesCS7A03G0399200;TraesCS7D03G1144000;TraesCS4A03G0060100;TraesCS2D03G1101000;TraesCS7B03G1078600;TraesCS7B03G0199600;TraesCS2A03G1182500;TraesCS2B03G1308200</t>
  </si>
  <si>
    <t>serine family amino acid biosynthetic process</t>
  </si>
  <si>
    <t>9 (11.54%)</t>
  </si>
  <si>
    <t>small molecule metabolic process</t>
  </si>
  <si>
    <t>80 (2.52%)</t>
  </si>
  <si>
    <t>TraesCS5B03G1172800;TraesCS6B03G0732400;TraesCS6A03G0924100;TraesCS6A03G0601600;TraesCS1D03G0544900;TraesCS6A03G0193300;TraesCS2B03G0104900;TraesCS3B03G0052400;TraesCS1D03G0358300;TraesCS7A03G0571800;TraesCS5A03G0800900;TraesCS6B03G0634300;TraesCS4D03G0639000;TraesCS2D03G0804700;TraesCS7A03G0545200;TraesCS4B03G0335600;TraesCS6D03G0525200;TraesCS3D03G1185400;TraesCS7A03G1037400;TraesCS1D03G0881300;TraesCS3A03G0046100;TraesCS7D03G0553900;TraesCS3D03G0337600;TraesCS1D03G0581300;TraesCS6A03G0872300;TraesCS5D03G0063200;TraesCS2D03G1101000;TraesCS5B03G0703200;TraesCS5D03G0860800;TraesCS6B03G0433700;TraesCS3D03G0041800;TraesCS1D03G1043500;TraesCS5D03G0303800;TraesCS2B03G1308200;TraesCS6A03G0617100;TraesCS7A03G0399200;TraesCS5D03G0077800;TraesCS2B03G1015200;TraesCS3D03G0816100;TraesCS7B03G0671400;TraesCS4A03G0796400;TraesCS6A03G0351700;TraesCS7D03G0516600;TraesCS1D03G0815700;TraesCS7B03G0199600;TraesCS5D03G0649600;TraesCS6D03G0505200;TraesCS1A03G0902800;TraesCS4A03G0060100;TraesCS3B03G0686400;TraesCS6A03G0376800;TraesCS7B03G0355300;TraesCS1A03G0606500;TraesCS3B03G0831500;TraesCS6A03G0397300;TraesCS2A03G0926800;TraesCS7A03G0949600;TraesCS1A03G1082100;TraesCS5A03G0332600;TraesCS2D03G0634200;TraesCS5B03G0833900;TraesCS1A03G0821600;TraesCS5B03G0718300;TraesCS3A03G1207400;TraesCS3A03G0640300;TraesCS7B03G1078600;TraesCS7D03G0914900;TraesCS6D03G0290400;TraesCS2A03G1152000;TraesCS2D03G0644900;TraesCS3A03G0609400;TraesCS7D03G1144000;TraesCS1D03G0790700;TraesCS1B03G1279700;TraesCS2A03G0302300;TraesCS1A03G0874600;TraesCS3B03G0434100;TraesCS5D03G0758500;TraesCS2B03G0102100;TraesCS2A03G1182500</t>
  </si>
  <si>
    <t>glutathione metabolic process</t>
  </si>
  <si>
    <t>20 (5.01%)</t>
  </si>
  <si>
    <t>TraesCS3D03G0686300;TraesCS1B03G0139900;TraesCS1A03G0501900;TraesCS1B03G0574900;TraesCS4A03G0045900;TraesCS1B03G0574500;TraesCS1D03G0221300;TraesCS1D03G0486300;TraesCS3D03G1077900;TraesCS4B03G0857300;TraesCS4D03G0493400;TraesCS3D03G0978800;TraesCS1D03G0221500;TraesCS2A03G0129000;TraesCS6B03G1189600;TraesCS1A03G0249300;TraesCS4D03G0492800;TraesCS5D03G0473100;TraesCS3A03G1049300;TraesCS3D03G0686600</t>
  </si>
  <si>
    <t>cell wall macromolecule metabolic process</t>
  </si>
  <si>
    <t>17 (5.65%)</t>
  </si>
  <si>
    <t>TraesCS7B03G0876600;TraesCS7A03G1037700;TraesCS7A03G1035500;TraesCS7B03G0877500;TraesCS3D03G1089500;TraesCS7A03G1073700;TraesCS7B03G0876800;TraesCS7D03G0991300;TraesCS2B03G1153800;TraesCS7D03G0992500;TraesCS7D03G0991100;TraesCS7D03G1023900;TraesCS7B03G0917200;TraesCS3B03G1276900;TraesCS7B03G0380700;TraesCS2A03G0923600;TraesCS6B03G1260400</t>
  </si>
  <si>
    <t>nucleobase-containing small molecule biosynthetic process</t>
  </si>
  <si>
    <t>5 (29.41%)</t>
  </si>
  <si>
    <t>TraesCS6B03G0732400;TraesCS6A03G0601600;TraesCS6D03G0525200;TraesCS6A03G0617100;TraesCS6D03G0505200</t>
  </si>
  <si>
    <t>nucleoside biosynthetic process</t>
  </si>
  <si>
    <t>purine nucleoside biosynthetic process</t>
  </si>
  <si>
    <t>ribonucleoside biosynthetic process</t>
  </si>
  <si>
    <t>purine ribonucleoside biosynthetic process</t>
  </si>
  <si>
    <t>cellular component organization</t>
  </si>
  <si>
    <t>77 (2.51%)</t>
  </si>
  <si>
    <t>TraesCS2A03G0229400;TraesCS2B03G1296100;TraesCS4A03G0608900;TraesCS4B03G1000000;TraesCS5B03G1168500;TraesCS6A03G0729500;TraesCS6D03G0011000;TraesCS1B03G0982500;TraesCS2B03G0320600;TraesCS5D03G0369100;TraesCS1B03G0788000;TraesCS5A03G0785100;TraesCS2B03G1153800;TraesCS7D03G0624900;TraesCS1A03G0691100;TraesCS3A03G0446500;TraesCS2D03G0749200;TraesCS6B03G1260400;TraesCS7B03G0876600;TraesCS1B03G0841400;TraesCS2B03G1463600;TraesCS7A03G1035500;TraesCS3B03G0108500;TraesCS5A03G0528100;TraesCS6A03G0713400;TraesCS3B03G0108300;TraesCS5B03G0875800;TraesCS2B03G0966000;TraesCS3D03G1159800;TraesCS2D03G0427900;TraesCS7D03G0992500;TraesCS3D03G0816100;TraesCS1D03G0870500;TraesCS2B03G0480100;TraesCS7A03G0844200;TraesCS1A03G0826700;TraesCS2B03G0224700;TraesCS3B03G0520500;TraesCS1D03G0010900;TraesCS2B03G1353400;TraesCS6A03G0122300;TraesCS1B03G0263000;TraesCS6B03G0186600;TraesCS6D03G0396800;TraesCS1B03G0515500;TraesCS5A03G0199200;TraesCS5B03G1017600;TraesCS4B03G0454300;TraesCS1D03G0597100;TraesCS5A03G0835900;TraesCS4D03G0361400;TraesCS6D03G0611700;TraesCS7D03G0991300;TraesCS3D03G0779100;TraesCS4D03G0040400;TraesCS2A03G0161300;TraesCS7D03G0991100;TraesCS4B03G0536000;TraesCS6B03G0629000;TraesCS1D03G0143400;TraesCS4A03G0086300;TraesCS1B03G0654200;TraesCS1B03G1049800;TraesCS7A03G1037700;TraesCS7A03G0751500;TraesCS7B03G0469000;TraesCS1D03G0654900;TraesCS1B03G0205900;TraesCS2D03G0664300;TraesCS1B03G0636600;TraesCS2D03G0235500;TraesCS3D03G0411500;TraesCS2B03G0796300;TraesCS7D03G1033100;TraesCS7D03G0715000;TraesCS1B03G0020700;TraesCS5D03G0270100</t>
  </si>
  <si>
    <t>cellular component assembly</t>
  </si>
  <si>
    <t>39 (3.26%)</t>
  </si>
  <si>
    <t>TraesCS1B03G0263000;TraesCS2A03G0229400;TraesCS6B03G0186600;TraesCS6D03G0396800;TraesCS1B03G0515500;TraesCS4B03G0454300;TraesCS1B03G0982500;TraesCS5A03G0835900;TraesCS1B03G0788000;TraesCS4D03G0361400;TraesCS5A03G0785100;TraesCS3D03G0779100;TraesCS7D03G0624900;TraesCS1A03G0691100;TraesCS3A03G0446500;TraesCS6B03G0629000;TraesCS1B03G0654200;TraesCS1B03G1049800;TraesCS1B03G0841400;TraesCS2B03G1463600;TraesCS3B03G0108500;TraesCS6A03G0713400;TraesCS7A03G0751500;TraesCS7B03G0469000;TraesCS3B03G0108300;TraesCS1D03G0654900;TraesCS5B03G0875800;TraesCS2B03G0966000;TraesCS3D03G1159800;TraesCS1B03G0636600;TraesCS2D03G0235500;TraesCS2D03G0427900;TraesCS1D03G0870500;TraesCS7D03G1033100;TraesCS7D03G0715000;TraesCS1B03G0020700;TraesCS1D03G0010900;TraesCS5D03G0270100;TraesCS6A03G0122300</t>
  </si>
  <si>
    <t>glycosyl compound biosynthetic process</t>
  </si>
  <si>
    <t>5 (26.32%)</t>
  </si>
  <si>
    <t>serine family amino acid metabolic process</t>
  </si>
  <si>
    <t>10 (8.47%)</t>
  </si>
  <si>
    <t>TraesCS2A03G1152000;TraesCS7A03G0399200;TraesCS7D03G1144000;TraesCS4A03G0060100;TraesCS2D03G1101000;TraesCS7B03G1078600;TraesCS7B03G0199600;TraesCS2A03G1182500;TraesCS6A03G0397300;TraesCS2B03G1308200</t>
  </si>
  <si>
    <t>response to inorganic substance</t>
  </si>
  <si>
    <t>22 (4.24%)</t>
  </si>
  <si>
    <t>TraesCS1B03G0263000;TraesCS6B03G0186600;TraesCS1B03G0841400;TraesCS3B03G0108500;TraesCS4A03G0852200;TraesCS4B03G0759800;TraesCS1A03G1031600;TraesCS3B03G0108300;TraesCS7D03G0509700;TraesCS1D03G0953700;TraesCS5A03G0835900;TraesCS5B03G0875800;TraesCS3A03G0933300;TraesCS4D03G0528000;TraesCS2A03G1241200;TraesCS6D03G0773900;TraesCS1B03G0882400;TraesCS5B03G0217600;TraesCS4A03G0180900;TraesCS7B03G0347800;TraesCS6A03G0122300;TraesCS6A03G0684600</t>
  </si>
  <si>
    <t>mitochondrial respiratory chain complex assembly</t>
  </si>
  <si>
    <t>6 (16.67%)</t>
  </si>
  <si>
    <t>TraesCS2A03G0229400;TraesCS2D03G0235500;TraesCS7D03G0624900;TraesCS7B03G0469000;TraesCS7D03G1033100;TraesCS1B03G0654200</t>
  </si>
  <si>
    <t>ribonucleoside metabolic process</t>
  </si>
  <si>
    <t>6 (16.22%)</t>
  </si>
  <si>
    <t>TraesCS6B03G0732400;TraesCS6A03G0601600;TraesCS3A03G0640300;TraesCS6D03G0525200;TraesCS6A03G0617100;TraesCS6D03G0505200</t>
  </si>
  <si>
    <t>alpha-amino acid metabolic process</t>
  </si>
  <si>
    <t>23 (4%)</t>
  </si>
  <si>
    <t>TraesCS5B03G1172800;TraesCS3A03G0046100;TraesCS4A03G0060100;TraesCS2D03G1101000;TraesCS7B03G1078600;TraesCS7D03G0914900;TraesCS3B03G0052400;TraesCS3D03G0041800;TraesCS3B03G0831500;TraesCS6A03G0397300;TraesCS2B03G1308200;TraesCS2A03G1152000;TraesCS3A03G0609400;TraesCS7A03G0399200;TraesCS5D03G0077800;TraesCS7A03G0949600;TraesCS7D03G1144000;TraesCS2B03G1015200;TraesCS7B03G0671400;TraesCS1A03G0874600;TraesCS2B03G0102100;TraesCS7B03G0199600;TraesCS2A03G1182500</t>
  </si>
  <si>
    <t>protein-containing complex assembly</t>
  </si>
  <si>
    <t>31 (3.4%)</t>
  </si>
  <si>
    <t>TraesCS1B03G0263000;TraesCS2A03G0229400;TraesCS6B03G0186600;TraesCS4B03G0454300;TraesCS1B03G0982500;TraesCS5A03G0835900;TraesCS4D03G0361400;TraesCS5A03G0785100;TraesCS3D03G0779100;TraesCS7D03G0624900;TraesCS3A03G0446500;TraesCS6B03G0629000;TraesCS1B03G0654200;TraesCS1B03G1049800;TraesCS1B03G0841400;TraesCS3B03G0108500;TraesCS7A03G0751500;TraesCS7B03G0469000;TraesCS3B03G0108300;TraesCS5B03G0875800;TraesCS2B03G0966000;TraesCS3D03G1159800;TraesCS1B03G0636600;TraesCS2D03G0235500;TraesCS2D03G0427900;TraesCS1D03G0870500;TraesCS7D03G1033100;TraesCS7D03G0715000;TraesCS1B03G0020700;TraesCS1D03G0010900;TraesCS6A03G0122300</t>
  </si>
  <si>
    <t>mitochondrion organization</t>
  </si>
  <si>
    <t>12 (6.52%)</t>
  </si>
  <si>
    <t>TraesCS2A03G0229400;TraesCS2D03G0235500;TraesCS6D03G0611700;TraesCS5A03G0199200;TraesCS7D03G0624900;TraesCS7B03G0469000;TraesCS4B03G0536000;TraesCS6A03G0729500;TraesCS7D03G1033100;TraesCS2D03G0749200;TraesCS4A03G0086300;TraesCS1B03G0654200</t>
  </si>
  <si>
    <t>small molecule biosynthetic process</t>
  </si>
  <si>
    <t>35 (3.18%)</t>
  </si>
  <si>
    <t>TraesCS6B03G0732400;TraesCS4A03G0060100;TraesCS6A03G0601600;TraesCS1D03G0544900;TraesCS1A03G0606500;TraesCS2A03G0926800;TraesCS7A03G0949600;TraesCS5A03G0800900;TraesCS4D03G0639000;TraesCS2D03G0804700;TraesCS7A03G0545200;TraesCS6D03G0525200;TraesCS3D03G1185400;TraesCS7A03G1037400;TraesCS5B03G0833900;TraesCS3D03G0337600;TraesCS1D03G0581300;TraesCS5D03G0063200;TraesCS2D03G1101000;TraesCS7B03G1078600;TraesCS7D03G0914900;TraesCS2B03G1308200;TraesCS6A03G0617100;TraesCS2A03G1152000;TraesCS2D03G0644900;TraesCS7A03G0399200;TraesCS5D03G0077800;TraesCS7D03G1144000;TraesCS2B03G1015200;TraesCS4A03G0796400;TraesCS6A03G0351700;TraesCS5D03G0758500;TraesCS7B03G0199600;TraesCS2A03G1182500;TraesCS6D03G0505200</t>
  </si>
  <si>
    <t>organic acid metabolic process</t>
  </si>
  <si>
    <t>53 (2.68%)</t>
  </si>
  <si>
    <t>TraesCS5B03G1172800;TraesCS6A03G0924100;TraesCS1D03G0544900;TraesCS6A03G0193300;TraesCS3B03G0052400;TraesCS5A03G0800900;TraesCS4D03G0639000;TraesCS3D03G1185400;TraesCS1D03G0881300;TraesCS3A03G0046100;TraesCS3D03G0337600;TraesCS1D03G0581300;TraesCS6A03G0872300;TraesCS2D03G1101000;TraesCS5D03G0860800;TraesCS6B03G0433700;TraesCS3D03G0041800;TraesCS5D03G0303800;TraesCS2B03G1308200;TraesCS7A03G0399200;TraesCS5D03G0077800;TraesCS2B03G1015200;TraesCS3D03G0816100;TraesCS7B03G0671400;TraesCS4A03G0796400;TraesCS6A03G0351700;TraesCS7D03G0516600;TraesCS1D03G0815700;TraesCS7B03G0199600;TraesCS1A03G0902800;TraesCS4A03G0060100;TraesCS3B03G0686400;TraesCS6A03G0376800;TraesCS7B03G0355300;TraesCS1A03G0606500;TraesCS3B03G0831500;TraesCS6A03G0397300;TraesCS2A03G0926800;TraesCS7A03G0949600;TraesCS5A03G0332600;TraesCS5B03G0833900;TraesCS3A03G1207400;TraesCS7B03G1078600;TraesCS7D03G0914900;TraesCS6D03G0290400;TraesCS2A03G1152000;TraesCS2D03G0644900;TraesCS3A03G0609400;TraesCS7D03G1144000;TraesCS1A03G0874600;TraesCS5D03G0758500;TraesCS2B03G0102100;TraesCS2A03G1182500</t>
  </si>
  <si>
    <t>maintenance of transcriptional fidelity during DNA-templated transcription elongation</t>
  </si>
  <si>
    <t>3 (60%)</t>
  </si>
  <si>
    <t>TraesCS5B03G0240100;TraesCS5D03G0238900;TraesCS5A03G0225300</t>
  </si>
  <si>
    <t>maintenance of transcriptional fidelity during DNA-templated transcription elongation from RNA polymerase II promoter</t>
  </si>
  <si>
    <t>cell wall biogenesis</t>
  </si>
  <si>
    <t>16 (4.89%)</t>
  </si>
  <si>
    <t>TraesCS7B03G0876600;TraesCS7A03G1037700;TraesCS7A03G1035500;TraesCS7B03G0877500;TraesCS3D03G1089500;TraesCS7A03G1073700;TraesCS7B03G0876800;TraesCS7D03G0991300;TraesCS2B03G1153800;TraesCS7D03G0992500;TraesCS7D03G0991100;TraesCS7D03G1023900;TraesCS6B03G0988400;TraesCS7B03G0917200;TraesCS2A03G0923600;TraesCS6B03G1260400</t>
  </si>
  <si>
    <t>sulfur compound metabolic process</t>
  </si>
  <si>
    <t>27 (3.51%)</t>
  </si>
  <si>
    <t>TraesCS3D03G0686300;TraesCS5B03G1172800;TraesCS6B03G0732400;TraesCS1B03G0139900;TraesCS1A03G0501900;TraesCS6A03G0601600;TraesCS4A03G0045900;TraesCS1D03G0221300;TraesCS4B03G0857300;TraesCS4D03G0493400;TraesCS3D03G0978800;TraesCS1D03G0221500;TraesCS2A03G0129000;TraesCS3A03G1049300;TraesCS2B03G1463600;TraesCS1B03G0574900;TraesCS5D03G0860800;TraesCS1B03G0574500;TraesCS1D03G0486300;TraesCS3D03G1077900;TraesCS5D03G0077800;TraesCS6B03G1189600;TraesCS1A03G0249300;TraesCS4D03G0492800;TraesCS5D03G0473100;TraesCS3D03G0686600;TraesCS6D03G0505200</t>
  </si>
  <si>
    <t>carboxylic acid metabolic process</t>
  </si>
  <si>
    <t>51 (2.66%)</t>
  </si>
  <si>
    <t>TraesCS5B03G1172800;TraesCS6A03G0924100;TraesCS1D03G0544900;TraesCS6A03G0193300;TraesCS3B03G0052400;TraesCS5A03G0800900;TraesCS4D03G0639000;TraesCS3D03G1185400;TraesCS1D03G0881300;TraesCS3A03G0046100;TraesCS3D03G0337600;TraesCS1D03G0581300;TraesCS6A03G0872300;TraesCS2D03G1101000;TraesCS5D03G0860800;TraesCS6B03G0433700;TraesCS3D03G0041800;TraesCS5D03G0303800;TraesCS2B03G1308200;TraesCS7A03G0399200;TraesCS5D03G0077800;TraesCS2B03G1015200;TraesCS7B03G0671400;TraesCS6A03G0351700;TraesCS7D03G0516600;TraesCS1D03G0815700;TraesCS7B03G0199600;TraesCS1A03G0902800;TraesCS4A03G0060100;TraesCS3B03G0686400;TraesCS6A03G0376800;TraesCS7B03G0355300;TraesCS1A03G0606500;TraesCS3B03G0831500;TraesCS6A03G0397300;TraesCS2A03G0926800;TraesCS7A03G0949600;TraesCS5A03G0332600;TraesCS5B03G0833900;TraesCS3A03G1207400;TraesCS7B03G1078600;TraesCS7D03G0914900;TraesCS6D03G0290400;TraesCS2A03G1152000;TraesCS2D03G0644900;TraesCS3A03G0609400;TraesCS7D03G1144000;TraesCS1A03G0874600;TraesCS5D03G0758500;TraesCS2B03G0102100;TraesCS2A03G1182500</t>
  </si>
  <si>
    <t>oxoacid metabolic process</t>
  </si>
  <si>
    <t>51 (2.64%)</t>
  </si>
  <si>
    <t>tetrahydrofolate interconversion</t>
  </si>
  <si>
    <t>4 (26.67%)</t>
  </si>
  <si>
    <t>TraesCS2A03G1152000;TraesCS5B03G1172800;TraesCS2D03G1101000;TraesCS2B03G1308200</t>
  </si>
  <si>
    <t>cellular amino acid metabolic process</t>
  </si>
  <si>
    <t>33 (3.09%)</t>
  </si>
  <si>
    <t>TraesCS1A03G0902800;TraesCS5B03G1172800;TraesCS6A03G0924100;TraesCS4A03G0060100;TraesCS1D03G0544900;TraesCS3B03G0052400;TraesCS6A03G0376800;TraesCS3B03G0831500;TraesCS6A03G0397300;TraesCS7A03G0949600;TraesCS5A03G0332600;TraesCS1D03G0881300;TraesCS3A03G0046100;TraesCS6A03G0872300;TraesCS2D03G1101000;TraesCS7B03G1078600;TraesCS7D03G0914900;TraesCS6B03G0433700;TraesCS3D03G0041800;TraesCS6D03G0290400;TraesCS2B03G1308200;TraesCS2A03G1152000;TraesCS3A03G0609400;TraesCS7A03G0399200;TraesCS5D03G0077800;TraesCS7D03G1144000;TraesCS2B03G1015200;TraesCS7B03G0671400;TraesCS1A03G0874600;TraesCS6A03G0351700;TraesCS2B03G0102100;TraesCS7B03G0199600;TraesCS2A03G1182500</t>
  </si>
  <si>
    <t>xyloglucan metabolic process</t>
  </si>
  <si>
    <t>10 (6.76%)</t>
  </si>
  <si>
    <t>TraesCS7B03G0876600;TraesCS7A03G1037700;TraesCS7D03G0991300;TraesCS2B03G1153800;TraesCS7A03G1035500;TraesCS7B03G0877500;TraesCS7D03G0992500;TraesCS7D03G0991100;TraesCS6B03G1260400;TraesCS7B03G0876800</t>
  </si>
  <si>
    <t>cellular polysaccharide metabolic process</t>
  </si>
  <si>
    <t>20 (3.91%)</t>
  </si>
  <si>
    <t>TraesCS7B03G0876600;TraesCS7A03G1037700;TraesCS7A03G1035500;TraesCS7B03G0877500;TraesCS1B03G0726800;TraesCS3D03G1089500;TraesCS7A03G1073700;TraesCS7B03G0876800;TraesCS7D03G0991300;TraesCS2B03G1153800;TraesCS3A03G0933300;TraesCS7D03G0992500;TraesCS7D03G0991100;TraesCS7D03G1023900;TraesCS7D03G0991000;TraesCS7B03G0917200;TraesCS1B03G0659600;TraesCS3B03G1276900;TraesCS2A03G0923600;TraesCS6B03G1260400</t>
  </si>
  <si>
    <t>protein-containing complex subunit organization</t>
  </si>
  <si>
    <t>31 (3.08%)</t>
  </si>
  <si>
    <t>purine nucleoside metabolic process</t>
  </si>
  <si>
    <t>5 (14.71%)</t>
  </si>
  <si>
    <t>purine ribonucleoside metabolic process</t>
  </si>
  <si>
    <t>cellular protein-containing complex assembly</t>
  </si>
  <si>
    <t>27 (3.21%)</t>
  </si>
  <si>
    <t>TraesCS1B03G0263000;TraesCS2A03G0229400;TraesCS6B03G0186600;TraesCS4B03G0454300;TraesCS1B03G0982500;TraesCS5A03G0835900;TraesCS4D03G0361400;TraesCS5A03G0785100;TraesCS3D03G0779100;TraesCS7D03G0624900;TraesCS3A03G0446500;TraesCS6B03G0629000;TraesCS1B03G0654200;TraesCS1B03G1049800;TraesCS1B03G0841400;TraesCS7A03G0751500;TraesCS7B03G0469000;TraesCS5B03G0875800;TraesCS3D03G1159800;TraesCS1B03G0636600;TraesCS2D03G0235500;TraesCS1D03G0870500;TraesCS7D03G1033100;TraesCS7D03G0715000;TraesCS1B03G0020700;TraesCS1D03G0010900;TraesCS6A03G0122300</t>
  </si>
  <si>
    <t>transcription-coupled nucleotide-excision repair</t>
  </si>
  <si>
    <t>3 (37.5%)</t>
  </si>
  <si>
    <t>S-adenosylmethioninamine metabolic process</t>
  </si>
  <si>
    <t>TraesCS6B03G0732400;TraesCS6A03G0601600;TraesCS6D03G0505200</t>
  </si>
  <si>
    <t>S-adenosylmethioninamine biosynthetic process</t>
  </si>
  <si>
    <t>dicarboxylic acid metabolic process</t>
  </si>
  <si>
    <t>9 (6.72%)</t>
  </si>
  <si>
    <t>TraesCS2A03G1152000;TraesCS3A03G0046100;TraesCS1A03G0874600;TraesCS1D03G0544900;TraesCS2D03G1101000;TraesCS3B03G0686400;TraesCS3B03G0052400;TraesCS6A03G0351700;TraesCS3D03G0041800</t>
  </si>
  <si>
    <t>response to water</t>
  </si>
  <si>
    <t>14 (4.55%)</t>
  </si>
  <si>
    <t>TraesCS1B03G0263000;TraesCS6B03G0186600;TraesCS1B03G0841400;TraesCS4A03G0852200;TraesCS1A03G1031600;TraesCS1D03G0953700;TraesCS5A03G0835900;TraesCS5B03G0875800;TraesCS4D03G0528000;TraesCS6D03G0773900;TraesCS1B03G0882400;TraesCS4A03G0180900;TraesCS6A03G0122300;TraesCS6A03G0684600</t>
  </si>
  <si>
    <t>response to water deprivation</t>
  </si>
  <si>
    <t>13 (4.74%)</t>
  </si>
  <si>
    <t>TraesCS1B03G0263000;TraesCS6B03G0186600;TraesCS1B03G0841400;TraesCS4A03G0852200;TraesCS1A03G1031600;TraesCS1D03G0953700;TraesCS5A03G0835900;TraesCS5B03G0875800;TraesCS4D03G0528000;TraesCS1B03G0882400;TraesCS4A03G0180900;TraesCS6A03G0122300;TraesCS6A03G0684600</t>
  </si>
  <si>
    <t>response to acid chemical</t>
  </si>
  <si>
    <t>14 (4.49%)</t>
  </si>
  <si>
    <t>spermine biosynthetic process</t>
  </si>
  <si>
    <t>3 (33.33%)</t>
  </si>
  <si>
    <t>regulation of superoxide dismutase activity</t>
  </si>
  <si>
    <t>TraesCS6A03G0877100;TraesCS6B03G1050700;TraesCS6D03G0748600</t>
  </si>
  <si>
    <t>positive regulation of superoxide dismutase activity</t>
  </si>
  <si>
    <t>cellular response to oxidative stress</t>
  </si>
  <si>
    <t>5 (12.82%)</t>
  </si>
  <si>
    <t>TraesCS2A03G1241200;TraesCS3B03G0517500;TraesCS2D03G0830600;TraesCS7D03G0509700;TraesCS7B03G0347800</t>
  </si>
  <si>
    <t>pyrimidine-containing compound metabolic process</t>
  </si>
  <si>
    <t>9 (6.25%)</t>
  </si>
  <si>
    <t>TraesCS3A03G0609400;TraesCS1B03G1279700;TraesCS1A03G1082100;TraesCS2A03G0302300;TraesCS5A03G0332600;TraesCS3A03G0640300;TraesCS2B03G0104900;TraesCS4B03G0335600;TraesCS1D03G1043500</t>
  </si>
  <si>
    <t>P-body assembly</t>
  </si>
  <si>
    <t>3 (30%)</t>
  </si>
  <si>
    <t>TraesCS1B03G0788000;TraesCS1A03G0691100;TraesCS1D03G0654900</t>
  </si>
  <si>
    <t>respiratory chain complex IV assembly</t>
  </si>
  <si>
    <t>TraesCS2A03G0229400;TraesCS2D03G0235500;TraesCS7D03G1033100</t>
  </si>
  <si>
    <t>mitochondrial cytochrome c oxidase assembly</t>
  </si>
  <si>
    <t>spermine metabolic process</t>
  </si>
  <si>
    <t>xylan metabolic process</t>
  </si>
  <si>
    <t>6 (9.38%)</t>
  </si>
  <si>
    <t>TraesCS7D03G1023900;TraesCS3D03G1089500;TraesCS7A03G1073700;TraesCS7B03G0917200;TraesCS3B03G1276900;TraesCS2A03G0923600</t>
  </si>
  <si>
    <t>response to desiccation</t>
  </si>
  <si>
    <t>4 (16.67%)</t>
  </si>
  <si>
    <t>TraesCS4D03G0528000;TraesCS4A03G0852200;TraesCS1A03G1031600;TraesCS4A03G0180900</t>
  </si>
  <si>
    <t>glycine metabolic process</t>
  </si>
  <si>
    <t>TraesCS2A03G1152000;TraesCS2D03G1101000;TraesCS6A03G0397300;TraesCS2B03G1308200</t>
  </si>
  <si>
    <t>organelle organization</t>
  </si>
  <si>
    <t>44 (2.52%)</t>
  </si>
  <si>
    <t>TraesCS1B03G0263000;TraesCS2A03G0229400;TraesCS6B03G0186600;TraesCS6D03G0396800;TraesCS1B03G0515500;TraesCS2B03G1296100;TraesCS5A03G0199200;TraesCS5B03G1168500;TraesCS6A03G0729500;TraesCS6D03G0011000;TraesCS1D03G0597100;TraesCS5A03G0835900;TraesCS5D03G0369100;TraesCS1B03G0788000;TraesCS4D03G0361400;TraesCS6D03G0611700;TraesCS3D03G0779100;TraesCS4D03G0040400;TraesCS7D03G0624900;TraesCS1A03G0691100;TraesCS4B03G0536000;TraesCS6B03G0629000;TraesCS2D03G0749200;TraesCS4A03G0086300;TraesCS1B03G0654200;TraesCS1B03G1049800;TraesCS1B03G0841400;TraesCS5A03G0528100;TraesCS7B03G0469000;TraesCS1D03G0654900;TraesCS5B03G0875800;TraesCS2D03G0664300;TraesCS2D03G0235500;TraesCS2D03G0427900;TraesCS3D03G0411500;TraesCS3D03G0816100;TraesCS1D03G0870500;TraesCS7A03G0844200;TraesCS1A03G0826700;TraesCS2B03G0796300;TraesCS3B03G0520500;TraesCS7D03G1033100;TraesCS5D03G0270100;TraesCS6A03G0122300</t>
  </si>
  <si>
    <t>mRNA cleavage</t>
  </si>
  <si>
    <t>3 (27.27%)</t>
  </si>
  <si>
    <t>pyrimidine nucleotide biosynthetic process</t>
  </si>
  <si>
    <t>7 (7.29%)</t>
  </si>
  <si>
    <t>TraesCS3A03G0609400;TraesCS1B03G1279700;TraesCS1A03G1082100;TraesCS2A03G0302300;TraesCS2B03G0104900;TraesCS4B03G0335600;TraesCS1D03G1043500</t>
  </si>
  <si>
    <t>nucleoside metabolic process</t>
  </si>
  <si>
    <t>TraesCS6B03G0732400;TraesCS6A03G0601600;TraesCS3A03G0640300;TraesCS3B03G0434100;TraesCS6D03G0525200;TraesCS6A03G0617100;TraesCS6D03G0505200</t>
  </si>
  <si>
    <t>response to oxygen-containing compound</t>
  </si>
  <si>
    <t>25 (3.05%)</t>
  </si>
  <si>
    <t>TraesCS1B03G0263000;TraesCS6B03G0186600;TraesCS6D03G0011000;TraesCS1D03G0953700;TraesCS5A03G0835900;TraesCS3B03G0953200;TraesCS3A03G0933300;TraesCS4D03G0528000;TraesCS6D03G0773900;TraesCS7B03G0347800;TraesCS1B03G0841400;TraesCS3B03G0108500;TraesCS4A03G0852200;TraesCS1A03G1031600;TraesCS3B03G0108300;TraesCS7D03G0509700;TraesCS6A03G1045100;TraesCS5B03G0875800;TraesCS7B03G0335800;TraesCS2A03G1241200;TraesCS1B03G0882400;TraesCS5B03G0217600;TraesCS4A03G0180900;TraesCS6A03G0122300;TraesCS6A03G0684600</t>
  </si>
  <si>
    <t>pyrimidine nucleotide metabolic process</t>
  </si>
  <si>
    <t>7 (7.22%)</t>
  </si>
  <si>
    <t>organic acid biosynthetic process</t>
  </si>
  <si>
    <t>26 (2.98%)</t>
  </si>
  <si>
    <t>TraesCS4A03G0060100;TraesCS1D03G0544900;TraesCS1A03G0606500;TraesCS2A03G0926800;TraesCS7A03G0949600;TraesCS5A03G0800900;TraesCS4D03G0639000;TraesCS3D03G1185400;TraesCS5B03G0833900;TraesCS3D03G0337600;TraesCS1D03G0581300;TraesCS2D03G1101000;TraesCS7B03G1078600;TraesCS7D03G0914900;TraesCS2B03G1308200;TraesCS2A03G1152000;TraesCS2D03G0644900;TraesCS7A03G0399200;TraesCS5D03G0077800;TraesCS7D03G1144000;TraesCS2B03G1015200;TraesCS4A03G0796400;TraesCS6A03G0351700;TraesCS5D03G0758500;TraesCS7B03G0199600;TraesCS2A03G1182500</t>
  </si>
  <si>
    <t>cellular response to chemical stress</t>
  </si>
  <si>
    <t>5 (10.64%)</t>
  </si>
  <si>
    <t>glycine biosynthetic process</t>
  </si>
  <si>
    <t>3 (25%)</t>
  </si>
  <si>
    <t>TraesCS2A03G1152000;TraesCS2D03G1101000;TraesCS2B03G1308200</t>
  </si>
  <si>
    <t>glycine biosynthetic process from serine</t>
  </si>
  <si>
    <t>glycosyl compound metabolic process</t>
  </si>
  <si>
    <t>7 (7.07%)</t>
  </si>
  <si>
    <t>xylan biosynthetic process</t>
  </si>
  <si>
    <t>5 (10.42%)</t>
  </si>
  <si>
    <t>TraesCS7D03G1023900;TraesCS3D03G1089500;TraesCS7A03G1073700;TraesCS7B03G0917200;TraesCS2A03G0923600</t>
  </si>
  <si>
    <t>cell wall organization or biogenesis</t>
  </si>
  <si>
    <t>27 (2.9%)</t>
  </si>
  <si>
    <t>TraesCS7B03G0877500;TraesCS4A03G0608900;TraesCS5B03G1017600;TraesCS4B03G1000000;TraesCS3D03G1089500;TraesCS7A03G1073700;TraesCS7D03G0991300;TraesCS2B03G1153800;TraesCS2A03G0161300;TraesCS7D03G0991100;TraesCS1D03G0143400;TraesCS6B03G0988400;TraesCS7B03G0917200;TraesCS6B03G1260400;TraesCS7B03G0876600;TraesCS7A03G1037700;TraesCS7A03G1035500;TraesCS1B03G0205900;TraesCS7B03G0876800;TraesCS7D03G0992500;TraesCS7D03G1023900;TraesCS2B03G0480100;TraesCS2B03G0224700;TraesCS3B03G1276900;TraesCS7B03G0380700;TraesCS2A03G0923600;TraesCS2B03G1353400</t>
  </si>
  <si>
    <t>phosphatidylcholine biosynthetic process</t>
  </si>
  <si>
    <t>3 (23.08%)</t>
  </si>
  <si>
    <t>TraesCS1D03G0874500;TraesCS3D03G0603700;TraesCS1D03G0874400</t>
  </si>
  <si>
    <t>tetrahydrofolate metabolic process</t>
  </si>
  <si>
    <t>4 (13.79%)</t>
  </si>
  <si>
    <t>carboxylic acid catabolic process</t>
  </si>
  <si>
    <t>10 (4.93%)</t>
  </si>
  <si>
    <t>TraesCS2A03G1152000;TraesCS2B03G1015200;TraesCS1A03G0874600;TraesCS2D03G1101000;TraesCS6A03G0376800;TraesCS7B03G0355300;TraesCS7D03G0516600;TraesCS2B03G0102100;TraesCS3B03G0831500;TraesCS6A03G0397300</t>
  </si>
  <si>
    <t>biosynthetic process</t>
  </si>
  <si>
    <t>141 (1.89%)</t>
  </si>
  <si>
    <t>TraesCS5D03G0824300;TraesCS5B03G0983100;TraesCS1D03G0544900;TraesCS5A03G0149600;TraesCS4B03G0493600;TraesCS7A03G0571800;TraesCS5A03G0785100;TraesCS6B03G0041900;TraesCS2D03G0804700;TraesCS3D03G0404300;TraesCS4B03G0335600;TraesCS6B03G0854800;TraesCS4B03G0222400;TraesCS7A03G1037400;TraesCS7D03G0553900;TraesCS3D03G0337600;TraesCS1D03G0581300;TraesCS5D03G0860800;TraesCS1B03G0726800;TraesCS6A03G0262500;TraesCS2B03G1308200;TraesCS5D03G0077800;TraesCS7D03G0286800;TraesCS1D03G0874500;TraesCS1D03G0681000;TraesCS5D03G0238900;TraesCS6A03G0351700;TraesCS3D03G0590600;TraesCS5A03G0113400;TraesCS1B03G0659600;TraesCS1D03G0345300;TraesCS2A03G0923600;TraesCS7D03G0571300;TraesCS6B03G0350100;TraesCS6D03G0392200;TraesCS6D03G0396800;TraesCS4A03G0060100;TraesCS1D03G0637600;TraesCS4B03G0454300;TraesCS1A03G0400700;TraesCS2A03G0926800;TraesCS5B03G0904700;TraesCS7A03G0949600;TraesCS6B03G0808800;TraesCS6A03G0429300;TraesCS6B03G0988000;TraesCS2B03G0942900;TraesCS6B03G0797100;TraesCS4D03G0788200;TraesCS2D03G0911500;TraesCS3B03G1021800;TraesCS6D03G0131900;TraesCS3B03G0987100;TraesCS7B03G1078600;TraesCS7B03G0929000;TraesCS2D03G0793400;TraesCS2D03G0644900;TraesCS3A03G0609400;TraesCS1B03G1036500;TraesCS7D03G1144000;TraesCS7D03G1023900;TraesCS5B03G0240100;TraesCS2B03G0102100;TraesCS2A03G1182500;TraesCS1D03G0725400;TraesCS6B03G0732400;TraesCS7D03G1182200;TraesCS6A03G0924100;TraesCS5A03G1203100;TraesCS3A03G0534000;TraesCS6A03G0601600;TraesCS2D03G0644100;TraesCS2B03G0104900;TraesCS6D03G0011000;TraesCS3B03G0409600;TraesCS1B03G0495700;TraesCS5A03G0800900;TraesCS1B03G0495300;TraesCS1B03G0819100;TraesCS3D03G0603700;TraesCS4D03G0639000;TraesCS6A03G0853900;TraesCS7B03G0414300;TraesCS7A03G0545200;TraesCS7B03G0544400;TraesCS7B03G0917200;TraesCS6D03G0525200;TraesCS3D03G1185400;TraesCS3A03G0646100;TraesCS5D03G0059400;TraesCS6A03G0872300;TraesCS5D03G0063200;TraesCS2D03G1101000;TraesCS5B03G0703200;TraesCS1B03G0868100;TraesCS4A03G1151000;TraesCS1D03G1043500;TraesCS6A03G0617100;TraesCS7A03G0399200;TraesCS2B03G1015200;TraesCS3B03G0847000;TraesCS5D03G0891600;TraesCS1A03G0528200;TraesCS2D03G0931100;TraesCS2A03G0604300;TraesCS4A03G0796400;TraesCS5B03G0217600;TraesCS5D03G0867400;TraesCS7B03G0199600;TraesCS6D03G0505200;TraesCS7A03G1082400;TraesCS2B03G1439500;TraesCS3B03G0971800;TraesCS7D03G1033600;TraesCS6D03G0214700;TraesCS1D03G0473600;TraesCS6A03G0024300;TraesCS3A03G0433000;TraesCS1D03G0874400;TraesCS3D03G1089500;TraesCS7A03G1073700;TraesCS1A03G0606500;TraesCS7A03G0884000;TraesCS4D03G0361400;TraesCS1A03G1082100;TraesCS5A03G0332600;TraesCS3A03G0581600;TraesCS5A03G0225300;TraesCS5A03G0045500;TraesCS5B03G0833900;TraesCS4A03G0275200;TraesCS7D03G1158600;TraesCS7D03G0914900;TraesCS1A03G0718300;TraesCS2A03G1152000;TraesCS2D03G0664300;TraesCS1B03G1279700;TraesCS2A03G0302300;TraesCS3B03G0673300;TraesCS5A03G0933000;TraesCS5D03G0758500</t>
  </si>
  <si>
    <t>pyrimidine-containing compound biosynthetic process</t>
  </si>
  <si>
    <t>8 (5.84%)</t>
  </si>
  <si>
    <t>TraesCS3A03G0609400;TraesCS1B03G1279700;TraesCS1A03G1082100;TraesCS2A03G0302300;TraesCS5A03G0332600;TraesCS2B03G0104900;TraesCS4B03G0335600;TraesCS1D03G1043500</t>
  </si>
  <si>
    <t>carboxylic acid biosynthetic process</t>
  </si>
  <si>
    <t>24 (2.96%)</t>
  </si>
  <si>
    <t>TraesCS5B03G0833900;TraesCS4A03G0060100;TraesCS3D03G0337600;TraesCS1D03G0581300;TraesCS1D03G0544900;TraesCS2D03G1101000;TraesCS7B03G1078600;TraesCS7D03G0914900;TraesCS1A03G0606500;TraesCS2B03G1308200;TraesCS2A03G0926800;TraesCS2A03G1152000;TraesCS2D03G0644900;TraesCS7A03G0399200;TraesCS5D03G0077800;TraesCS7A03G0949600;TraesCS7D03G1144000;TraesCS5A03G0800900;TraesCS2B03G1015200;TraesCS4D03G0639000;TraesCS5D03G0758500;TraesCS7B03G0199600;TraesCS2A03G1182500;TraesCS3D03G1185400</t>
  </si>
  <si>
    <t>mitochondrial transport</t>
  </si>
  <si>
    <t>7 (6.48%)</t>
  </si>
  <si>
    <t>TraesCS5A03G0199200;TraesCS5B03G0633500;TraesCS4A03G0488900;TraesCS1B03G0604200;TraesCS4B03G0536000;TraesCS4A03G0086300;TraesCS5D03G0582700</t>
  </si>
  <si>
    <t>pteridine-containing compound metabolic process</t>
  </si>
  <si>
    <t>5 (9.26%)</t>
  </si>
  <si>
    <t>TraesCS2A03G1152000;TraesCS2D03G0725500;TraesCS5B03G1172800;TraesCS2D03G1101000;TraesCS2B03G1308200</t>
  </si>
  <si>
    <t>DNA conformation change</t>
  </si>
  <si>
    <t>14 (3.81%)</t>
  </si>
  <si>
    <t>TraesCS1B03G0263000;TraesCS6B03G0186600;TraesCS1B03G1049800;TraesCS1B03G0515500;TraesCS1B03G0841400;TraesCS5B03G1168500;TraesCS5A03G0835900;TraesCS5B03G0875800;TraesCS3D03G0411500;TraesCS3D03G0779100;TraesCS1D03G0870500;TraesCS3B03G0520500;TraesCS6B03G0629000;TraesCS6A03G0122300</t>
  </si>
  <si>
    <t>GTP metabolic process</t>
  </si>
  <si>
    <t>3 (20%)</t>
  </si>
  <si>
    <t>TraesCS1B03G1279700;TraesCS1A03G1082100;TraesCS1D03G1043500</t>
  </si>
  <si>
    <t>GTP biosynthetic process</t>
  </si>
  <si>
    <t>UTP metabolic process</t>
  </si>
  <si>
    <t>UTP biosynthetic process</t>
  </si>
  <si>
    <t>positive regulation of oxidoreductase activity</t>
  </si>
  <si>
    <t>polysaccharide metabolic process</t>
  </si>
  <si>
    <t>21 (3.09%)</t>
  </si>
  <si>
    <t>TraesCS7B03G0876600;TraesCS7A03G1037700;TraesCS7A03G1035500;TraesCS7B03G0877500;TraesCS1B03G0726800;TraesCS3D03G1089500;TraesCS7A03G1073700;TraesCS7B03G0876800;TraesCS7D03G0991300;TraesCS2B03G1153800;TraesCS3A03G0933300;TraesCS7D03G0992500;TraesCS7D03G0991100;TraesCS7D03G1023900;TraesCS2B03G0480100;TraesCS7D03G0991000;TraesCS7B03G0917200;TraesCS1B03G0659600;TraesCS3B03G1276900;TraesCS2A03G0923600;TraesCS6B03G1260400</t>
  </si>
  <si>
    <t>organic acid catabolic process</t>
  </si>
  <si>
    <t>10 (4.61%)</t>
  </si>
  <si>
    <t>glutamate metabolic process</t>
  </si>
  <si>
    <t>4 (11.76%)</t>
  </si>
  <si>
    <t>TraesCS3A03G0046100;TraesCS1A03G0874600;TraesCS3B03G0052400;TraesCS3D03G0041800</t>
  </si>
  <si>
    <t>cellular amino acid catabolic process</t>
  </si>
  <si>
    <t>8 (5.33%)</t>
  </si>
  <si>
    <t>TraesCS2A03G1152000;TraesCS2B03G1015200;TraesCS1A03G0874600;TraesCS2D03G1101000;TraesCS6A03G0376800;TraesCS2B03G0102100;TraesCS3B03G0831500;TraesCS6A03G0397300</t>
  </si>
  <si>
    <t>organic substance biosynthetic process</t>
  </si>
  <si>
    <t>132 (1.88%)</t>
  </si>
  <si>
    <t>TraesCS5D03G0824300;TraesCS1D03G0544900;TraesCS5A03G0149600;TraesCS4B03G0493600;TraesCS7A03G0571800;TraesCS5A03G0785100;TraesCS6B03G0041900;TraesCS2D03G0804700;TraesCS3D03G0404300;TraesCS4B03G0335600;TraesCS6B03G0854800;TraesCS4B03G0222400;TraesCS7A03G1037400;TraesCS7D03G0553900;TraesCS3D03G0337600;TraesCS1D03G0581300;TraesCS5D03G0860800;TraesCS1B03G0726800;TraesCS6A03G0262500;TraesCS2B03G1308200;TraesCS5D03G0077800;TraesCS7D03G0286800;TraesCS1D03G0874500;TraesCS1D03G0681000;TraesCS5D03G0238900;TraesCS6A03G0351700;TraesCS5A03G0113400;TraesCS1B03G0659600;TraesCS1D03G0345300;TraesCS2A03G0923600;TraesCS7D03G0571300;TraesCS6B03G0350100;TraesCS6D03G0392200;TraesCS6D03G0396800;TraesCS4A03G0060100;TraesCS1D03G0637600;TraesCS4B03G0454300;TraesCS1A03G0400700;TraesCS2A03G0926800;TraesCS5B03G0904700;TraesCS7A03G0949600;TraesCS6B03G0808800;TraesCS6A03G0429300;TraesCS6B03G0988000;TraesCS2B03G0942900;TraesCS6B03G0797100;TraesCS4D03G0788200;TraesCS2D03G0911500;TraesCS3B03G1021800;TraesCS6D03G0131900;TraesCS7B03G1078600;TraesCS7B03G0929000;TraesCS2D03G0793400;TraesCS2D03G0644900;TraesCS3A03G0609400;TraesCS1B03G1036500;TraesCS7D03G1144000;TraesCS7D03G1023900;TraesCS5B03G0240100;TraesCS2B03G0102100;TraesCS2A03G1182500;TraesCS1D03G0725400;TraesCS6B03G0732400;TraesCS7D03G1182200;TraesCS5A03G1203100;TraesCS3A03G0534000;TraesCS6A03G0601600;TraesCS2D03G0644100;TraesCS2B03G0104900;TraesCS6D03G0011000;TraesCS3B03G0409600;TraesCS1B03G0495700;TraesCS5A03G0800900;TraesCS1B03G0495300;TraesCS1B03G0819100;TraesCS3D03G0603700;TraesCS4D03G0639000;TraesCS6A03G0853900;TraesCS7B03G0414300;TraesCS7A03G0545200;TraesCS7B03G0544400;TraesCS7B03G0917200;TraesCS6D03G0525200;TraesCS3D03G1185400;TraesCS5D03G0059400;TraesCS5D03G0063200;TraesCS2D03G1101000;TraesCS5B03G0703200;TraesCS1B03G0868100;TraesCS4A03G1151000;TraesCS1D03G1043500;TraesCS6A03G0617100;TraesCS7A03G0399200;TraesCS2B03G1015200;TraesCS3B03G0847000;TraesCS2D03G0931100;TraesCS2A03G0604300;TraesCS4A03G0796400;TraesCS5B03G0217600;TraesCS5D03G0867400;TraesCS7B03G0199600;TraesCS6D03G0505200;TraesCS7A03G1082400;TraesCS2B03G1439500;TraesCS3B03G0971800;TraesCS7D03G1033600;TraesCS6D03G0214700;TraesCS1D03G0473600;TraesCS6A03G0024300;TraesCS3A03G0433000;TraesCS1D03G0874400;TraesCS3D03G1089500;TraesCS7A03G1073700;TraesCS1A03G0606500;TraesCS7A03G0884000;TraesCS4D03G0361400;TraesCS1A03G1082100;TraesCS5A03G0332600;TraesCS3A03G0581600;TraesCS5A03G0225300;TraesCS5A03G0045500;TraesCS5B03G0833900;TraesCS4A03G0275200;TraesCS7D03G1158600;TraesCS7D03G0914900;TraesCS1A03G0718300;TraesCS2A03G1152000;TraesCS2D03G0664300;TraesCS1B03G1279700;TraesCS2A03G0302300;TraesCS3B03G0673300;TraesCS5D03G0758500</t>
  </si>
  <si>
    <t>serine family amino acid catabolic process</t>
  </si>
  <si>
    <t>3 (17.65%)</t>
  </si>
  <si>
    <t>TraesCS2A03G1152000;TraesCS2D03G1101000;TraesCS6A03G0397300</t>
  </si>
  <si>
    <t>posttranslational protein targeting to membrane, translocation</t>
  </si>
  <si>
    <t>TraesCS4D03G0259900;TraesCS4B03G0317000;TraesCS7D03G1150400</t>
  </si>
  <si>
    <t>small molecule catabolic process</t>
  </si>
  <si>
    <t>12 (3.97%)</t>
  </si>
  <si>
    <t>TraesCS2A03G1152000;TraesCS2B03G1015200;TraesCS3D03G0816100;TraesCS1A03G0874600;TraesCS2D03G1101000;TraesCS3A03G0640300;TraesCS6A03G0376800;TraesCS7B03G0355300;TraesCS7D03G0516600;TraesCS2B03G0102100;TraesCS3B03G0831500;TraesCS6A03G0397300</t>
  </si>
  <si>
    <t>DNA-templated transcription, elongation</t>
  </si>
  <si>
    <t>4 (11.11%)</t>
  </si>
  <si>
    <t>TraesCS5B03G0240100;TraesCS1D03G0473600;TraesCS5D03G0238900;TraesCS5A03G0225300</t>
  </si>
  <si>
    <t>transcription elongation from RNA polymerase II promoter</t>
  </si>
  <si>
    <t>chromatin assembly</t>
  </si>
  <si>
    <t>11 (4.18%)</t>
  </si>
  <si>
    <t>TraesCS1B03G0263000;TraesCS6B03G0186600;TraesCS1B03G1049800;TraesCS1B03G0515500;TraesCS1B03G0841400;TraesCS3D03G0779100;TraesCS1D03G0870500;TraesCS6B03G0629000;TraesCS5A03G0835900;TraesCS5B03G0875800;TraesCS6A03G0122300</t>
  </si>
  <si>
    <t>alpha-amino acid biosynthetic process</t>
  </si>
  <si>
    <t>12 (3.96%)</t>
  </si>
  <si>
    <t>TraesCS2A03G1152000;TraesCS7A03G0399200;TraesCS5D03G0077800;TraesCS7A03G0949600;TraesCS7D03G1144000;TraesCS4A03G0060100;TraesCS2D03G1101000;TraesCS7B03G1078600;TraesCS7D03G0914900;TraesCS7B03G0199600;TraesCS2A03G1182500;TraesCS2B03G1308200</t>
  </si>
  <si>
    <t>pyrimidine nucleoside triphosphate metabolic process</t>
  </si>
  <si>
    <t>5 (8.2%)</t>
  </si>
  <si>
    <t>TraesCS3A03G0609400;TraesCS1B03G1279700;TraesCS1A03G1082100;TraesCS4B03G0335600;TraesCS1D03G1043500</t>
  </si>
  <si>
    <t>NAD(P)H dehydrogenase complex assembly</t>
  </si>
  <si>
    <t>2 (40%)</t>
  </si>
  <si>
    <t>TraesCS1B03G0020700;TraesCS1D03G0010900</t>
  </si>
  <si>
    <t>L-serine catabolic process</t>
  </si>
  <si>
    <t>TraesCS2A03G1152000;TraesCS2D03G1101000</t>
  </si>
  <si>
    <t>posttranslational protein targeting to endoplasmic reticulum membrane</t>
  </si>
  <si>
    <t>3 (16.67%)</t>
  </si>
  <si>
    <t>cellular carbohydrate metabolic process</t>
  </si>
  <si>
    <t>21 (2.95%)</t>
  </si>
  <si>
    <t>TraesCS7B03G0876600;TraesCS7A03G1037700;TraesCS7A03G1035500;TraesCS7B03G0877500;TraesCS1B03G0726800;TraesCS3D03G1089500;TraesCS7A03G1073700;TraesCS7B03G0876800;TraesCS7D03G0991300;TraesCS2B03G1153800;TraesCS3A03G0933300;TraesCS7D03G0992500;TraesCS6B03G0634300;TraesCS7D03G0991100;TraesCS7D03G1023900;TraesCS7D03G0991000;TraesCS7B03G0917200;TraesCS1B03G0659600;TraesCS3B03G1276900;TraesCS2A03G0923600;TraesCS6B03G1260400</t>
  </si>
  <si>
    <t>pyrimidine nucleoside triphosphate biosynthetic process</t>
  </si>
  <si>
    <t>4 (10.53%)</t>
  </si>
  <si>
    <t>TraesCS3A03G0609400;TraesCS1B03G1279700;TraesCS1A03G1082100;TraesCS1D03G1043500</t>
  </si>
  <si>
    <t>pyrimidine ribonucleoside triphosphate metabolic process</t>
  </si>
  <si>
    <t>pyrimidine ribonucleoside triphosphate biosynthetic process</t>
  </si>
  <si>
    <t>CTP metabolic process</t>
  </si>
  <si>
    <t>CTP biosynthetic process</t>
  </si>
  <si>
    <t>one-carbon metabolic process</t>
  </si>
  <si>
    <t>chromatin assembly or disassembly</t>
  </si>
  <si>
    <t>11 (4.07%)</t>
  </si>
  <si>
    <t>cell wall polysaccharide biosynthetic process</t>
  </si>
  <si>
    <t>5 (7.94%)</t>
  </si>
  <si>
    <t>carbohydrate metabolic process</t>
  </si>
  <si>
    <t>58 (2.16%)</t>
  </si>
  <si>
    <t>TraesCS4B03G0116300;TraesCS7B03G0877500;TraesCS4A03G0608900;TraesCS4D03G0022200;TraesCS7B03G0764100;TraesCS6A03G0193300;TraesCS7D03G0990900;TraesCS1D03G0358300;TraesCS2B03G1153800;TraesCS3A03G0933300;TraesCS6B03G0634300;TraesCS7D03G0991000;TraesCS2B03G0812900;TraesCS7B03G0917200;TraesCS2A03G0758200;TraesCS6B03G1260400;TraesCS3D03G0966900;TraesCS4D03G0602800;TraesCS7B03G0876600;TraesCS7A03G1035500;TraesCS4B03G0637500;TraesCS1B03G0726800;TraesCS5D03G0303800;TraesCS7B03G0876800;TraesCS1B03G0794500;TraesCS7D03G0992500;TraesCS4B03G0195100;TraesCS2B03G0480100;TraesCS5D03G0427200;TraesCS3A03G0619900;TraesCS1D03G0815700;TraesCS1B03G0659600;TraesCS7B03G0380700;TraesCS2A03G0923600;TraesCS4B03G0032200;TraesCS5D03G0649600;TraesCS4A03G0679200;TraesCS7A03G1126800;TraesCS3B03G0686400;TraesCS5A03G0720400;TraesCS3D03G1089500;TraesCS7A03G1073700;TraesCS7D03G0991300;TraesCS3D03G0567700;TraesCS5B03G1349900;TraesCS7D03G0991100;TraesCS5D03G1104000;TraesCS3B03G0248100;TraesCS7A03G1037700;TraesCS5B03G0718300;TraesCS4A03G0131200;TraesCS4A03G0104200;TraesCS5A03G1223500;TraesCS7D03G1023900;TraesCS4D03G0064200;TraesCS1D03G0742700;TraesCS4A03G0907900;TraesCS3B03G1276900</t>
  </si>
  <si>
    <t>regulation of seed growth</t>
  </si>
  <si>
    <t>3 (15.79%)</t>
  </si>
  <si>
    <t>TraesCS1A03G0201700;TraesCS1D03G0192500;TraesCS1B03G0270100</t>
  </si>
  <si>
    <t>mitochondrial respiratory chain complex I assembly</t>
  </si>
  <si>
    <t>TraesCS7D03G0624900;TraesCS7B03G0469000;TraesCS1B03G0654200</t>
  </si>
  <si>
    <t>response to oxygen radical</t>
  </si>
  <si>
    <t>TraesCS2A03G1241200;TraesCS7D03G0509700;TraesCS7B03G0347800</t>
  </si>
  <si>
    <t>response to superoxide</t>
  </si>
  <si>
    <t>cellular response to reactive oxygen species</t>
  </si>
  <si>
    <t>cellular response to oxygen radical</t>
  </si>
  <si>
    <t>cellular response to superoxide</t>
  </si>
  <si>
    <t>removal of superoxide radicals</t>
  </si>
  <si>
    <t>regulation of oxidoreductase activity</t>
  </si>
  <si>
    <t>lipid biosynthetic process</t>
  </si>
  <si>
    <t>27 (2.65%)</t>
  </si>
  <si>
    <t>TraesCS6B03G0350100;TraesCS6D03G0214700;TraesCS1D03G0874400;TraesCS1A03G0606500;TraesCS2A03G0926800;TraesCS7A03G0571800;TraesCS1B03G0495700;TraesCS5A03G0800900;TraesCS1B03G0495300;TraesCS3D03G0603700;TraesCS4D03G0639000;TraesCS3D03G1185400;TraesCS4B03G0222400;TraesCS5A03G0045500;TraesCS5B03G0833900;TraesCS7D03G0553900;TraesCS7D03G1158600;TraesCS1D03G0581300;TraesCS5D03G0059400;TraesCS5D03G0063200;TraesCS5B03G0703200;TraesCS6A03G0262500;TraesCS2D03G0644900;TraesCS1D03G0874500;TraesCS3B03G0673300;TraesCS4A03G0796400;TraesCS5D03G0758500</t>
  </si>
  <si>
    <t>cellular component macromolecule biosynthetic process</t>
  </si>
  <si>
    <t>5 (7.69%)</t>
  </si>
  <si>
    <t>cell wall macromolecule biosynthetic process</t>
  </si>
  <si>
    <t>response to abiotic stimulus</t>
  </si>
  <si>
    <t>28 (2.59%)</t>
  </si>
  <si>
    <t>TraesCS1B03G0263000;TraesCS6B03G0186600;TraesCS2B03G0419300;TraesCS2B03G1296100;TraesCS1D03G0953700;TraesCS5A03G0835900;TraesCS3B03G0831500;TraesCS2B03G0026900;TraesCS4D03G0528000;TraesCS6D03G0773900;TraesCS1B03G0841400;TraesCS3B03G0108500;TraesCS6B03G1151100;TraesCS2D03G1117700;TraesCS4A03G0852200;TraesCS1A03G1031600;TraesCS3B03G0108300;TraesCS7D03G0654000;TraesCS5B03G0875800;TraesCS7D03G1144200;TraesCS1A03G0874600;TraesCS1B03G0882400;TraesCS4A03G0796400;TraesCS5B03G0217600;TraesCS4A03G0180900;TraesCS1B03G0659600;TraesCS6A03G0122300;TraesCS6A03G0684600</t>
  </si>
  <si>
    <t>spermidine metabolic process</t>
  </si>
  <si>
    <t>3 (15%)</t>
  </si>
  <si>
    <t>spermidine biosynthetic process</t>
  </si>
  <si>
    <t>protein localization to endoplasmic reticulum exit site</t>
  </si>
  <si>
    <t>2 (33.33%)</t>
  </si>
  <si>
    <t>TraesCS6A03G0781200;TraesCS6D03G0661300</t>
  </si>
  <si>
    <t>formate metabolic process</t>
  </si>
  <si>
    <t>TraesCS7B03G0355300;TraesCS7D03G0516600</t>
  </si>
  <si>
    <t>formate catabolic process</t>
  </si>
  <si>
    <t>cellular biosynthetic process</t>
  </si>
  <si>
    <t>127 (1.86%)</t>
  </si>
  <si>
    <t>TraesCS5D03G0824300;TraesCS1D03G0544900;TraesCS5A03G0149600;TraesCS4B03G0493600;TraesCS7A03G0571800;TraesCS5A03G0785100;TraesCS6B03G0041900;TraesCS2D03G0804700;TraesCS3D03G0404300;TraesCS4B03G0335600;TraesCS6B03G0854800;TraesCS7D03G0553900;TraesCS3D03G0337600;TraesCS1D03G0581300;TraesCS5D03G0860800;TraesCS1B03G0726800;TraesCS6A03G0262500;TraesCS2B03G1308200;TraesCS5D03G0077800;TraesCS7D03G0286800;TraesCS1D03G0874500;TraesCS1D03G0681000;TraesCS5D03G0238900;TraesCS6A03G0351700;TraesCS3D03G0590600;TraesCS5A03G0113400;TraesCS1B03G0659600;TraesCS1D03G0345300;TraesCS2A03G0923600;TraesCS7D03G0571300;TraesCS6B03G0350100;TraesCS6D03G0392200;TraesCS6D03G0396800;TraesCS4A03G0060100;TraesCS1D03G0637600;TraesCS4B03G0454300;TraesCS1A03G0400700;TraesCS2A03G0926800;TraesCS5B03G0904700;TraesCS7A03G0949600;TraesCS6B03G0808800;TraesCS6A03G0429300;TraesCS6B03G0988000;TraesCS2B03G0942900;TraesCS6B03G0797100;TraesCS4D03G0788200;TraesCS2D03G0911500;TraesCS3B03G1021800;TraesCS6D03G0131900;TraesCS7B03G1078600;TraesCS7B03G0929000;TraesCS2D03G0793400;TraesCS2D03G0644900;TraesCS3A03G0609400;TraesCS1B03G1036500;TraesCS7D03G1144000;TraesCS7D03G1023900;TraesCS5B03G0240100;TraesCS2B03G0102100;TraesCS2A03G1182500;TraesCS1D03G0725400;TraesCS6B03G0732400;TraesCS7D03G1182200;TraesCS5A03G1203100;TraesCS3A03G0534000;TraesCS6A03G0601600;TraesCS2D03G0644100;TraesCS2B03G0104900;TraesCS6D03G0011000;TraesCS3B03G0409600;TraesCS5A03G0800900;TraesCS1B03G0819100;TraesCS3D03G0603700;TraesCS4D03G0639000;TraesCS6A03G0853900;TraesCS7B03G0414300;TraesCS7A03G0545200;TraesCS7B03G0544400;TraesCS7B03G0917200;TraesCS6D03G0525200;TraesCS3D03G1185400;TraesCS3A03G0646100;TraesCS5D03G0063200;TraesCS2D03G1101000;TraesCS5B03G0703200;TraesCS1B03G0868100;TraesCS4A03G1151000;TraesCS1D03G1043500;TraesCS6A03G0617100;TraesCS7A03G0399200;TraesCS2B03G1015200;TraesCS3B03G0847000;TraesCS2D03G0931100;TraesCS2A03G0604300;TraesCS4A03G0796400;TraesCS5B03G0217600;TraesCS5D03G0867400;TraesCS7B03G0199600;TraesCS6D03G0505200;TraesCS7A03G1082400;TraesCS2B03G1439500;TraesCS3B03G0971800;TraesCS7D03G1033600;TraesCS6D03G0214700;TraesCS1D03G0473600;TraesCS6A03G0024300;TraesCS3A03G0433000;TraesCS1D03G0874400;TraesCS3D03G1089500;TraesCS7A03G1073700;TraesCS1A03G0606500;TraesCS7A03G0884000;TraesCS4D03G0361400;TraesCS1A03G1082100;TraesCS5A03G0332600;TraesCS3A03G0581600;TraesCS5A03G0225300;TraesCS5B03G0833900;TraesCS4A03G0275200;TraesCS7D03G0914900;TraesCS1A03G0718300;TraesCS2A03G1152000;TraesCS2D03G0664300;TraesCS1B03G1279700;TraesCS2A03G0302300;TraesCS3B03G0673300;TraesCS5D03G0758500</t>
  </si>
  <si>
    <t>NADH dehydrogenase complex assembly</t>
  </si>
  <si>
    <t>3 (14.29%)</t>
  </si>
  <si>
    <t>DNA packaging</t>
  </si>
  <si>
    <t>11 (3.85%)</t>
  </si>
  <si>
    <t>protein refolding</t>
  </si>
  <si>
    <t>4 (9.3%)</t>
  </si>
  <si>
    <t>TraesCS2D03G0714700;TraesCS1B03G0473000;TraesCS1D03G0364300;TraesCS1A03G0391400</t>
  </si>
  <si>
    <t>cellular amide metabolic process</t>
  </si>
  <si>
    <t>51 (2.17%)</t>
  </si>
  <si>
    <t>TraesCS5D03G0824300;TraesCS7D03G1182200;TraesCS1B03G0139900;TraesCS1A03G0501900;TraesCS5A03G1203100;TraesCS3A03G0534000;TraesCS2D03G0644100;TraesCS3B03G0409600;TraesCS4B03G0857300;TraesCS3D03G0978800;TraesCS1B03G0819100;TraesCS2A03G0129000;TraesCS7B03G0414300;TraesCS7B03G0544400;TraesCS3D03G0337600;TraesCS2D03G1101000;TraesCS5D03G0860800;TraesCS1B03G0868100;TraesCS4A03G1151000;TraesCS1D03G0486300;TraesCS3B03G0847000;TraesCS1D03G0681000;TraesCS6B03G1189600;TraesCS4D03G0492800;TraesCS5D03G0473100;TraesCS6B03G0910700;TraesCS5A03G0113400;TraesCS1D03G0345300;TraesCS3D03G0686600;TraesCS2B03G1439500;TraesCS3D03G0686300;TraesCS7D03G0571300;TraesCS6D03G0396800;TraesCS3B03G0971800;TraesCS4A03G0045900;TraesCS4B03G0454300;TraesCS1D03G0221300;TraesCS1A03G0400700;TraesCS5B03G0904700;TraesCS4D03G0361400;TraesCS4D03G0493400;TraesCS1D03G0221500;TraesCS3A03G1049300;TraesCS4D03G0788200;TraesCS1B03G0574900;TraesCS1A03G0718300;TraesCS1B03G0574500;TraesCS2A03G1152000;TraesCS3D03G1077900;TraesCS1B03G1036500;TraesCS1A03G0249300</t>
  </si>
  <si>
    <t>folic acid-containing compound metabolic process</t>
  </si>
  <si>
    <t>4 (9.09%)</t>
  </si>
  <si>
    <t>nucleosome assembly</t>
  </si>
  <si>
    <t>10 (3.97%)</t>
  </si>
  <si>
    <t>TraesCS1B03G0263000;TraesCS6B03G0186600;TraesCS1B03G1049800;TraesCS1B03G0841400;TraesCS3D03G0779100;TraesCS1D03G0870500;TraesCS6B03G0629000;TraesCS5A03G0835900;TraesCS5B03G0875800;TraesCS6A03G0122300</t>
  </si>
  <si>
    <t>nucleobase-containing small molecule metabolic process</t>
  </si>
  <si>
    <t>23 (2.68%)</t>
  </si>
  <si>
    <t>TraesCS6B03G0732400;TraesCS7D03G0553900;TraesCS6A03G0601600;TraesCS3A03G0640300;TraesCS5B03G0703200;TraesCS2B03G0104900;TraesCS5D03G0860800;TraesCS1D03G1043500;TraesCS5D03G0303800;TraesCS6A03G0617100;TraesCS3A03G0609400;TraesCS7A03G0571800;TraesCS1B03G1279700;TraesCS1A03G1082100;TraesCS2A03G0302300;TraesCS3D03G0816100;TraesCS5A03G0332600;TraesCS1D03G0815700;TraesCS3B03G0434100;TraesCS4B03G0335600;TraesCS6D03G0525200;TraesCS2D03G0634200;TraesCS6D03G0505200</t>
  </si>
  <si>
    <t>cellular amino acid biosynthetic process</t>
  </si>
  <si>
    <t>12 (3.55%)</t>
  </si>
  <si>
    <t>amine biosynthetic process</t>
  </si>
  <si>
    <t>6 (5.71%)</t>
  </si>
  <si>
    <t>TraesCS6B03G0732400;TraesCS7A03G0949600;TraesCS6A03G0601600;TraesCS7D03G0914900;TraesCS2B03G0102100;TraesCS6D03G0505200</t>
  </si>
  <si>
    <t>cellular biogenic amine biosynthetic process</t>
  </si>
  <si>
    <t>protein kinase C-activating G protein-coupled receptor signaling pathway</t>
  </si>
  <si>
    <t>3 (12.5%)</t>
  </si>
  <si>
    <t>TraesCS3A03G0775100;TraesCS3D03G0716500;TraesCS3B03G0892500</t>
  </si>
  <si>
    <t>coenzyme A metabolic process</t>
  </si>
  <si>
    <t>TraesCS7A03G0571800;TraesCS7D03G0553900;TraesCS5B03G0703200</t>
  </si>
  <si>
    <t>pyrimidine ribonucleotide metabolic process</t>
  </si>
  <si>
    <t>4 (8.33%)</t>
  </si>
  <si>
    <t>pyrimidine ribonucleotide biosynthetic process</t>
  </si>
  <si>
    <t>organonitrogen compound biosynthetic process</t>
  </si>
  <si>
    <t>70 (2%)</t>
  </si>
  <si>
    <t>TraesCS1D03G0725400;TraesCS5D03G0824300;TraesCS6B03G0732400;TraesCS7D03G1182200;TraesCS5A03G1203100;TraesCS3A03G0534000;TraesCS6A03G0601600;TraesCS1D03G0544900;TraesCS2D03G0644100;TraesCS2B03G0104900;TraesCS4B03G0493600;TraesCS3B03G0409600;TraesCS1B03G0819100;TraesCS3D03G0603700;TraesCS2D03G0804700;TraesCS7B03G0414300;TraesCS3D03G0404300;TraesCS7B03G0544400;TraesCS4B03G0335600;TraesCS6D03G0525200;TraesCS3D03G0337600;TraesCS2D03G1101000;TraesCS5D03G0860800;TraesCS1B03G0868100;TraesCS4A03G1151000;TraesCS1D03G1043500;TraesCS2B03G1308200;TraesCS6A03G0617100;TraesCS7A03G0399200;TraesCS5D03G0077800;TraesCS1D03G0874500;TraesCS3B03G0847000;TraesCS1D03G0681000;TraesCS6A03G0351700;TraesCS5A03G0113400;TraesCS7B03G0199600;TraesCS1D03G0345300;TraesCS6D03G0505200;TraesCS2B03G1439500;TraesCS7D03G0571300;TraesCS6D03G0392200;TraesCS6D03G0396800;TraesCS3B03G0971800;TraesCS4A03G0060100;TraesCS3A03G0433000;TraesCS1D03G0874400;TraesCS4B03G0454300;TraesCS7A03G0884000;TraesCS1A03G0400700;TraesCS5B03G0904700;TraesCS4D03G0361400;TraesCS7A03G0949600;TraesCS6B03G0808800;TraesCS1A03G1082100;TraesCS5A03G0332600;TraesCS2B03G0942900;TraesCS4D03G0788200;TraesCS4A03G0275200;TraesCS7B03G1078600;TraesCS7D03G0914900;TraesCS1A03G0718300;TraesCS2D03G0793400;TraesCS2A03G1152000;TraesCS3A03G0609400;TraesCS1B03G1036500;TraesCS7D03G1144000;TraesCS1B03G1279700;TraesCS2A03G0302300;TraesCS2B03G0102100;TraesCS2A03G1182500</t>
  </si>
  <si>
    <t>nucleosome organization</t>
  </si>
  <si>
    <t>10 (3.83%)</t>
  </si>
  <si>
    <t>mitochondrial electron transport, cytochrome c to oxygen</t>
  </si>
  <si>
    <t>2 (25%)</t>
  </si>
  <si>
    <t>TraesCS1D03G0634900;TraesCS1A03G0671500</t>
  </si>
  <si>
    <t>SRP-dependent cotranslational protein targeting to membrane, translocation</t>
  </si>
  <si>
    <t>TraesCS4D03G0259900;TraesCS4B03G0317000</t>
  </si>
  <si>
    <t>alpha-amino acid catabolic process</t>
  </si>
  <si>
    <t>7 (4.76%)</t>
  </si>
  <si>
    <t>TraesCS2A03G1152000;TraesCS2B03G1015200;TraesCS1A03G0874600;TraesCS2D03G1101000;TraesCS2B03G0102100;TraesCS3B03G0831500;TraesCS6A03G0397300</t>
  </si>
  <si>
    <t>peptide metabolic process</t>
  </si>
  <si>
    <t>47 (2.15%)</t>
  </si>
  <si>
    <t>TraesCS2B03G1439500;TraesCS3D03G0686300;TraesCS5D03G0824300;TraesCS7D03G0571300;TraesCS6D03G0396800;TraesCS7D03G1182200;TraesCS1B03G0139900;TraesCS3B03G0971800;TraesCS1A03G0501900;TraesCS5A03G1203100;TraesCS3A03G0534000;TraesCS2D03G0644100;TraesCS4A03G0045900;TraesCS4B03G0454300;TraesCS1D03G0221300;TraesCS3B03G0409600;TraesCS1A03G0400700;TraesCS5B03G0904700;TraesCS4B03G0857300;TraesCS4D03G0361400;TraesCS4D03G0493400;TraesCS3D03G0978800;TraesCS1D03G0221500;TraesCS1B03G0819100;TraesCS2A03G0129000;TraesCS7B03G0414300;TraesCS3A03G1049300;TraesCS7B03G0544400;TraesCS4D03G0788200;TraesCS1B03G0574900;TraesCS1B03G0868100;TraesCS4A03G1151000;TraesCS1A03G0718300;TraesCS1B03G0574500;TraesCS1D03G0486300;TraesCS3D03G1077900;TraesCS1B03G1036500;TraesCS3B03G0847000;TraesCS1D03G0681000;TraesCS6B03G1189600;TraesCS1A03G0249300;TraesCS4D03G0492800;TraesCS5D03G0473100;TraesCS6B03G0910700;TraesCS5A03G0113400;TraesCS1D03G0345300;TraesCS3D03G0686600</t>
  </si>
  <si>
    <t>cellular glucan metabolic process</t>
  </si>
  <si>
    <t>14 (3.16%)</t>
  </si>
  <si>
    <t>TraesCS7B03G0876600;TraesCS7A03G1037700;TraesCS7A03G1035500;TraesCS7B03G0877500;TraesCS1B03G0726800;TraesCS7B03G0876800;TraesCS7D03G0991300;TraesCS2B03G1153800;TraesCS3A03G0933300;TraesCS7D03G0992500;TraesCS7D03G0991100;TraesCS7D03G0991000;TraesCS1B03G0659600;TraesCS6B03G1260400</t>
  </si>
  <si>
    <t>glucan metabolic process</t>
  </si>
  <si>
    <t>14 (3.15%)</t>
  </si>
  <si>
    <t>cytochrome complex assembly</t>
  </si>
  <si>
    <t>5 (6.17%)</t>
  </si>
  <si>
    <t>TraesCS2A03G0229400;TraesCS3D03G1159800;TraesCS1B03G0636600;TraesCS2D03G0235500;TraesCS7D03G1033100</t>
  </si>
  <si>
    <t>chromosome organization</t>
  </si>
  <si>
    <t>17 (2.87%)</t>
  </si>
  <si>
    <t>TraesCS1B03G0263000;TraesCS6B03G0186600;TraesCS1B03G1049800;TraesCS1B03G0515500;TraesCS1B03G0841400;TraesCS5B03G1168500;TraesCS5A03G0835900;TraesCS5B03G0875800;TraesCS2D03G0664300;TraesCS3D03G0411500;TraesCS3D03G0779100;TraesCS4D03G0040400;TraesCS1D03G0870500;TraesCS2B03G0796300;TraesCS3B03G0520500;TraesCS6B03G0629000;TraesCS6A03G0122300</t>
  </si>
  <si>
    <t>nucleoside salvage</t>
  </si>
  <si>
    <t>2 (22.22%)</t>
  </si>
  <si>
    <t>TraesCS6D03G0525200;TraesCS6A03G0617100</t>
  </si>
  <si>
    <t>purine ribonucleoside salvage</t>
  </si>
  <si>
    <t>polyamine biosynthetic process</t>
  </si>
  <si>
    <t>4 (7.55%)</t>
  </si>
  <si>
    <t>TraesCS6B03G0732400;TraesCS6A03G0601600;TraesCS2B03G0102100;TraesCS6D03G0505200</t>
  </si>
  <si>
    <t>protein complex oligomerization</t>
  </si>
  <si>
    <t>TraesCS2B03G0966000;TraesCS2D03G0427900;TraesCS3B03G0108500;TraesCS3B03G0108300</t>
  </si>
  <si>
    <t>superoxide metabolic process</t>
  </si>
  <si>
    <t>3 (10.71%)</t>
  </si>
  <si>
    <t>polyamine metabolic process</t>
  </si>
  <si>
    <t>4 (7.27%)</t>
  </si>
  <si>
    <t>response to reactive oxygen species</t>
  </si>
  <si>
    <t>5 (5.81%)</t>
  </si>
  <si>
    <t>TraesCS3B03G0108500;TraesCS2A03G1241200;TraesCS3B03G0108300;TraesCS7D03G0509700;TraesCS7B03G0347800</t>
  </si>
  <si>
    <t>mitotic recombination</t>
  </si>
  <si>
    <t>2 (20%)</t>
  </si>
  <si>
    <t>TraesCS2D03G0664300;TraesCS2B03G0796300</t>
  </si>
  <si>
    <t>protein-DNA complex assembly</t>
  </si>
  <si>
    <t>11 (3.35%)</t>
  </si>
  <si>
    <t>TraesCS1B03G0263000;TraesCS6B03G0186600;TraesCS1B03G1049800;TraesCS5A03G0785100;TraesCS1B03G0841400;TraesCS3D03G0779100;TraesCS1D03G0870500;TraesCS6B03G0629000;TraesCS5A03G0835900;TraesCS5B03G0875800;TraesCS6A03G0122300</t>
  </si>
  <si>
    <t>response to chemical</t>
  </si>
  <si>
    <t>38 (2.19%)</t>
  </si>
  <si>
    <t>TraesCS1B03G0263000;TraesCS6B03G0186600;TraesCS1B03G0139900;TraesCS7D03G1033600;TraesCS5A03G0149600;TraesCS6D03G0011000;TraesCS2A03G0934600;TraesCS2D03G0830600;TraesCS1D03G0953700;TraesCS5A03G0835900;TraesCS3B03G0953200;TraesCS3A03G0933300;TraesCS4D03G0528000;TraesCS6D03G0773900;TraesCS7B03G0347800;TraesCS1B03G0841400;TraesCS3B03G0108500;TraesCS6B03G1151100;TraesCS4A03G0852200;TraesCS4B03G0759800;TraesCS1A03G1031600;TraesCS3B03G0108300;TraesCS3B03G0517500;TraesCS7D03G0509700;TraesCS6A03G1045100;TraesCS7B03G0929000;TraesCS5B03G0875800;TraesCS7B03G0335800;TraesCS1D03G0526900;TraesCS2A03G1241200;TraesCS7B03G0778400;TraesCS1B03G0882400;TraesCS5B03G0217600;TraesCS5D03G0867400;TraesCS4A03G0180900;TraesCS6A03G0122300;TraesCS6A03G0684600;TraesCS7A03G1082400</t>
  </si>
  <si>
    <t>regulation of developmental growth</t>
  </si>
  <si>
    <t>5 (5.38%)</t>
  </si>
  <si>
    <t>TraesCS1D03G0504900;TraesCS1A03G0201700;TraesCS1D03G0192500;TraesCS1B03G0270100;TraesCS2D03G0384600</t>
  </si>
  <si>
    <t>response to stress</t>
  </si>
  <si>
    <t>62 (1.98%)</t>
  </si>
  <si>
    <t>TraesCS2B03G0419300;TraesCS7B03G0359800;TraesCS6D03G0011000;TraesCS1B03G0036700;TraesCS2B03G0839500;TraesCS3A03G0933300;TraesCS3A03G0444200;TraesCS3A03G0446500;TraesCS2B03G0812900;TraesCS2D03G0269600;TraesCS1A03G0261500;TraesCS1B03G0841400;TraesCS3B03G0108500;TraesCS6B03G1151100;TraesCS7D03G0891400;TraesCS4A03G0852200;TraesCS1A03G1031600;TraesCS3B03G0108300;TraesCS4A03G0569900;TraesCS3B03G0517500;TraesCS5B03G0875800;TraesCS3B03G0522200;TraesCS6B03G0404800;TraesCS5B03G0217600;TraesCS5D03G0238900;TraesCS4A03G0180900;TraesCS1B03G0659600;TraesCS6A03G0122300;TraesCS6A03G0684600;TraesCS1B03G0263000;TraesCS6B03G0186600;TraesCS3A03G0865900;TraesCS1B03G0907900;TraesCS4B03G0840800;TraesCS2D03G0830600;TraesCS1D03G0953700;TraesCS5A03G0835900;TraesCS4D03G0040400;TraesCS4D03G0528000;TraesCS5A03G0332600;TraesCS2A03G0815300;TraesCS2A03G0869600;TraesCS5A03G0225300;TraesCS7B03G0347800;TraesCS1A03G1048300;TraesCS3D03G0794300;TraesCS3B03G0989400;TraesCS2D03G1117700;TraesCS2B03G0898100;TraesCS7D03G0509700;TraesCS7D03G0654000;TraesCS2D03G0664300;TraesCS6A03G0313000;TraesCS2A03G1241200;TraesCS5B03G0240100;TraesCS1A03G0874600;TraesCS1B03G0882400;TraesCS2B03G0796300;TraesCS3B03G0673300;TraesCS6D03G0268300;TraesCS7B03G0692300;TraesCS2B03G0102100</t>
  </si>
  <si>
    <t>cellular homeostasis</t>
  </si>
  <si>
    <t>14 (2.95%)</t>
  </si>
  <si>
    <t>TraesCS2D03G0141700;TraesCS7D03G0062200;TraesCS4A03G0045900;TraesCS4A03G0569900;TraesCS3B03G0517500;TraesCS2D03G0830600;TraesCS2A03G0888500;TraesCS3D03G0408000;TraesCS5A03G0595200;TraesCS4A03G1151800;TraesCS2A03G0129000;TraesCS2A03G0810500;TraesCS7D03G1033100;TraesCS1A03G1040400</t>
  </si>
  <si>
    <t>chromatin remodeling</t>
  </si>
  <si>
    <t>10 (3.36%)</t>
  </si>
  <si>
    <t>protein-DNA complex subunit organization</t>
  </si>
  <si>
    <t>11 (3.25%)</t>
  </si>
  <si>
    <t>aromatic amino acid family metabolic process</t>
  </si>
  <si>
    <t>8 (3.74%)</t>
  </si>
  <si>
    <t>TraesCS7A03G0949600;TraesCS2B03G1015200;TraesCS7B03G0671400;TraesCS1D03G0544900;TraesCS7D03G0914900;TraesCS6A03G0351700;TraesCS6B03G0433700;TraesCS6D03G0290400</t>
  </si>
  <si>
    <t>bundle sheath cell fate specification</t>
  </si>
  <si>
    <t>1 (100%)</t>
  </si>
  <si>
    <t>TraesCS2A03G0418400</t>
  </si>
  <si>
    <t>cellular transition metal ion homeostasis</t>
  </si>
  <si>
    <t>4 (6.25%)</t>
  </si>
  <si>
    <t>TraesCS4A03G1151800;TraesCS2A03G0810500;TraesCS7D03G0062200;TraesCS7D03G1033100</t>
  </si>
  <si>
    <t>amine metabolic process</t>
  </si>
  <si>
    <t>9 (3.67%)</t>
  </si>
  <si>
    <t>TraesCS3A03G0646100;TraesCS6B03G0732400;TraesCS7A03G0949600;TraesCS6A03G0601600;TraesCS7B03G0671400;TraesCS7D03G0914900;TraesCS2B03G0102100;TraesCS3D03G0590600;TraesCS6D03G0505200</t>
  </si>
  <si>
    <t>cellular amine metabolic process</t>
  </si>
  <si>
    <t>7 (4.32%)</t>
  </si>
  <si>
    <t>TraesCS6B03G0732400;TraesCS7A03G0949600;TraesCS6A03G0601600;TraesCS7B03G0671400;TraesCS7D03G0914900;TraesCS2B03G0102100;TraesCS6D03G0505200</t>
  </si>
  <si>
    <t>cellular biogenic amine metabolic process</t>
  </si>
  <si>
    <t>regulation of double-strand break repair</t>
  </si>
  <si>
    <t>TraesCS4D03G0040400</t>
  </si>
  <si>
    <t>regulation of double-strand break repair via homologous recombination</t>
  </si>
  <si>
    <t>negative regulation of response to DNA damage stimulus</t>
  </si>
  <si>
    <t>negative regulation of DNA repair</t>
  </si>
  <si>
    <t>negative regulation of double-strand break repair</t>
  </si>
  <si>
    <t>negative regulation of double-strand break repair via homologous recombination</t>
  </si>
  <si>
    <t>protein glutathionylation</t>
  </si>
  <si>
    <t>TraesCS4D03G0492800</t>
  </si>
  <si>
    <t>organic substance metabolic process</t>
  </si>
  <si>
    <t>362 (1.59%)</t>
  </si>
  <si>
    <t>TraesCS5D03G0824300;TraesCS4A03G0608900;TraesCS1D03G0544900;TraesCS5A03G0149600;TraesCS1B03G0687100;TraesCS4B03G0493600;TraesCS7A03G0571800;TraesCS4B03G0857300;TraesCS2B03G1153800;TraesCS1D03G0760600;TraesCS5B03G1001000;TraesCS7D03G0991000;TraesCS3D03G0404300;TraesCS3A03G0224100;TraesCS4D03G0694600;TraesCS4B03G0222400;TraesCS3A03G0046100;TraesCS7A03G1035500;TraesCS4A03G0443200;TraesCS3D03G0337600;TraesCS1D03G0581300;TraesCS1B03G0726800;TraesCS3D03G0717900;TraesCS4A03G0569900;TraesCS5D03G1121600;TraesCS3D03G0041800;TraesCS3B03G0014400;TraesCS2B03G1308200;TraesCS1D03G0526900;TraesCS5D03G0077800;TraesCS7D03G0286800;TraesCS1D03G0874500;TraesCS6B03G0404800;TraesCS4D03G0091300;TraesCS5B03G0487400;TraesCS7D03G0856500;TraesCS1D03G0681000;TraesCS3A03G0619900;TraesCS3B03G0520500;TraesCS5D03G0238900;TraesCS6A03G0351700;TraesCS2B03G1034100;TraesCS3D03G0590600;TraesCS5A03G0113400;TraesCS1D03G0345300;TraesCS1A03G0763400;TraesCS4B03G0032200;TraesCS4B03G0317900;TraesCS5D03G0649600;TraesCS1A03G0902800;TraesCS4A03G0060100;TraesCS3B03G0686400;TraesCS5A03G0720400;TraesCS6A03G0376800;TraesCS4D03G0429600;TraesCS2A03G0926800;TraesCS4D03G0493400;TraesCS4D03G0040400;TraesCS7D03G0991100;TraesCS7B03G0672500;TraesCS6A03G0429300;TraesCS6B03G0988000;TraesCS4A03G0927500;TraesCS4B03G0645200;TraesCS4D03G0788200;TraesCS3B03G0248100;TraesCS3B03G1021800;TraesCS5B03G0556400;TraesCS1A03G0821600;TraesCS6B03G1073300;TraesCS6D03G0131900;TraesCS3A03G1207400;TraesCS7A03G0751500;TraesCS2D03G0577700;TraesCS5A03G1128100;TraesCS1B03G0574500;TraesCS2D03G0793400;TraesCS5A03G0796500;TraesCS3A03G0609400;TraesCS4A03G0104200;TraesCS1B03G1036500;TraesCS7B03G0187800;TraesCS1D03G0790700;TraesCS1D03G0742700;TraesCS1A03G0874600;TraesCS2B03G0102100;TraesCS4A03G0907900;TraesCS3B03G1276900;TraesCS1D03G0725400;TraesCS7D03G1182200;TraesCS6A03G0924100;TraesCS7B03G0877500;TraesCS4D03G0022200;TraesCS4A03G0169500;TraesCS1D03G0026400;TraesCS2D03G0644100;TraesCS3A03G0296700;TraesCS5A03G0864200;TraesCS2A03G0396400;TraesCS3B03G0409600;TraesCS3B03G0984700;TraesCS1B03G0495700;TraesCS1B03G0788000;TraesCS6D03G0766600;TraesCS5A03G0800900;TraesCS1B03G0819100;TraesCS3A03G0446500;TraesCS6A03G0853900;TraesCS2B03G0812900;TraesCS6B03G0200100;TraesCS7B03G0917200;TraesCS3D03G1185400;TraesCS3D03G0966900;TraesCS4D03G0602800;TraesCS5B03G0059100;TraesCS5D03G0059400;TraesCS6A03G0872300;TraesCS5D03G0063200;TraesCS2D03G1101000;TraesCS5B03G0703200;TraesCS2B03G0690600;TraesCS3D03G0859000;TraesCS1D03G1043500;TraesCS6A03G0617100;TraesCS7A03G0839100;TraesCS5A03G0595200;TraesCS3B03G0847000;TraesCS1B03G1252100;TraesCS3D03G0816100;TraesCS1B03G0913000;TraesCS4A03G0796400;TraesCS5B03G0217600;TraesCS5D03G0867400;TraesCS6D03G0505200;TraesCS7A03G1082400;TraesCS2B03G1439500;TraesCS3D03G0686300;TraesCS4A03G0679200;TraesCS1D03G0473600;TraesCS6A03G0024300;TraesCS4A03G0045900;TraesCS3A03G0433000;TraesCS1D03G0874400;TraesCS3D03G0787600;TraesCS7A03G1073700;TraesCS1A03G0606500;TraesCS1D03G0597100;TraesCS7A03G0884000;TraesCS3D03G0567700;TraesCS5D03G1104000;TraesCS1A03G1082100;TraesCS5A03G0332600;TraesCS7D03G0758500;TraesCS3A03G0581600;TraesCS3A03G1049300;TraesCS1D03G0608400;TraesCS5A03G0225300;TraesCS1A03G0731100;TraesCS1A03G1052700;TraesCS4D03G0736900;TraesCS5A03G0045500;TraesCS7D03G0610700;TraesCS7D03G1158600;TraesCS3D03G0070400;TraesCS7D03G0914900;TraesCS3D03G0763300;TraesCS1A03G0794300;TraesCS1B03G0636600;TraesCS3D03G0411500;TraesCS6A03G0313000;TraesCS1B03G1279700;TraesCS3B03G1192800;TraesCS4B03G0133800;TraesCS3B03G0673300;TraesCS3A03G0081800;TraesCS7D03G0715000;TraesCS1B03G0020700;TraesCS3B03G0434100;TraesCS5D03G0758500;TraesCS1A03G0765200;TraesCS3D03G0342800;TraesCS1B03G0139900;TraesCS2B03G0983100;TraesCS7B03G0764100;TraesCS1A03G0822300;TraesCS5B03G1168500;TraesCS3B03G0052400;TraesCS4A03G0266600;TraesCS5A03G0785100;TraesCS3D03G0978800;TraesCS1B03G1192300;TraesCS3A03G0933300;TraesCS6B03G0041900;TraesCS4B03G0578100;TraesCS7D03G0373600;TraesCS2D03G0804700;TraesCS5A03G1157600;TraesCS1A03G0592000;TraesCS4B03G0335600;TraesCS6B03G0854800;TraesCS6B03G1260400;TraesCS7A03G1037400;TraesCS7B03G0876600;TraesCS1D03G0881300;TraesCS4D03G0331800;TraesCS7D03G0553900;TraesCS2D03G0483500;TraesCS4B03G0482200;TraesCS4B03G0637500;TraesCS5D03G0860800;TraesCS3D03G0509300;TraesCS6A03G0262500;TraesCS1A03G0649900;TraesCS5D03G0303800;TraesCS4A03G0390200;TraesCS4B03G0915000;TraesCS1D03G0486300;TraesCS2A03G0587000;TraesCS7D03G0992500;TraesCS4B03G0195100;TraesCS5B03G0378800;TraesCS1D03G0301200;TraesCS4A03G0687200;TraesCS3D03G0029300;TraesCS4D03G0492800;TraesCS6B03G0910700;TraesCS7D03G0516600;TraesCS1D03G0815700;TraesCS4B03G0330700;TraesCS1B03G0659600;TraesCS2A03G0923600;TraesCS7B03G0212700;TraesCS7D03G0166600;TraesCS7D03G0571300;TraesCS6B03G0350100;TraesCS6D03G0392200;TraesCS6D03G0396800;TraesCS1B03G0515500;TraesCS1D03G0563600;TraesCS1D03G0637600;TraesCS6A03G0288300;TraesCS1B03G0666700;TraesCS4B03G0454300;TraesCS1D03G0221300;TraesCS1A03G0400700;TraesCS5B03G0904700;TraesCS7A03G0949600;TraesCS1B03G1010700;TraesCS6B03G0808800;TraesCS5B03G1349900;TraesCS2B03G0942900;TraesCS6B03G0797100;TraesCS2B03G0598700;TraesCS2D03G0745300;TraesCS2D03G0634200;TraesCS2D03G0911500;TraesCS5A03G0968800;TraesCS1B03G0574900;TraesCS3A03G0640300;TraesCS7B03G1078600;TraesCS3D03G0691000;TraesCS7B03G0929000;TraesCS2D03G0644900;TraesCS3D03G1077900;TraesCS7D03G1144000;TraesCS7D03G1023900;TraesCS4D03G0064200;TraesCS5B03G0240100;TraesCS1A03G0249300;TraesCS2B03G0796300;TraesCS6D03G0268300;TraesCS2A03G1182500;TraesCS4D03G0513000;TraesCS4B03G0116300;TraesCS5B03G1172800;TraesCS6B03G0732400;TraesCS4B03G0825900;TraesCS1A03G0501900;TraesCS1B03G0779800;TraesCS5A03G1203100;TraesCS1B03G0737600;TraesCS3A03G0534000;TraesCS6A03G0601600;TraesCS6A03G0193300;TraesCS2B03G0104900;TraesCS6D03G0011000;TraesCS3A03G0343100;TraesCS7D03G0990900;TraesCS1D03G0358300;TraesCS7B03G0454200;TraesCS3B03G0953000;TraesCS6B03G0634300;TraesCS1B03G0495300;TraesCS2A03G0129000;TraesCS2D03G1126800;TraesCS1A03G0691100;TraesCS3D03G0603700;TraesCS4D03G0639000;TraesCS7B03G0414300;TraesCS7A03G0545200;TraesCS7B03G0544400;TraesCS2A03G0758200;TraesCS6D03G0525200;TraesCS3A03G0646100;TraesCS1B03G0868100;TraesCS6B03G0433700;TraesCS4A03G1151000;TraesCS6D03G0794100;TraesCS7B03G0876800;TraesCS7A03G0399200;TraesCS1B03G0794500;TraesCS2B03G1177400;TraesCS2B03G1015200;TraesCS6B03G1189600;TraesCS7B03G0671400;TraesCS2B03G0480100;TraesCS5D03G0427200;TraesCS2D03G0931100;TraesCS5A03G0482400;TraesCS2A03G0604300;TraesCS5D03G0473100;TraesCS7B03G0199600;TraesCS1D03G0010900;TraesCS3D03G0686600;TraesCS7B03G0380700;TraesCS1A03G0079200;TraesCS5B03G1271700;TraesCS5D03G0828800;TraesCS3B03G0971800;TraesCS7A03G1126800;TraesCS7D03G1033600;TraesCS6D03G0214700;TraesCS2B03G0222400;TraesCS7B03G0355300;TraesCS6A03G0288500;TraesCS3D03G1089500;TraesCS5D03G0509900;TraesCS3B03G0831500;TraesCS6A03G0397300;TraesCS4D03G0361400;TraesCS6A03G0773600;TraesCS7D03G0991300;TraesCS1D03G0221500;TraesCS5A03G0441000;TraesCS6D03G0471300;TraesCS3D03G0010200;TraesCS6D03G0636400;TraesCS5A03G0546900;TraesCS5B03G0833900;TraesCS7A03G1037700;TraesCS4A03G0275200;TraesCS5B03G0718300;TraesCS1D03G0654900;TraesCS6D03G0290400;TraesCS1A03G0718300;TraesCS4A03G0131200;TraesCS2D03G0017900;TraesCS2A03G1152000;TraesCS2D03G0664300;TraesCS2D03G0725500;TraesCS5A03G1223500;TraesCS2A03G0302300</t>
  </si>
  <si>
    <t>mitochondrial ATP synthesis coupled electron transport</t>
  </si>
  <si>
    <t>3 (7.5%)</t>
  </si>
  <si>
    <t>TraesCS1D03G0634900;TraesCS4A03G0230700;TraesCS1A03G0671500</t>
  </si>
  <si>
    <t>mitochondrial electron transport, ubiquinol to cytochrome c</t>
  </si>
  <si>
    <t>2 (12.5%)</t>
  </si>
  <si>
    <t>regulation of cytoskeleton organization</t>
  </si>
  <si>
    <t>4 (5.33%)</t>
  </si>
  <si>
    <t>TraesCS2D03G0427900;TraesCS5A03G0035400;TraesCS1A03G0826700;TraesCS2B03G0320600</t>
  </si>
  <si>
    <t>cell redox homeostasis</t>
  </si>
  <si>
    <t>10 (3.15%)</t>
  </si>
  <si>
    <t>TraesCS2A03G0888500;TraesCS3D03G0408000;TraesCS5A03G0595200;TraesCS2A03G0129000;TraesCS4A03G0045900;TraesCS7D03G1033100;TraesCS4A03G0569900;TraesCS3B03G0517500;TraesCS1A03G1040400;TraesCS2D03G0830600</t>
  </si>
  <si>
    <t>cellular oxidant detoxification</t>
  </si>
  <si>
    <t>6 (4.08%)</t>
  </si>
  <si>
    <t>TraesCS1B03G0139900;TraesCS2A03G1241200;TraesCS3B03G0517500;TraesCS2D03G0830600;TraesCS7D03G0509700;TraesCS7B03G0347800</t>
  </si>
  <si>
    <t>external encapsulating structure organization</t>
  </si>
  <si>
    <t>18 (2.54%)</t>
  </si>
  <si>
    <t>TraesCS7B03G0876600;TraesCS7A03G1037700;TraesCS7A03G1035500;TraesCS4A03G0608900;TraesCS5B03G1017600;TraesCS6A03G0713400;TraesCS4B03G1000000;TraesCS1B03G0205900;TraesCS7D03G0991300;TraesCS2B03G1153800;TraesCS7D03G0992500;TraesCS2A03G0161300;TraesCS7D03G0991100;TraesCS2B03G0480100;TraesCS2B03G0224700;TraesCS1D03G0143400;TraesCS6B03G1260400;TraesCS2B03G1353400</t>
  </si>
  <si>
    <t>cell wall organization</t>
  </si>
  <si>
    <t>17 (2.51%)</t>
  </si>
  <si>
    <t>TraesCS7B03G0876600;TraesCS7A03G1037700;TraesCS7A03G1035500;TraesCS4A03G0608900;TraesCS5B03G1017600;TraesCS4B03G1000000;TraesCS1B03G0205900;TraesCS7D03G0991300;TraesCS2B03G1153800;TraesCS7D03G0992500;TraesCS2A03G0161300;TraesCS7D03G0991100;TraesCS2B03G0480100;TraesCS2B03G0224700;TraesCS1D03G0143400;TraesCS6B03G1260400;TraesCS2B03G1353400</t>
  </si>
  <si>
    <t>chromatin organization</t>
  </si>
  <si>
    <t>11 (3.11%)</t>
  </si>
  <si>
    <t>regionalization</t>
  </si>
  <si>
    <t>3 (7.14%)</t>
  </si>
  <si>
    <t>TraesCS2B03G0545900;TraesCS1D03G0637600;TraesCS5B03G0217600</t>
  </si>
  <si>
    <t>cellular metal ion homeostasis</t>
  </si>
  <si>
    <t>5 (4.76%)</t>
  </si>
  <si>
    <t>TraesCS2D03G0141700;TraesCS4A03G1151800;TraesCS2A03G0810500;TraesCS7D03G0062200;TraesCS7D03G1033100</t>
  </si>
  <si>
    <t>manganese ion homeostasis</t>
  </si>
  <si>
    <t>3 (6.98%)</t>
  </si>
  <si>
    <t>TraesCS4A03G1151800;TraesCS2A03G0810500;TraesCS7D03G0062200</t>
  </si>
  <si>
    <t>cellular manganese ion homeostasis</t>
  </si>
  <si>
    <t>folic acid metabolic process</t>
  </si>
  <si>
    <t>phenylpropanoid biosynthetic process</t>
  </si>
  <si>
    <t>4 (6.06%)</t>
  </si>
  <si>
    <t>TraesCS2B03G1015200;TraesCS6A03G0429300;TraesCS3B03G0673300;TraesCS6D03G0011000</t>
  </si>
  <si>
    <t>mitochondrial membrane organization</t>
  </si>
  <si>
    <t>3 (7.32%)</t>
  </si>
  <si>
    <t>TraesCS5A03G0199200;TraesCS4B03G0536000;TraesCS4A03G0086300</t>
  </si>
  <si>
    <t>inner mitochondrial membrane organization</t>
  </si>
  <si>
    <t>3 (8.11%)</t>
  </si>
  <si>
    <t>protein localization to membrane</t>
  </si>
  <si>
    <t>6 (4.26%)</t>
  </si>
  <si>
    <t>TraesCS4D03G0259900;TraesCS5A03G0199200;TraesCS4B03G0317000;TraesCS7D03G1150400;TraesCS4B03G0536000;TraesCS4A03G0086300</t>
  </si>
  <si>
    <t>establishment of protein localization to membrane</t>
  </si>
  <si>
    <t>6 (4.35%)</t>
  </si>
  <si>
    <t>establishment of protein localization to mitochondrial membrane</t>
  </si>
  <si>
    <t>protein insertion into mitochondrial membrane</t>
  </si>
  <si>
    <t>protein insertion into mitochondrial inner membrane</t>
  </si>
  <si>
    <t>3 (8.33%)</t>
  </si>
  <si>
    <t>fruit development</t>
  </si>
  <si>
    <t>8 (3.38%)</t>
  </si>
  <si>
    <t>TraesCS7D03G0506000;TraesCS6B03G0719500;TraesCS5A03G0463400;TraesCS6A03G0592200;TraesCS7D03G1033100;TraesCS4A03G0569900;TraesCS7B03G0905900;TraesCS5B03G0457900</t>
  </si>
  <si>
    <t>seed development</t>
  </si>
  <si>
    <t>8 (3.51%)</t>
  </si>
  <si>
    <t>isoprenoid biosynthetic process</t>
  </si>
  <si>
    <t>8 (3.49%)</t>
  </si>
  <si>
    <t>TraesCS7A03G0571800;TraesCS6B03G0350100;TraesCS7D03G0553900;TraesCS6D03G0214700;TraesCS5D03G0063200;TraesCS5B03G0703200;TraesCS4A03G0796400;TraesCS6A03G0262500</t>
  </si>
  <si>
    <t>pyruvate transport</t>
  </si>
  <si>
    <t>TraesCS4A03G1214100;TraesCS7A03G0033500</t>
  </si>
  <si>
    <t>pyruvate transmembrane transport</t>
  </si>
  <si>
    <t>mitochondrial pyruvate transmembrane transport</t>
  </si>
  <si>
    <t>protein localization to endoplasmic reticulum</t>
  </si>
  <si>
    <t>5 (5%)</t>
  </si>
  <si>
    <t>TraesCS4D03G0259900;TraesCS4B03G0317000;TraesCS7D03G1150400;TraesCS6A03G0781200;TraesCS6D03G0661300</t>
  </si>
  <si>
    <t>embryo development</t>
  </si>
  <si>
    <t>7 (3.74%)</t>
  </si>
  <si>
    <t>TraesCS7D03G0506000;TraesCS6B03G0719500;TraesCS5A03G0463400;TraesCS6A03G0592200;TraesCS7D03G1033100;TraesCS7B03G0905900;TraesCS5B03G0457900</t>
  </si>
  <si>
    <t>embryo development ending in seed dormancy</t>
  </si>
  <si>
    <t>7 (3.8%)</t>
  </si>
  <si>
    <t>triterpenoid metabolic process</t>
  </si>
  <si>
    <t>TraesCS6B03G0350100;TraesCS6D03G0214700;TraesCS6A03G0262500</t>
  </si>
  <si>
    <t>triterpenoid biosynthetic process</t>
  </si>
  <si>
    <t>monocarboxylic acid biosynthetic process</t>
  </si>
  <si>
    <t>11 (2.88%)</t>
  </si>
  <si>
    <t>TraesCS2A03G0926800;TraesCS2D03G0644900;TraesCS5B03G0833900;TraesCS5A03G0800900;TraesCS2B03G1015200;TraesCS3D03G0337600;TraesCS1D03G0581300;TraesCS4D03G0639000;TraesCS5D03G0758500;TraesCS1A03G0606500;TraesCS3D03G1185400</t>
  </si>
  <si>
    <t>aerobic electron transport chain</t>
  </si>
  <si>
    <t>3 (6.67%)</t>
  </si>
  <si>
    <t>polyol metabolic process</t>
  </si>
  <si>
    <t>4 (4.82%)</t>
  </si>
  <si>
    <t>TraesCS7A03G1037400;TraesCS1A03G0821600;TraesCS1D03G0790700;TraesCS6B03G0634300</t>
  </si>
  <si>
    <t>inositol phosphate metabolic process</t>
  </si>
  <si>
    <t>3 (6.38%)</t>
  </si>
  <si>
    <t>TraesCS7A03G1037400;TraesCS1A03G0821600;TraesCS1D03G0790700</t>
  </si>
  <si>
    <t>inositol trisphosphate metabolic process</t>
  </si>
  <si>
    <t>2 (11.11%)</t>
  </si>
  <si>
    <t>TraesCS1A03G0821600;TraesCS1D03G0790700</t>
  </si>
  <si>
    <t>glutamine family amino acid metabolic process</t>
  </si>
  <si>
    <t>6 (3.66%)</t>
  </si>
  <si>
    <t>TraesCS3A03G0609400;TraesCS3A03G0046100;TraesCS1A03G0874600;TraesCS3B03G0052400;TraesCS2B03G0102100;TraesCS3D03G0041800</t>
  </si>
  <si>
    <t>detoxification</t>
  </si>
  <si>
    <t>6 (3.82%)</t>
  </si>
  <si>
    <t>cellular response to toxic substance</t>
  </si>
  <si>
    <t>cellular detoxification</t>
  </si>
  <si>
    <t>cytochrome c-heme linkage</t>
  </si>
  <si>
    <t>1 (50%)</t>
  </si>
  <si>
    <t>TraesCS1B03G0636600</t>
  </si>
  <si>
    <t>aromatic amino acid family biosynthetic process</t>
  </si>
  <si>
    <t>4 (4.76%)</t>
  </si>
  <si>
    <t>TraesCS7A03G0949600;TraesCS1D03G0544900;TraesCS7D03G0914900;TraesCS6A03G0351700</t>
  </si>
  <si>
    <t>system development</t>
  </si>
  <si>
    <t>16 (2.43%)</t>
  </si>
  <si>
    <t>TraesCS2D03G0710200;TraesCS2A03G0418400;TraesCS6A03G0592200;TraesCS1D03G0637600;TraesCS4A03G0569900;TraesCS1D03G0597100;TraesCS7D03G0654000;TraesCS7D03G0506000;TraesCS6B03G0719500;TraesCS2B03G0545900;TraesCS5A03G0463400;TraesCS4A03G0796400;TraesCS5B03G0217600;TraesCS7D03G1033100;TraesCS7B03G0905900;TraesCS5B03G0457900</t>
  </si>
  <si>
    <t>protein N-linked glycosylation via arginine</t>
  </si>
  <si>
    <t>TraesCS1D03G0725400</t>
  </si>
  <si>
    <t>cellular cation homeostasis</t>
  </si>
  <si>
    <t>5 (4.13%)</t>
  </si>
  <si>
    <t>putrescine biosynthetic process from arginine, using agmatinase</t>
  </si>
  <si>
    <t>TraesCS2B03G0102100</t>
  </si>
  <si>
    <t>regulation of supramolecular fiber organization</t>
  </si>
  <si>
    <t>3 (6.52%)</t>
  </si>
  <si>
    <t>TraesCS2D03G0427900;TraesCS5A03G0035400;TraesCS2B03G0320600</t>
  </si>
  <si>
    <t>carbohydrate localization</t>
  </si>
  <si>
    <t>TraesCS2B03G0812900</t>
  </si>
  <si>
    <t>carbohydrate storage</t>
  </si>
  <si>
    <t>Golgi calcium ion homeostasis</t>
  </si>
  <si>
    <t>TraesCS2D03G0141700</t>
  </si>
  <si>
    <t>Golgi calcium ion transport</t>
  </si>
  <si>
    <t>induced systemic resistance, ethylene mediated signaling pathway</t>
  </si>
  <si>
    <t>TraesCS3A03G0933300</t>
  </si>
  <si>
    <t>DNA topological change</t>
  </si>
  <si>
    <t>TraesCS3D03G0411500;TraesCS5B03G1168500;TraesCS3B03G0520500</t>
  </si>
  <si>
    <t>lignin biosynthetic process</t>
  </si>
  <si>
    <t>TraesCS6A03G0429300;TraesCS3B03G0673300</t>
  </si>
  <si>
    <t>localization within membrane</t>
  </si>
  <si>
    <t>6 (3.9%)</t>
  </si>
  <si>
    <t>protein insertion into membrane</t>
  </si>
  <si>
    <t>3 (6.12%)</t>
  </si>
  <si>
    <t>maintenance of rDNA</t>
  </si>
  <si>
    <t>regulation of microtubule polymerization or depolymerization</t>
  </si>
  <si>
    <t>TraesCS5A03G0035400</t>
  </si>
  <si>
    <t>positive regulation of microtubule polymerization or depolymerization</t>
  </si>
  <si>
    <t>regulation of microtubule polymerization</t>
  </si>
  <si>
    <t>positive regulation of protein polymerization</t>
  </si>
  <si>
    <t>positive regulation of microtubule polymerization</t>
  </si>
  <si>
    <t>protein maturation by iron-sulfur cluster transfer</t>
  </si>
  <si>
    <t>2 (10.53%)</t>
  </si>
  <si>
    <t>TraesCS5A03G0968800;TraesCS5A03G0482400</t>
  </si>
  <si>
    <t>indolalkylamine biosynthetic process</t>
  </si>
  <si>
    <t>2 (10%)</t>
  </si>
  <si>
    <t>TraesCS7A03G0949600;TraesCS7D03G0914900</t>
  </si>
  <si>
    <t>tryptophan biosynthetic process</t>
  </si>
  <si>
    <t>regulation of biological quality</t>
  </si>
  <si>
    <t>20 (2.28%)</t>
  </si>
  <si>
    <t>TraesCS2D03G0141700;TraesCS3A03G0646100;TraesCS7D03G0062200;TraesCS4A03G0045900;TraesCS4A03G0569900;TraesCS3B03G0517500;TraesCS2D03G0830600;TraesCS7D03G0654000;TraesCS2B03G0320600;TraesCS2A03G0888500;TraesCS2D03G0427900;TraesCS3D03G0408000;TraesCS5A03G0595200;TraesCS4A03G1151800;TraesCS2A03G0129000;TraesCS2A03G0810500;TraesCS1A03G0826700;TraesCS7D03G1033100;TraesCS1A03G1040400;TraesCS3D03G0590600</t>
  </si>
  <si>
    <t>proline catabolic process to glutamate</t>
  </si>
  <si>
    <t>1 (33.33%)</t>
  </si>
  <si>
    <t>TraesCS1A03G0874600</t>
  </si>
  <si>
    <t>homeostatic process</t>
  </si>
  <si>
    <t>14 (2.45%)</t>
  </si>
  <si>
    <t>negative regulation of hydrolase activity</t>
  </si>
  <si>
    <t>6 (3.55%)</t>
  </si>
  <si>
    <t>TraesCS1A03G1048300;TraesCS3B03G0522200;TraesCS3B03G0953200;TraesCS3A03G0444200;TraesCS1D03G0640600;TraesCS2D03G0269600</t>
  </si>
  <si>
    <t>purine-containing compound metabolic process</t>
  </si>
  <si>
    <t>15 (2.45%)</t>
  </si>
  <si>
    <t>TraesCS6B03G0732400;TraesCS7D03G0553900;TraesCS6A03G0601600;TraesCS5B03G0703200;TraesCS5D03G0860800;TraesCS1D03G1043500;TraesCS5D03G0303800;TraesCS6A03G0617100;TraesCS7A03G0571800;TraesCS1B03G1279700;TraesCS1A03G1082100;TraesCS3D03G0816100;TraesCS1D03G0815700;TraesCS6D03G0525200;TraesCS6D03G0505200</t>
  </si>
  <si>
    <t>aromatic compound biosynthetic process</t>
  </si>
  <si>
    <t>50 (1.88%)</t>
  </si>
  <si>
    <t>TraesCS6B03G0732400;TraesCS6A03G0601600;TraesCS1D03G0544900;TraesCS2B03G0104900;TraesCS5A03G0149600;TraesCS6D03G0011000;TraesCS5A03G0785100;TraesCS6B03G0041900;TraesCS6A03G0853900;TraesCS3D03G0404300;TraesCS4B03G0335600;TraesCS6B03G0854800;TraesCS6D03G0525200;TraesCS5D03G0860800;TraesCS1D03G1043500;TraesCS6A03G0617100;TraesCS7D03G0286800;TraesCS2B03G1015200;TraesCS2D03G0931100;TraesCS2A03G0604300;TraesCS5B03G0217600;TraesCS5D03G0238900;TraesCS5D03G0867400;TraesCS6A03G0351700;TraesCS6D03G0505200;TraesCS7A03G1082400;TraesCS7D03G1033600;TraesCS1D03G0473600;TraesCS1D03G0637600;TraesCS6A03G0024300;TraesCS3A03G0433000;TraesCS7A03G0949600;TraesCS1A03G1082100;TraesCS6A03G0429300;TraesCS6B03G0988000;TraesCS2B03G0942900;TraesCS6B03G0797100;TraesCS3A03G0581600;TraesCS5A03G0225300;TraesCS2D03G0911500;TraesCS3B03G1021800;TraesCS6D03G0131900;TraesCS7D03G0914900;TraesCS7B03G0929000;TraesCS2D03G0793400;TraesCS3A03G0609400;TraesCS1B03G1279700;TraesCS5B03G0240100;TraesCS2A03G0302300;TraesCS3B03G0673300</t>
  </si>
  <si>
    <t>organic cyclic compound biosynthetic process</t>
  </si>
  <si>
    <t>54 (1.88%)</t>
  </si>
  <si>
    <t>TraesCS6B03G0732400;TraesCS6A03G0601600;TraesCS1D03G0544900;TraesCS2B03G0104900;TraesCS5A03G0149600;TraesCS6D03G0011000;TraesCS5A03G0785100;TraesCS6B03G0041900;TraesCS2D03G0804700;TraesCS6A03G0853900;TraesCS3D03G0404300;TraesCS4B03G0335600;TraesCS6B03G0854800;TraesCS6D03G0525200;TraesCS5D03G0063200;TraesCS5D03G0860800;TraesCS1D03G1043500;TraesCS6A03G0617100;TraesCS7D03G0286800;TraesCS2B03G1015200;TraesCS2D03G0931100;TraesCS2A03G0604300;TraesCS5B03G0217600;TraesCS5D03G0238900;TraesCS5D03G0867400;TraesCS6A03G0351700;TraesCS6D03G0505200;TraesCS7A03G1082400;TraesCS7D03G1033600;TraesCS1D03G0473600;TraesCS1D03G0637600;TraesCS6A03G0024300;TraesCS3A03G0433000;TraesCS7A03G0949600;TraesCS6B03G0808800;TraesCS1A03G1082100;TraesCS5A03G0332600;TraesCS6A03G0429300;TraesCS6B03G0988000;TraesCS2B03G0942900;TraesCS6B03G0797100;TraesCS3A03G0581600;TraesCS5A03G0225300;TraesCS2D03G0911500;TraesCS3B03G1021800;TraesCS6D03G0131900;TraesCS7D03G0914900;TraesCS7B03G0929000;TraesCS2D03G0793400;TraesCS3A03G0609400;TraesCS1B03G1279700;TraesCS5B03G0240100;TraesCS2A03G0302300;TraesCS3B03G0673300</t>
  </si>
  <si>
    <t>defense response</t>
  </si>
  <si>
    <t>17 (2.33%)</t>
  </si>
  <si>
    <t>TraesCS3D03G0794300;TraesCS3A03G0865900;TraesCS3B03G0989400;TraesCS7D03G0891400;TraesCS4B03G0840800;TraesCS1B03G0036700;TraesCS3B03G0522200;TraesCS6A03G0313000;TraesCS3A03G0933300;TraesCS6B03G0404800;TraesCS3A03G0444200;TraesCS3B03G0673300;TraesCS5B03G0217600;TraesCS6D03G0268300;TraesCS2B03G0812900;TraesCS2B03G0102100;TraesCS2D03G0269600</t>
  </si>
  <si>
    <t>response to toxic substance</t>
  </si>
  <si>
    <t>6 (3.59%)</t>
  </si>
  <si>
    <t>production of siRNA involved in gene silencing by small RNA</t>
  </si>
  <si>
    <t>TraesCS1B03G0515500</t>
  </si>
  <si>
    <t>protein-heme linkage</t>
  </si>
  <si>
    <t>maltose biosynthetic process</t>
  </si>
  <si>
    <t>TraesCS1B03G0659600</t>
  </si>
  <si>
    <t>response to arsenic-containing substance</t>
  </si>
  <si>
    <t>TraesCS1D03G0526900</t>
  </si>
  <si>
    <t>pattern specification process</t>
  </si>
  <si>
    <t>3 (5.66%)</t>
  </si>
  <si>
    <t>reproductive system development</t>
  </si>
  <si>
    <t>11 (2.7%)</t>
  </si>
  <si>
    <t>TraesCS7D03G0506000;TraesCS6B03G0719500;TraesCS2B03G0545900;TraesCS5A03G0463400;TraesCS6A03G0592200;TraesCS1D03G0637600;TraesCS4A03G0796400;TraesCS7D03G1033100;TraesCS4A03G0569900;TraesCS7B03G0905900;TraesCS5B03G0457900</t>
  </si>
  <si>
    <t>reproductive structure development</t>
  </si>
  <si>
    <t>deoxyribonucleoside diphosphate metabolic process</t>
  </si>
  <si>
    <t>TraesCS2A03G0302300</t>
  </si>
  <si>
    <t>deoxyribonucleoside diphosphate biosynthetic process</t>
  </si>
  <si>
    <t>pyrimidine deoxyribonucleoside diphosphate metabolic process</t>
  </si>
  <si>
    <t>pyrimidine deoxyribonucleoside diphosphate biosynthetic process</t>
  </si>
  <si>
    <t>dTDP metabolic process</t>
  </si>
  <si>
    <t>dTDP biosynthetic process</t>
  </si>
  <si>
    <t>cellular ion homeostasis</t>
  </si>
  <si>
    <t>5 (3.91%)</t>
  </si>
  <si>
    <t>transition metal ion homeostasis</t>
  </si>
  <si>
    <t>4 (4.6%)</t>
  </si>
  <si>
    <t>putrescine biosynthetic process from arginine</t>
  </si>
  <si>
    <t>'de novo' protein folding</t>
  </si>
  <si>
    <t>2 (9.09%)</t>
  </si>
  <si>
    <t>TraesCS2B03G0419300;TraesCS7D03G0654000</t>
  </si>
  <si>
    <t>'de novo' posttranslational protein folding</t>
  </si>
  <si>
    <t>2 (9.52%)</t>
  </si>
  <si>
    <t>chaperone cofactor-dependent protein refolding</t>
  </si>
  <si>
    <t>homologous chromosome pairing at meiosis</t>
  </si>
  <si>
    <t>2 (8.7%)</t>
  </si>
  <si>
    <t>plastid fission</t>
  </si>
  <si>
    <t>TraesCS2B03G1296100;TraesCS7A03G0844200</t>
  </si>
  <si>
    <t>chloroplast fission</t>
  </si>
  <si>
    <t>localization of cell</t>
  </si>
  <si>
    <t>TraesCS2D03G0427900</t>
  </si>
  <si>
    <t>cell motility</t>
  </si>
  <si>
    <t>pyrimidine nucleoside metabolic process</t>
  </si>
  <si>
    <t>TraesCS3A03G0640300</t>
  </si>
  <si>
    <t>pyrimidine ribonucleoside metabolic process</t>
  </si>
  <si>
    <t>cytidine metabolic process</t>
  </si>
  <si>
    <t>pyrimidine nucleoside catabolic process</t>
  </si>
  <si>
    <t>pyrimidine ribonucleoside catabolic process</t>
  </si>
  <si>
    <t>cytidine catabolic process</t>
  </si>
  <si>
    <t>cytidine deamination</t>
  </si>
  <si>
    <t>response to iron ion starvation</t>
  </si>
  <si>
    <t>urate metabolic process</t>
  </si>
  <si>
    <t>TraesCS3D03G0816100</t>
  </si>
  <si>
    <t>urate catabolic process</t>
  </si>
  <si>
    <t>isoprenoid metabolic process</t>
  </si>
  <si>
    <t>8 (3.07%)</t>
  </si>
  <si>
    <t>maintenance of DNA repeat elements</t>
  </si>
  <si>
    <t>positive regulation of cytoskeleton organization</t>
  </si>
  <si>
    <t>positive regulation of supramolecular fiber organization</t>
  </si>
  <si>
    <t>gamma-aminobutyric acid catabolic process</t>
  </si>
  <si>
    <t>TraesCS6A03G0376800</t>
  </si>
  <si>
    <t>purine-containing compound salvage</t>
  </si>
  <si>
    <t>proanthocyanidin biosynthetic process</t>
  </si>
  <si>
    <t>TraesCS6D03G0011000</t>
  </si>
  <si>
    <t>lipid metabolic process</t>
  </si>
  <si>
    <t>39 (1.94%)</t>
  </si>
  <si>
    <t>TraesCS6B03G0350100;TraesCS2B03G0983100;TraesCS4A03G0169500;TraesCS6D03G0214700;TraesCS1D03G0026400;TraesCS1D03G0874400;TraesCS1A03G0606500;TraesCS2A03G0926800;TraesCS7A03G0571800;TraesCS1B03G0495700;TraesCS3B03G0953000;TraesCS5A03G0800900;TraesCS6B03G0634300;TraesCS1B03G0495300;TraesCS5A03G0441000;TraesCS3D03G0603700;TraesCS4D03G0639000;TraesCS6D03G0471300;TraesCS4B03G0645200;TraesCS3D03G1185400;TraesCS4B03G0222400;TraesCS5A03G0045500;TraesCS5B03G0833900;TraesCS7D03G0553900;TraesCS4A03G0443200;TraesCS7D03G1158600;TraesCS1D03G0581300;TraesCS5D03G0059400;TraesCS5D03G0063200;TraesCS5B03G0703200;TraesCS3D03G0763300;TraesCS6A03G0262500;TraesCS2D03G0644900;TraesCS1D03G0874500;TraesCS3B03G0673300;TraesCS4A03G0796400;TraesCS5D03G0758500;TraesCS4B03G0317900;TraesCS1A03G0079200</t>
  </si>
  <si>
    <t>cellular nitrogen compound metabolic process</t>
  </si>
  <si>
    <t>130 (1.69%)</t>
  </si>
  <si>
    <t>TraesCS5D03G0824300;TraesCS1B03G0139900;TraesCS5B03G1168500;TraesCS5A03G0149600;TraesCS7A03G0571800;TraesCS4B03G0857300;TraesCS5A03G0785100;TraesCS3D03G0978800;TraesCS6B03G0041900;TraesCS2D03G0804700;TraesCS3D03G0404300;TraesCS4B03G0335600;TraesCS6B03G0854800;TraesCS3A03G0224100;TraesCS4D03G0331800;TraesCS7D03G0553900;TraesCS3D03G0337600;TraesCS5D03G0860800;TraesCS5D03G1121600;TraesCS5D03G0303800;TraesCS4A03G0390200;TraesCS1D03G0486300;TraesCS7D03G0286800;TraesCS6B03G0404800;TraesCS5B03G0378800;TraesCS1D03G0681000;TraesCS3B03G0520500;TraesCS4D03G0492800;TraesCS5D03G0238900;TraesCS6B03G0910700;TraesCS1D03G0815700;TraesCS5A03G0113400;TraesCS1D03G0345300;TraesCS7D03G0571300;TraesCS6D03G0396800;TraesCS1B03G0515500;TraesCS1D03G0637600;TraesCS4B03G0454300;TraesCS1D03G0221300;TraesCS1A03G0400700;TraesCS5B03G0904700;TraesCS4D03G0493400;TraesCS7A03G0949600;TraesCS1B03G1010700;TraesCS4D03G0040400;TraesCS6B03G0988000;TraesCS2B03G0942900;TraesCS6B03G0797100;TraesCS4D03G0788200;TraesCS2D03G0634200;TraesCS2D03G0911500;TraesCS3B03G1021800;TraesCS6D03G0131900;TraesCS7A03G0751500;TraesCS1B03G0574900;TraesCS3A03G0640300;TraesCS1B03G0574500;TraesCS7B03G0929000;TraesCS2D03G0793400;TraesCS3A03G0609400;TraesCS3D03G1077900;TraesCS1B03G1036500;TraesCS5B03G0240100;TraesCS1A03G0249300;TraesCS2B03G0796300;TraesCS6D03G0268300;TraesCS2B03G0102100;TraesCS6B03G0732400;TraesCS7D03G1182200;TraesCS1A03G0501900;TraesCS5A03G1203100;TraesCS3A03G0534000;TraesCS6A03G0601600;TraesCS2D03G0644100;TraesCS2B03G0104900;TraesCS3B03G0409600;TraesCS1B03G0788000;TraesCS1B03G0819100;TraesCS2A03G0129000;TraesCS1A03G0691100;TraesCS3A03G0446500;TraesCS6A03G0853900;TraesCS7B03G0414300;TraesCS7B03G0544400;TraesCS6D03G0525200;TraesCS2D03G1101000;TraesCS5B03G0703200;TraesCS1B03G0868100;TraesCS4A03G1151000;TraesCS1D03G1043500;TraesCS6A03G0617100;TraesCS3B03G0847000;TraesCS3D03G0816100;TraesCS6B03G1189600;TraesCS7B03G0671400;TraesCS2D03G0931100;TraesCS2A03G0604300;TraesCS5B03G0217600;TraesCS5D03G0867400;TraesCS5D03G0473100;TraesCS3D03G0686600;TraesCS6D03G0505200;TraesCS7A03G1082400;TraesCS2B03G1439500;TraesCS3D03G0686300;TraesCS3B03G0971800;TraesCS7D03G1033600;TraesCS1D03G0473600;TraesCS6A03G0024300;TraesCS4A03G0045900;TraesCS3A03G0433000;TraesCS1D03G0597100;TraesCS4D03G0361400;TraesCS1D03G0221500;TraesCS1A03G1082100;TraesCS5A03G0332600;TraesCS3A03G0581600;TraesCS3A03G1049300;TraesCS5A03G0225300;TraesCS7D03G0914900;TraesCS1D03G0654900;TraesCS1A03G0718300;TraesCS2A03G1152000;TraesCS2D03G0664300;TraesCS3D03G0411500;TraesCS6A03G0313000;TraesCS1B03G1279700;TraesCS2A03G0302300;TraesCS7D03G0715000;TraesCS3B03G0434100</t>
  </si>
  <si>
    <t>monocarboxylic acid metabolic process</t>
  </si>
  <si>
    <t>17 (2.31%)</t>
  </si>
  <si>
    <t>TraesCS5B03G0833900;TraesCS3D03G0337600;TraesCS1D03G0581300;TraesCS5D03G0860800;TraesCS6A03G0376800;TraesCS7B03G0355300;TraesCS1A03G0606500;TraesCS5D03G0303800;TraesCS2A03G0926800;TraesCS2D03G0644900;TraesCS5A03G0800900;TraesCS2B03G1015200;TraesCS4D03G0639000;TraesCS7D03G0516600;TraesCS1D03G0815700;TraesCS5D03G0758500;TraesCS3D03G1185400</t>
  </si>
  <si>
    <t>regulation of actin cytoskeleton organization</t>
  </si>
  <si>
    <t>3 (5.45%)</t>
  </si>
  <si>
    <t>TraesCS2D03G0427900;TraesCS1A03G0826700;TraesCS2B03G0320600</t>
  </si>
  <si>
    <t>regulation of proteolysis</t>
  </si>
  <si>
    <t>6 (3.35%)</t>
  </si>
  <si>
    <t>TraesCS1A03G1048300;TraesCS3B03G0522200;TraesCS3A03G0444200;TraesCS5A03G1157500;TraesCS1D03G0640600;TraesCS2D03G0269600</t>
  </si>
  <si>
    <t>negative regulation of catalytic activity</t>
  </si>
  <si>
    <t>7 (3.1%)</t>
  </si>
  <si>
    <t>TraesCS1A03G1048300;TraesCS2D03G0065300;TraesCS3B03G0522200;TraesCS3B03G0953200;TraesCS3A03G0444200;TraesCS1D03G0640600;TraesCS2D03G0269600</t>
  </si>
  <si>
    <t>phosphatidylcholine metabolic process</t>
  </si>
  <si>
    <t>metal ion homeostasis</t>
  </si>
  <si>
    <t>5 (3.68%)</t>
  </si>
  <si>
    <t>pigment metabolic process</t>
  </si>
  <si>
    <t>6 (3.41%)</t>
  </si>
  <si>
    <t>TraesCS5D03G0063200;TraesCS2B03G0942900;TraesCS3A03G0433000;TraesCS3D03G0404300;TraesCS3A03G0224100;TraesCS2D03G0793400</t>
  </si>
  <si>
    <t>secondary metabolite biosynthetic process</t>
  </si>
  <si>
    <t>4 (4.26%)</t>
  </si>
  <si>
    <t>P0001</t>
  </si>
  <si>
    <t>protein phosphorylation</t>
  </si>
  <si>
    <t>phosphorylation</t>
  </si>
  <si>
    <t>protein modification process</t>
  </si>
  <si>
    <t>cellular protein modification process</t>
  </si>
  <si>
    <t>phosphate-containing compound metabolic process</t>
  </si>
  <si>
    <t>phosphorus metabolic process</t>
  </si>
  <si>
    <t>macromolecule modification</t>
  </si>
  <si>
    <t>cellular protein metabolic process</t>
  </si>
  <si>
    <t>protein metabolic process</t>
  </si>
  <si>
    <t>organonitrogen compound metabolic process</t>
  </si>
  <si>
    <t>regulation of defense response</t>
  </si>
  <si>
    <t>regulation of response to biotic stimulus</t>
  </si>
  <si>
    <t>regulation of response to external stimulus</t>
  </si>
  <si>
    <t>regulation of response to stress</t>
  </si>
  <si>
    <t>regulation of response to stimulus</t>
  </si>
  <si>
    <t>cellular macromolecule metabolic process</t>
  </si>
  <si>
    <t>regulation of systemic acquired resistance</t>
  </si>
  <si>
    <t>response to salicylic acid</t>
  </si>
  <si>
    <t>response to external biotic stimulus</t>
  </si>
  <si>
    <t>response to other organism</t>
  </si>
  <si>
    <t>response to organic cyclic compound</t>
  </si>
  <si>
    <t>regulation of defense response to bacterium</t>
  </si>
  <si>
    <t>response to insect</t>
  </si>
  <si>
    <t>regulation of defense response to insect</t>
  </si>
  <si>
    <t>response to bacterium</t>
  </si>
  <si>
    <t>nitrogen compound metabolic process</t>
  </si>
  <si>
    <t>regulation of salicylic acid metabolic process</t>
  </si>
  <si>
    <t>positive regulation of response to biotic stimulus</t>
  </si>
  <si>
    <t>response to biotic stimulus</t>
  </si>
  <si>
    <t>positive regulation of defense response</t>
  </si>
  <si>
    <t>response to chitin</t>
  </si>
  <si>
    <t>metal ion transport</t>
  </si>
  <si>
    <t>systemic acquired resistance, salicylic acid mediated signaling pathway</t>
  </si>
  <si>
    <t>positive regulation of response to external stimulus</t>
  </si>
  <si>
    <t>cellular response to organic cyclic compound</t>
  </si>
  <si>
    <t>salicylic acid mediated signaling pathway</t>
  </si>
  <si>
    <t>regulation of jasmonic acid mediated signaling pathway</t>
  </si>
  <si>
    <t>macromolecule metabolic process</t>
  </si>
  <si>
    <t>regulation of salicylic acid mediated signaling pathway</t>
  </si>
  <si>
    <t>response to external stimulus</t>
  </si>
  <si>
    <t>regulation of salicylic acid biosynthetic process</t>
  </si>
  <si>
    <t>positive regulation of response to stimulus</t>
  </si>
  <si>
    <t>positive regulation of defense response to insect</t>
  </si>
  <si>
    <t>cellular response to salicylic acid stimulus</t>
  </si>
  <si>
    <t>positive regulation of defense response to bacterium</t>
  </si>
  <si>
    <t>defense response to bacterium</t>
  </si>
  <si>
    <t>defense response to other organism</t>
  </si>
  <si>
    <t>primary metabolic process</t>
  </si>
  <si>
    <t>response to nitrogen compound</t>
  </si>
  <si>
    <t>response to nutrient</t>
  </si>
  <si>
    <t>regulation of defense response to fungus</t>
  </si>
  <si>
    <t>regulation of cellular ketone metabolic process</t>
  </si>
  <si>
    <t>response to fungus</t>
  </si>
  <si>
    <t>regulation of signaling</t>
  </si>
  <si>
    <t>regulation of signal transduction</t>
  </si>
  <si>
    <t>response to organonitrogen compound</t>
  </si>
  <si>
    <t>olefinic compound metabolic process</t>
  </si>
  <si>
    <t>regulation of cell communication</t>
  </si>
  <si>
    <t>response to UV</t>
  </si>
  <si>
    <t>multi-multicellular organism process</t>
  </si>
  <si>
    <t>pollination</t>
  </si>
  <si>
    <t>cellular response to oxygen-containing compound</t>
  </si>
  <si>
    <t>regulation of hydrogen peroxide metabolic process</t>
  </si>
  <si>
    <t>somatic embryogenesis</t>
  </si>
  <si>
    <t>protein import into mitochondrial intermembrane space</t>
  </si>
  <si>
    <t>aerenchyma formation</t>
  </si>
  <si>
    <t>defense response to Gram-negative bacterium</t>
  </si>
  <si>
    <t>leaf abscission</t>
  </si>
  <si>
    <t>cellular response to trehalose stimulus</t>
  </si>
  <si>
    <t>positive regulation of salicylic acid mediated signaling pathway</t>
  </si>
  <si>
    <t>regulation of phytoalexin metabolic process</t>
  </si>
  <si>
    <t>regulation of phytoalexin biosynthetic process</t>
  </si>
  <si>
    <t>positive regulation of phytoalexin metabolic process</t>
  </si>
  <si>
    <t>positive regulation of secondary metabolite biosynthetic process</t>
  </si>
  <si>
    <t>positive regulation of phytoalexin biosynthetic process</t>
  </si>
  <si>
    <t>regulation of camalexin biosynthetic process</t>
  </si>
  <si>
    <t>positive regulation of camalexin biosynthetic process</t>
  </si>
  <si>
    <t>cell recognition</t>
  </si>
  <si>
    <t>recognition of pollen</t>
  </si>
  <si>
    <t>cell communication</t>
  </si>
  <si>
    <t>response to organic substance</t>
  </si>
  <si>
    <t>pollen-pistil interaction</t>
  </si>
  <si>
    <t>transport</t>
  </si>
  <si>
    <t>regulation of biological process</t>
  </si>
  <si>
    <t>negative regulation of cell communication</t>
  </si>
  <si>
    <t>negative regulation of signaling</t>
  </si>
  <si>
    <t>negative regulation of signal transduction</t>
  </si>
  <si>
    <t>cation transport</t>
  </si>
  <si>
    <t>abscission</t>
  </si>
  <si>
    <t>negative regulation of gibberellic acid mediated signaling pathway</t>
  </si>
  <si>
    <t>regulation of small molecule metabolic process</t>
  </si>
  <si>
    <t>establishment of localization</t>
  </si>
  <si>
    <t>systemic acquired resistance</t>
  </si>
  <si>
    <t>positive regulation of sulfur metabolic process</t>
  </si>
  <si>
    <t>cellular metabolic process</t>
  </si>
  <si>
    <t>response to jasmonic acid</t>
  </si>
  <si>
    <t>response to fatty acid</t>
  </si>
  <si>
    <t>zinc ion transmembrane transport</t>
  </si>
  <si>
    <t>response to lipid</t>
  </si>
  <si>
    <t>regulation of transcription, DNA-templated</t>
  </si>
  <si>
    <t>regulation of RNA biosynthetic process</t>
  </si>
  <si>
    <t>regulation of nucleic acid-templated transcription</t>
  </si>
  <si>
    <t>zinc ion transport</t>
  </si>
  <si>
    <t>response to molecule of bacterial origin</t>
  </si>
  <si>
    <t>regulation of RNA metabolic process</t>
  </si>
  <si>
    <t>regulation of sulfur metabolic process</t>
  </si>
  <si>
    <t>regulation of gibberellic acid mediated signaling pathway</t>
  </si>
  <si>
    <t>cellular response to biotic stimulus</t>
  </si>
  <si>
    <t>cellular response to molecule of bacterial origin</t>
  </si>
  <si>
    <t>regulation of nucleobase-containing compound metabolic process</t>
  </si>
  <si>
    <t>regulation of cellular biosynthetic process</t>
  </si>
  <si>
    <t>regulation of reactive oxygen species metabolic process</t>
  </si>
  <si>
    <t>regulation of biosynthetic process</t>
  </si>
  <si>
    <t>ion transport</t>
  </si>
  <si>
    <t>response to UV-B</t>
  </si>
  <si>
    <t>negative regulation of response to stimulus</t>
  </si>
  <si>
    <t>defense response to fungus</t>
  </si>
  <si>
    <t>regeneration</t>
  </si>
  <si>
    <t>toxin metabolic process</t>
  </si>
  <si>
    <t>phytoalexin metabolic process</t>
  </si>
  <si>
    <t>indole phytoalexin metabolic process</t>
  </si>
  <si>
    <t>toxin biosynthetic process</t>
  </si>
  <si>
    <t>phytoalexin biosynthetic process</t>
  </si>
  <si>
    <t>indole phytoalexin biosynthetic process</t>
  </si>
  <si>
    <t>camalexin metabolic process</t>
  </si>
  <si>
    <t>camalexin biosynthetic process</t>
  </si>
  <si>
    <t>priming of cellular response to stress</t>
  </si>
  <si>
    <t>response to L-glutamate</t>
  </si>
  <si>
    <t>response to trehalose</t>
  </si>
  <si>
    <t>cadmium ion transmembrane transport</t>
  </si>
  <si>
    <t>protein folding in endoplasmic reticulum</t>
  </si>
  <si>
    <t>regulation of gene expression</t>
  </si>
  <si>
    <t>stomatal movement</t>
  </si>
  <si>
    <t>response to hypoxia</t>
  </si>
  <si>
    <t>positive regulation of immune system process</t>
  </si>
  <si>
    <t>positive regulation of immune response</t>
  </si>
  <si>
    <t>positive regulation of innate immune response</t>
  </si>
  <si>
    <t>negative regulation of defense response</t>
  </si>
  <si>
    <t>phospholipid transport</t>
  </si>
  <si>
    <t>regulation of immune system process</t>
  </si>
  <si>
    <t>regulation of immune response</t>
  </si>
  <si>
    <t>response to freezing</t>
  </si>
  <si>
    <t>response to amino acid</t>
  </si>
  <si>
    <t>cadmium ion transport</t>
  </si>
  <si>
    <t>cellular response to organic substance</t>
  </si>
  <si>
    <t>regulation of cellular macromolecule biosynthetic process</t>
  </si>
  <si>
    <t>regulation of macromolecule biosynthetic process</t>
  </si>
  <si>
    <t>potassium ion import across plasma membrane</t>
  </si>
  <si>
    <t>negative regulation of defense response to bacterium</t>
  </si>
  <si>
    <t>transmembrane transport</t>
  </si>
  <si>
    <t>positive regulation of DNA-binding transcription factor activity</t>
  </si>
  <si>
    <t>defense response to insect</t>
  </si>
  <si>
    <t>response to UV-C</t>
  </si>
  <si>
    <t>positive regulation of cell death</t>
  </si>
  <si>
    <t>regulation of secondary metabolite biosynthetic process</t>
  </si>
  <si>
    <t>aging</t>
  </si>
  <si>
    <t>plant organ senescence</t>
  </si>
  <si>
    <t>leaf senescence</t>
  </si>
  <si>
    <t>response to oomycetes</t>
  </si>
  <si>
    <t>defense response to oomycetes</t>
  </si>
  <si>
    <t>cellular response to disaccharide stimulus</t>
  </si>
  <si>
    <t>apocarotenoid metabolic process</t>
  </si>
  <si>
    <t>tertiary alcohol metabolic process</t>
  </si>
  <si>
    <t>abscisic acid metabolic process</t>
  </si>
  <si>
    <t>potassium ion transmembrane transport</t>
  </si>
  <si>
    <t>cinnamic acid metabolic process</t>
  </si>
  <si>
    <t>cinnamic acid biosynthetic process</t>
  </si>
  <si>
    <t>regulation of cellular process</t>
  </si>
  <si>
    <t>negative regulation of phosphorelay signal transduction system</t>
  </si>
  <si>
    <t>negative regulation of ethylene-activated signaling pathway</t>
  </si>
  <si>
    <t>jasmonic acid biosynthetic process</t>
  </si>
  <si>
    <t>regulation of growth</t>
  </si>
  <si>
    <t>erythrose 4-phosphate/phosphoenolpyruvate family amino acid catabolic process</t>
  </si>
  <si>
    <t>L-phenylalanine catabolic process</t>
  </si>
  <si>
    <t>positive regulation of signaling</t>
  </si>
  <si>
    <t>positive regulation of signal transduction</t>
  </si>
  <si>
    <t>regulation of secondary metabolic process</t>
  </si>
  <si>
    <t>response to decreased oxygen levels</t>
  </si>
  <si>
    <t>response to steroid hormone</t>
  </si>
  <si>
    <t>cellular response to steroid hormone stimulus</t>
  </si>
  <si>
    <t>steroid hormone mediated signaling pathway</t>
  </si>
  <si>
    <t>brassinosteroid mediated signaling pathway</t>
  </si>
  <si>
    <t>one-carbon compound transport</t>
  </si>
  <si>
    <t>urea transport</t>
  </si>
  <si>
    <t>urea transmembrane transport</t>
  </si>
  <si>
    <t>defense response to nematode</t>
  </si>
  <si>
    <t>response to alkaline pH</t>
  </si>
  <si>
    <t>regulation of reactive oxygen species biosynthetic process</t>
  </si>
  <si>
    <t>regulation of hydrogen peroxide biosynthetic process</t>
  </si>
  <si>
    <t>response to herbivore</t>
  </si>
  <si>
    <t>regulation of jasmonic acid metabolic process</t>
  </si>
  <si>
    <t>regulation of jasmonic acid biosynthetic process</t>
  </si>
  <si>
    <t>stomatal closure</t>
  </si>
  <si>
    <t>response to vitamin</t>
  </si>
  <si>
    <t>response to vitamin B2</t>
  </si>
  <si>
    <t>regulation of DNA-binding transcription factor activity</t>
  </si>
  <si>
    <t>regulation of innate immune response</t>
  </si>
  <si>
    <t>shoot system development</t>
  </si>
  <si>
    <t>response to oxygen levels</t>
  </si>
  <si>
    <t>positive regulation of organ growth</t>
  </si>
  <si>
    <t>regulation of phosphorelay signal transduction system</t>
  </si>
  <si>
    <t>regulation of ethylene-activated signaling pathway</t>
  </si>
  <si>
    <t>cellular response to carbohydrate stimulus</t>
  </si>
  <si>
    <t>positive regulation of growth</t>
  </si>
  <si>
    <t>lipid catabolic process</t>
  </si>
  <si>
    <t>cellular response to brassinosteroid stimulus</t>
  </si>
  <si>
    <t>regulation of metabolic process</t>
  </si>
  <si>
    <t>positive regulation of cell communication</t>
  </si>
  <si>
    <t>positive regulation of biological process</t>
  </si>
  <si>
    <t>olefinic compound biosynthetic process</t>
  </si>
  <si>
    <t>regulation of cellular metabolic process</t>
  </si>
  <si>
    <t>regulation of nitrogen compound metabolic process</t>
  </si>
  <si>
    <t>negative regulation of intracellular signal transduction</t>
  </si>
  <si>
    <t>indole-containing compound metabolic process</t>
  </si>
  <si>
    <t>epigenetic maintenance of chromatin in transcription-competent conformation</t>
  </si>
  <si>
    <t>1-aminocyclopropane-1-carboxylate metabolic process</t>
  </si>
  <si>
    <t>1-aminocyclopropane-1-carboxylate biosynthetic process</t>
  </si>
  <si>
    <t>ceramide transport</t>
  </si>
  <si>
    <t>ceramide 1-phosphate transport</t>
  </si>
  <si>
    <t>cellular response to lipid</t>
  </si>
  <si>
    <t>inflorescence development</t>
  </si>
  <si>
    <t>transition metal ion transport</t>
  </si>
  <si>
    <t>response to alcohol</t>
  </si>
  <si>
    <t>response to abscisic acid</t>
  </si>
  <si>
    <t>jasmonic acid mediated signaling pathway</t>
  </si>
  <si>
    <t>glutamine biosynthetic process</t>
  </si>
  <si>
    <t>positive regulation of developmental growth</t>
  </si>
  <si>
    <t>taxis</t>
  </si>
  <si>
    <t>chemotaxis</t>
  </si>
  <si>
    <t>positive chemotaxis</t>
  </si>
  <si>
    <t>pollen tube guidance</t>
  </si>
  <si>
    <t>lipid transport</t>
  </si>
  <si>
    <t>regulation of macromolecule metabolic process</t>
  </si>
  <si>
    <t>organophosphate ester transport</t>
  </si>
  <si>
    <t>cellular response to jasmonic acid stimulus</t>
  </si>
  <si>
    <t>lipid localization</t>
  </si>
  <si>
    <t>photosynthesis, light harvesting</t>
  </si>
  <si>
    <t>protein ubiquitination</t>
  </si>
  <si>
    <t>cellular response to fatty acid</t>
  </si>
  <si>
    <t>positive regulation of response to salt stress</t>
  </si>
  <si>
    <t>flower development</t>
  </si>
  <si>
    <t>flower morphogenesis</t>
  </si>
  <si>
    <t>inorganic ion import across plasma membrane</t>
  </si>
  <si>
    <t>inorganic cation import across plasma membrane</t>
  </si>
  <si>
    <t>response to pH</t>
  </si>
  <si>
    <t>regulation of primary metabolic process</t>
  </si>
  <si>
    <t>reproductive shoot system development</t>
  </si>
  <si>
    <t>aromatic amino acid family catabolic process</t>
  </si>
  <si>
    <t>response to osmotic stress</t>
  </si>
  <si>
    <t>negative regulation of response to alcohol</t>
  </si>
  <si>
    <t>negative regulation of cellular response to alcohol</t>
  </si>
  <si>
    <t>negative regulation of abscisic acid-activated signaling pathway</t>
  </si>
  <si>
    <t>intermembrane lipid transfer</t>
  </si>
  <si>
    <t>potassium ion transport</t>
  </si>
  <si>
    <t>cellular response to chemical stimulus</t>
  </si>
  <si>
    <t>response to brassinosteroid</t>
  </si>
  <si>
    <t>erythrose 4-phosphate/phosphoenolpyruvate family amino acid metabolic process</t>
  </si>
  <si>
    <t>L-phenylalanine metabolic process</t>
  </si>
  <si>
    <t>nucleoside monophosphate phosphorylation</t>
  </si>
  <si>
    <t>regulation of response to alcohol</t>
  </si>
  <si>
    <t>regulation of cellular response to alcohol</t>
  </si>
  <si>
    <t>regulation of abscisic acid-activated signaling pathway</t>
  </si>
  <si>
    <t>signal transduction</t>
  </si>
  <si>
    <t>response to gibberellin</t>
  </si>
  <si>
    <t>reproductive process</t>
  </si>
  <si>
    <t>post-embryonic plant morphogenesis</t>
  </si>
  <si>
    <t>protein modification by small protein conjugation</t>
  </si>
  <si>
    <t>glutamine family amino acid biosynthetic process</t>
  </si>
  <si>
    <t>import into cell</t>
  </si>
  <si>
    <t>import across plasma membrane</t>
  </si>
  <si>
    <t>phyllome development</t>
  </si>
  <si>
    <t>regulation of fatty acid metabolic process</t>
  </si>
  <si>
    <t>regulation of fatty acid biosynthetic process</t>
  </si>
  <si>
    <t>regulation of response to osmotic stress</t>
  </si>
  <si>
    <t>regulation of response to salt stress</t>
  </si>
  <si>
    <t>sesquiterpenoid metabolic process</t>
  </si>
  <si>
    <t>organic substance transport</t>
  </si>
  <si>
    <t>response to nematode</t>
  </si>
  <si>
    <t>cation transmembrane transport</t>
  </si>
  <si>
    <t>response to endogenous stimulus</t>
  </si>
  <si>
    <t>response to hormone</t>
  </si>
  <si>
    <t>amide transport</t>
  </si>
  <si>
    <t>cell surface receptor signaling pathway</t>
  </si>
  <si>
    <t>secondary metabolic process</t>
  </si>
  <si>
    <t>benzene-containing compound metabolic process</t>
  </si>
  <si>
    <t>response to symbiont</t>
  </si>
  <si>
    <t>response to symbiotic fungus</t>
  </si>
  <si>
    <t>regulation of phosphatidylinositol 3-kinase signaling</t>
  </si>
  <si>
    <t>positive regulation of phosphatidylinositol 3-kinase signaling</t>
  </si>
  <si>
    <t>anatomical structure formation involved in morphogenesis</t>
  </si>
  <si>
    <t>'de novo' pyrimidine nucleobase biosynthetic process</t>
  </si>
  <si>
    <t>multidimensional cell growth</t>
  </si>
  <si>
    <t>response to nutrient levels</t>
  </si>
  <si>
    <t>response to cold</t>
  </si>
  <si>
    <t>response to wounding</t>
  </si>
  <si>
    <t>1-deoxy-D-xylulose 5-phosphate metabolic process</t>
  </si>
  <si>
    <t>1-deoxy-D-xylulose 5-phosphate biosynthetic process</t>
  </si>
  <si>
    <t>response to ethylene</t>
  </si>
  <si>
    <t>regulation of sulfur amino acid metabolic process</t>
  </si>
  <si>
    <t>regulation of olefin metabolic process</t>
  </si>
  <si>
    <t>regulation of olefin biosynthetic process</t>
  </si>
  <si>
    <t>regulation of ethylene biosynthetic process</t>
  </si>
  <si>
    <t>regulation of organ growth</t>
  </si>
  <si>
    <t>amino acid import</t>
  </si>
  <si>
    <t>L-glutamate import</t>
  </si>
  <si>
    <t>indole-containing compound biosynthetic process</t>
  </si>
  <si>
    <t>jasmonic acid metabolic process</t>
  </si>
  <si>
    <t>regulation of gene silencing by miRNA</t>
  </si>
  <si>
    <t>positive regulation of production of siRNA involved in RNA interference</t>
  </si>
  <si>
    <t>developmental vegetative growth</t>
  </si>
  <si>
    <t>regulation of intracellular signal transduction</t>
  </si>
  <si>
    <t>pyrimidine nucleobase biosynthetic process</t>
  </si>
  <si>
    <t>copper ion transmembrane transport</t>
  </si>
  <si>
    <t>response to extracellular stimulus</t>
  </si>
  <si>
    <t>protein localization to peroxisome</t>
  </si>
  <si>
    <t>establishment of protein localization to peroxisome</t>
  </si>
  <si>
    <t>protein targeting to peroxisome</t>
  </si>
  <si>
    <t>response to temperature stimulus</t>
  </si>
  <si>
    <t>leaf development</t>
  </si>
  <si>
    <t>plant-type ovary development</t>
  </si>
  <si>
    <t>plant ovule development</t>
  </si>
  <si>
    <t>induced systemic resistance, jasmonic acid mediated signaling pathway</t>
  </si>
  <si>
    <t>macromolecule localization</t>
  </si>
  <si>
    <t>inorganic cation transmembrane transport</t>
  </si>
  <si>
    <t>hormone-mediated signaling pathway</t>
  </si>
  <si>
    <t>nitrogen compound transport</t>
  </si>
  <si>
    <t>pyrimidine nucleobase metabolic process</t>
  </si>
  <si>
    <t>peroxisomal transport</t>
  </si>
  <si>
    <t>ribonucleoside diphosphate biosynthetic process</t>
  </si>
  <si>
    <t>pyrimidine ribonucleoside diphosphate metabolic process</t>
  </si>
  <si>
    <t>pyrimidine ribonucleoside diphosphate biosynthetic process</t>
  </si>
  <si>
    <t>UDP metabolic process</t>
  </si>
  <si>
    <t>UDP biosynthetic process</t>
  </si>
  <si>
    <t>CDP metabolic process</t>
  </si>
  <si>
    <t>CDP biosynthetic process</t>
  </si>
  <si>
    <t>protein autophosphorylation</t>
  </si>
  <si>
    <t>UDP-glucose transmembrane transport</t>
  </si>
  <si>
    <t>glycolipid catabolic process</t>
  </si>
  <si>
    <t>glycosphingolipid catabolic process</t>
  </si>
  <si>
    <t>glycosylceramide catabolic process</t>
  </si>
  <si>
    <t>glucosylceramide catabolic process</t>
  </si>
  <si>
    <t>modulation by host of symbiont process</t>
  </si>
  <si>
    <t>modulation by host of viral process</t>
  </si>
  <si>
    <t>positive regulation by host of viral process</t>
  </si>
  <si>
    <t>negative regulation of response to biotic stimulus</t>
  </si>
  <si>
    <t>negative regulation of response to external stimulus</t>
  </si>
  <si>
    <t>induced systemic resistance</t>
  </si>
  <si>
    <t>response to red light</t>
  </si>
  <si>
    <t>response to far red light</t>
  </si>
  <si>
    <t>ion transmembrane transport</t>
  </si>
  <si>
    <t>enzyme linked receptor protein signaling pathway</t>
  </si>
  <si>
    <t>transmembrane receptor protein serine/threonine kinase signaling pathway</t>
  </si>
  <si>
    <t>nucleotide-sugar transmembrane transport</t>
  </si>
  <si>
    <t>(1-&gt;3)-beta-D-glucan metabolic process</t>
  </si>
  <si>
    <t>(1-&gt;3)-beta-D-glucan biosynthetic process</t>
  </si>
  <si>
    <t>immune effector process</t>
  </si>
  <si>
    <t>ribulose bisphosphate carboxylase complex assembly</t>
  </si>
  <si>
    <t>apocarotenoid biosynthetic process</t>
  </si>
  <si>
    <t>tertiary alcohol biosynthetic process</t>
  </si>
  <si>
    <t>abscisic acid biosynthetic process</t>
  </si>
  <si>
    <t>cyanate metabolic process</t>
  </si>
  <si>
    <t>transcription, DNA-templated</t>
  </si>
  <si>
    <t>nucleic acid-templated transcription</t>
  </si>
  <si>
    <t>RNA biosynthetic process</t>
  </si>
  <si>
    <t>positive regulation of transcription by RNA polymerase II</t>
  </si>
  <si>
    <t>sesquiterpenoid biosynthetic process</t>
  </si>
  <si>
    <t>regulation of transcription by RNA polymerase II</t>
  </si>
  <si>
    <t>terpenoid metabolic process</t>
  </si>
  <si>
    <t>heterocycle biosynthetic process</t>
  </si>
  <si>
    <t>diterpenoid metabolic process</t>
  </si>
  <si>
    <t>chaperone-mediated protein folding</t>
  </si>
  <si>
    <t>cellular lipid metabolic process</t>
  </si>
  <si>
    <t>ornithine catabolic process</t>
  </si>
  <si>
    <t>response to flooding</t>
  </si>
  <si>
    <t>arginine catabolic process to glutamate</t>
  </si>
  <si>
    <t>nucleobase-containing compound biosynthetic process</t>
  </si>
  <si>
    <t>positive regulation of RNA biosynthetic process</t>
  </si>
  <si>
    <t>positive regulation of nucleic acid-templated transcription</t>
  </si>
  <si>
    <t>positive regulation of transcription, DNA-templated</t>
  </si>
  <si>
    <t>alcohol metabolic process</t>
  </si>
  <si>
    <t>terpenoid biosynthetic process</t>
  </si>
  <si>
    <t>gamma-aminobutyric acid metabolic process</t>
  </si>
  <si>
    <t>base-excision repair, AP site formation</t>
  </si>
  <si>
    <t>carbon fixation</t>
  </si>
  <si>
    <t>phospholipid metabolic process</t>
  </si>
  <si>
    <t>positive regulation of biosynthetic process</t>
  </si>
  <si>
    <t>positive regulation of macromolecule biosynthetic process</t>
  </si>
  <si>
    <t>positive regulation of cellular biosynthetic process</t>
  </si>
  <si>
    <t>positive regulation of nucleobase-containing compound metabolic process</t>
  </si>
  <si>
    <t>positive regulation of RNA metabolic process</t>
  </si>
  <si>
    <t>alcohol biosynthetic process</t>
  </si>
  <si>
    <t>biotin metabolic process</t>
  </si>
  <si>
    <t>biotin biosynthetic process</t>
  </si>
  <si>
    <t>phosphatidylserine metabolic process</t>
  </si>
  <si>
    <t>phosphatidylserine biosynthetic process</t>
  </si>
  <si>
    <t>actin filament severing</t>
  </si>
  <si>
    <t>mitochondrion localization</t>
  </si>
  <si>
    <t>dephosphorylation</t>
  </si>
  <si>
    <t>thiamine diphosphate metabolic process</t>
  </si>
  <si>
    <t>thiamine diphosphate biosynthetic process</t>
  </si>
  <si>
    <t>L-proline biosynthetic process</t>
  </si>
  <si>
    <t>very long-chain fatty acid metabolic process</t>
  </si>
  <si>
    <t>positive regulation of metabolic process</t>
  </si>
  <si>
    <t>positive regulation of macromolecule metabolic process</t>
  </si>
  <si>
    <t>positive regulation of cellular metabolic process</t>
  </si>
  <si>
    <t>positive regulation of nitrogen compound metabolic process</t>
  </si>
  <si>
    <t>response to ozone</t>
  </si>
  <si>
    <t>phospholipid biosynthetic process</t>
  </si>
  <si>
    <t>terpenoid catabolic process</t>
  </si>
  <si>
    <t>diterpenoid catabolic process</t>
  </si>
  <si>
    <t>gibberellin catabolic process</t>
  </si>
  <si>
    <t>actin filament capping</t>
  </si>
  <si>
    <t>regulation of auxin polar transport</t>
  </si>
  <si>
    <t>ornithine metabolic process</t>
  </si>
  <si>
    <t>nitrate transport</t>
  </si>
  <si>
    <t>intercellular transport</t>
  </si>
  <si>
    <t>plasmodesmata-mediated intercellular transport</t>
  </si>
  <si>
    <t>cellular response to gibberellin stimulus</t>
  </si>
  <si>
    <t>gibberellin mediated signaling pathway</t>
  </si>
  <si>
    <t>gibberellic acid mediated signaling pathway</t>
  </si>
  <si>
    <t>regulation of protein depolymerization</t>
  </si>
  <si>
    <t>regulation of actin filament depolymerization</t>
  </si>
  <si>
    <t>negative regulation of protein depolymerization</t>
  </si>
  <si>
    <t>negative regulation of actin filament depolymerization</t>
  </si>
  <si>
    <t>negative regulation of protein-containing complex assembly</t>
  </si>
  <si>
    <t>negative regulation of protein polymerization</t>
  </si>
  <si>
    <t>negative regulation of actin filament polymerization</t>
  </si>
  <si>
    <t>arginine catabolic process</t>
  </si>
  <si>
    <t>hyperosmotic salinity response</t>
  </si>
  <si>
    <t>proline biosynthetic process</t>
  </si>
  <si>
    <t>response to nitrate</t>
  </si>
  <si>
    <t>P0010</t>
  </si>
  <si>
    <t>P0100</t>
  </si>
  <si>
    <t>GO:0030244</t>
  </si>
  <si>
    <t>cellulose biosynthetic process</t>
  </si>
  <si>
    <t>GO:0009250</t>
  </si>
  <si>
    <t>glucan biosynthetic process</t>
  </si>
  <si>
    <t>GO:0051274</t>
  </si>
  <si>
    <t>beta-glucan biosynthetic process</t>
  </si>
  <si>
    <t>GO:0030243</t>
  </si>
  <si>
    <t>cellulose metabolic process</t>
  </si>
  <si>
    <t>GO:0033692</t>
  </si>
  <si>
    <t>cellular polysaccharide biosynthetic process</t>
  </si>
  <si>
    <t>GO:0051273</t>
  </si>
  <si>
    <t>beta-glucan metabolic process</t>
  </si>
  <si>
    <t>GO:0000271</t>
  </si>
  <si>
    <t>polysaccharide biosynthetic process</t>
  </si>
  <si>
    <t>GO:0016051</t>
  </si>
  <si>
    <t>carbohydrate biosynthetic process</t>
  </si>
  <si>
    <t>GO:0034637</t>
  </si>
  <si>
    <t>cellular carbohydrate biosynthetic process</t>
  </si>
  <si>
    <t>GO:0009832</t>
  </si>
  <si>
    <t>plant-type cell wall biogenesis</t>
  </si>
  <si>
    <t>GO:0000025</t>
  </si>
  <si>
    <t>maltose catabolic process</t>
  </si>
  <si>
    <t>GO:0015711</t>
  </si>
  <si>
    <t>organic anion transport</t>
  </si>
  <si>
    <t>GO:0000023</t>
  </si>
  <si>
    <t>maltose metabolic process</t>
  </si>
  <si>
    <t>GO:0006820</t>
  </si>
  <si>
    <t>anion transport</t>
  </si>
  <si>
    <t>GO:1901264</t>
  </si>
  <si>
    <t>carbohydrate derivative transport</t>
  </si>
  <si>
    <t>GO:0071669</t>
  </si>
  <si>
    <t>plant-type cell wall organization or biogenesis</t>
  </si>
  <si>
    <t>GO:0015866</t>
  </si>
  <si>
    <t>ADP transport</t>
  </si>
  <si>
    <t>GO:0140021</t>
  </si>
  <si>
    <t>mitochondrial ADP transmembrane transport</t>
  </si>
  <si>
    <t>GO:1990544</t>
  </si>
  <si>
    <t>mitochondrial ATP transmembrane transport</t>
  </si>
  <si>
    <t>GO:0009313</t>
  </si>
  <si>
    <t>oligosaccharide catabolic process</t>
  </si>
  <si>
    <t>GO:0046352</t>
  </si>
  <si>
    <t>disaccharide catabolic process</t>
  </si>
  <si>
    <t>GO:1901679</t>
  </si>
  <si>
    <t>nucleotide transmembrane transport</t>
  </si>
  <si>
    <t>GO:0015790</t>
  </si>
  <si>
    <t>UDP-xylose transmembrane transport</t>
  </si>
  <si>
    <t>GO:0015867</t>
  </si>
  <si>
    <t>ATP transport</t>
  </si>
  <si>
    <t>GO:0015865</t>
  </si>
  <si>
    <t>purine nucleotide transport</t>
  </si>
  <si>
    <t>GO:0015868</t>
  </si>
  <si>
    <t>purine ribonucleotide transport</t>
  </si>
  <si>
    <t>GO:0051503</t>
  </si>
  <si>
    <t>adenine nucleotide transport</t>
  </si>
  <si>
    <t>GO:0072530</t>
  </si>
  <si>
    <t>purine-containing compound transmembrane transport</t>
  </si>
  <si>
    <t>GO:0098656</t>
  </si>
  <si>
    <t>anion transmembrane transport</t>
  </si>
  <si>
    <t>GO:0006862</t>
  </si>
  <si>
    <t>nucleotide transport</t>
  </si>
  <si>
    <t>GO:0015931</t>
  </si>
  <si>
    <t>nucleobase-containing compound transport</t>
  </si>
  <si>
    <t>GO:0043062</t>
  </si>
  <si>
    <t>extracellular structure organization</t>
  </si>
  <si>
    <t>GO:0030198</t>
  </si>
  <si>
    <t>extracellular matrix organization</t>
  </si>
  <si>
    <t>GO:0070726</t>
  </si>
  <si>
    <t>cell wall assembly</t>
  </si>
  <si>
    <t>GO:0071668</t>
  </si>
  <si>
    <t>plant-type cell wall assembly</t>
  </si>
  <si>
    <t>GO:0010215</t>
  </si>
  <si>
    <t>cellulose microfibril organization</t>
  </si>
  <si>
    <t>GO:0009833</t>
  </si>
  <si>
    <t>plant-type primary cell wall biogenesis</t>
  </si>
  <si>
    <t>GO:0000281</t>
  </si>
  <si>
    <t>mitotic cytokinesis</t>
  </si>
  <si>
    <t>GO:0044275</t>
  </si>
  <si>
    <t>cellular carbohydrate catabolic process</t>
  </si>
  <si>
    <t>GO:0042445</t>
  </si>
  <si>
    <t>hormone metabolic process</t>
  </si>
  <si>
    <t>GO:0097502</t>
  </si>
  <si>
    <t>mannosylation</t>
  </si>
  <si>
    <t>GO:0042446</t>
  </si>
  <si>
    <t>hormone biosynthetic process</t>
  </si>
  <si>
    <t>GO:0003333</t>
  </si>
  <si>
    <t>amino acid transmembrane transport</t>
  </si>
  <si>
    <t>GO:0061640</t>
  </si>
  <si>
    <t>cytoskeleton-dependent cytokinesis</t>
  </si>
  <si>
    <t>GO:0005984</t>
  </si>
  <si>
    <t>disaccharide metabolic process</t>
  </si>
  <si>
    <t>GO:0019685</t>
  </si>
  <si>
    <t>photosynthesis, dark reaction</t>
  </si>
  <si>
    <t>GO:0019253</t>
  </si>
  <si>
    <t>reductive pentose-phosphate cycle</t>
  </si>
  <si>
    <t>GO:0009690</t>
  </si>
  <si>
    <t>cytokinin metabolic process</t>
  </si>
  <si>
    <t>GO:0010817</t>
  </si>
  <si>
    <t>regulation of hormone levels</t>
  </si>
  <si>
    <t>GO:0034754</t>
  </si>
  <si>
    <t>cellular hormone metabolic process</t>
  </si>
  <si>
    <t>GO:0016129</t>
  </si>
  <si>
    <t>phytosteroid biosynthetic process</t>
  </si>
  <si>
    <t>GO:1990542</t>
  </si>
  <si>
    <t>mitochondrial transmembrane transport</t>
  </si>
  <si>
    <t>GO:0050667</t>
  </si>
  <si>
    <t>homocysteine metabolic process</t>
  </si>
  <si>
    <t>GO:0019346</t>
  </si>
  <si>
    <t>transsulfuration</t>
  </si>
  <si>
    <t>GO:0009092</t>
  </si>
  <si>
    <t>homoserine metabolic process</t>
  </si>
  <si>
    <t>GO:0090481</t>
  </si>
  <si>
    <t>pyrimidine nucleotide-sugar transmembrane transport</t>
  </si>
  <si>
    <t>GO:0016128</t>
  </si>
  <si>
    <t>phytosteroid metabolic process</t>
  </si>
  <si>
    <t>GO:0009311</t>
  </si>
  <si>
    <t>oligosaccharide metabolic process</t>
  </si>
  <si>
    <t>GO:0006694</t>
  </si>
  <si>
    <t>steroid biosynthetic process</t>
  </si>
  <si>
    <t>GO:0000910</t>
  </si>
  <si>
    <t>cytokinesis</t>
  </si>
  <si>
    <t>GO:0008643</t>
  </si>
  <si>
    <t>carbohydrate transport</t>
  </si>
  <si>
    <t>GO:0009664</t>
  </si>
  <si>
    <t>plant-type cell wall organization</t>
  </si>
  <si>
    <t>GO:0009691</t>
  </si>
  <si>
    <t>cytokinin biosynthetic process</t>
  </si>
  <si>
    <t>GO:0009834</t>
  </si>
  <si>
    <t>plant-type secondary cell wall biogenesis</t>
  </si>
  <si>
    <t>GO:0009853</t>
  </si>
  <si>
    <t>photorespiration</t>
  </si>
  <si>
    <t>organic acid transport</t>
  </si>
  <si>
    <t>GO:0006865</t>
  </si>
  <si>
    <t>amino acid transport</t>
  </si>
  <si>
    <t>GO:1903825</t>
  </si>
  <si>
    <t>organic acid transmembrane transport</t>
  </si>
  <si>
    <t>GO:1905039</t>
  </si>
  <si>
    <t>carboxylic acid transmembrane transport</t>
  </si>
  <si>
    <t>steroid metabolic process</t>
  </si>
  <si>
    <t>GO:0016126</t>
  </si>
  <si>
    <t>sterol biosynthetic process</t>
  </si>
  <si>
    <t>GO:0006112</t>
  </si>
  <si>
    <t>energy reserve metabolic process</t>
  </si>
  <si>
    <t>GO:0005977</t>
  </si>
  <si>
    <t>glycogen metabolic process</t>
  </si>
  <si>
    <t>GO:0005980</t>
  </si>
  <si>
    <t>glycogen catabolic process</t>
  </si>
  <si>
    <t>methylation</t>
  </si>
  <si>
    <t>GO:0006817</t>
  </si>
  <si>
    <t>phosphate ion transport</t>
  </si>
  <si>
    <t>starch biosynthetic process</t>
  </si>
  <si>
    <t>GO:0009658</t>
  </si>
  <si>
    <t>chloroplast organization</t>
  </si>
  <si>
    <t>GO:0051202</t>
  </si>
  <si>
    <t>phytochromobilin metabolic process</t>
  </si>
  <si>
    <t>GO:0010024</t>
  </si>
  <si>
    <t>phytochromobilin biosynthetic process</t>
  </si>
  <si>
    <t>cellular modified amino acid biosynthetic process</t>
  </si>
  <si>
    <t>GO:0048465</t>
  </si>
  <si>
    <t>corolla development</t>
  </si>
  <si>
    <t>GO:0048441</t>
  </si>
  <si>
    <t>petal development</t>
  </si>
  <si>
    <t>organic hydroxy compound biosynthetic process</t>
  </si>
  <si>
    <t>movement of cell or subcellular component</t>
  </si>
  <si>
    <t>microtubule-based movement</t>
  </si>
  <si>
    <t>inorganic anion transport</t>
  </si>
  <si>
    <t>P1000</t>
  </si>
  <si>
    <t>negative regulation of developmental growth</t>
  </si>
  <si>
    <t>negative regulation of organ growth</t>
  </si>
  <si>
    <t>negative regulation of growth</t>
  </si>
  <si>
    <t>cellular response to sulfur starvation</t>
  </si>
  <si>
    <t>regulation of glucosinolate biosynthetic process</t>
  </si>
  <si>
    <t>leucine catabolic process</t>
  </si>
  <si>
    <t>regulation of cellular carbohydrate metabolic process</t>
  </si>
  <si>
    <t>polysaccharide catabolic process</t>
  </si>
  <si>
    <t>regulation of carbohydrate metabolic process</t>
  </si>
  <si>
    <t>negative regulation of multicellular organismal process</t>
  </si>
  <si>
    <t>glutamate biosynthetic process</t>
  </si>
  <si>
    <t>mitochondrial calcium ion transmembrane transport</t>
  </si>
  <si>
    <t>negative regulation of developmental process</t>
  </si>
  <si>
    <t>nucleobase transport</t>
  </si>
  <si>
    <t>purine nucleobase transport</t>
  </si>
  <si>
    <t>sulfate transport</t>
  </si>
  <si>
    <t>branched-chain amino acid catabolic process</t>
  </si>
  <si>
    <t>sulfur compound transport</t>
  </si>
  <si>
    <t>cellular response to starvation</t>
  </si>
  <si>
    <t>carbohydrate catabolic process</t>
  </si>
  <si>
    <t>cellular response to nutrient levels</t>
  </si>
  <si>
    <t>response to starvation</t>
  </si>
  <si>
    <t>regulation of transport</t>
  </si>
  <si>
    <t>cellular response to external stimulus</t>
  </si>
  <si>
    <t>cellular response to extracellular stimulus</t>
  </si>
  <si>
    <t>regulation of carbohydrate biosynthetic process</t>
  </si>
  <si>
    <t>leucine metabolic process</t>
  </si>
  <si>
    <t>regulation of localization</t>
  </si>
  <si>
    <t>trehalose biosynthetic process</t>
  </si>
  <si>
    <t>response to absence of light</t>
  </si>
  <si>
    <t>response to auxin</t>
  </si>
  <si>
    <t>trehalose metabolic process</t>
  </si>
  <si>
    <t>glycosphingolipid metabolic process</t>
  </si>
  <si>
    <t>glycosylceramide metabolic process</t>
  </si>
  <si>
    <t>glucosylceramide metabolic process</t>
  </si>
  <si>
    <t>regulation of ion transmembrane transport</t>
  </si>
  <si>
    <t>regulation of phosphate transport</t>
  </si>
  <si>
    <t>regulation of anion transmembrane transport</t>
  </si>
  <si>
    <t>regulation of inorganic anion transmembrane transport</t>
  </si>
  <si>
    <t>regulation of phosphate transmembrane transport</t>
  </si>
  <si>
    <t>xylulose metabolic process</t>
  </si>
  <si>
    <t>regulation of multicellular organismal process</t>
  </si>
  <si>
    <t>purine nucleobase metabolic process</t>
  </si>
  <si>
    <t>regulation of 1-deoxy-D-xylulose-5-phosphate synthase activity</t>
  </si>
  <si>
    <t>disaccharide biosynthetic process</t>
  </si>
  <si>
    <t>inositol phosphorylation</t>
  </si>
  <si>
    <t>regulation of ion transport</t>
  </si>
  <si>
    <t>pectin catabolic process</t>
  </si>
  <si>
    <t>dicarboxylic acid biosynthetic process</t>
  </si>
  <si>
    <t>dimethylallyl diphosphate metabolic process</t>
  </si>
  <si>
    <t>dimethylallyl diphosphate biosynthetic process</t>
  </si>
  <si>
    <t>allantoin catabolic process</t>
  </si>
  <si>
    <t>purine nucleobase catabolic process</t>
  </si>
  <si>
    <t>ureide metabolic process</t>
  </si>
  <si>
    <t>ureide catabolic process</t>
  </si>
  <si>
    <t>ERAD pathway</t>
  </si>
  <si>
    <t>response to topologically incorrect protein</t>
  </si>
  <si>
    <t>cellular response to topologically incorrect protein</t>
  </si>
  <si>
    <t>oligosaccharide biosynthetic process</t>
  </si>
  <si>
    <t>glycosphingolipid biosynthetic process</t>
  </si>
  <si>
    <t>glycosylceramide biosynthetic process</t>
  </si>
  <si>
    <t>glucosylceramide biosynthetic process</t>
  </si>
  <si>
    <t>sodium ion transport</t>
  </si>
  <si>
    <t>cellular lipid catabolic process</t>
  </si>
  <si>
    <t>fatty acid catabolic process</t>
  </si>
  <si>
    <t>lipid oxidation</t>
  </si>
  <si>
    <t>fatty acid oxidation</t>
  </si>
  <si>
    <t>fatty acid beta-oxidation</t>
  </si>
  <si>
    <t>multicellular organismal homeostasis</t>
  </si>
  <si>
    <t>energy homeostasis</t>
  </si>
  <si>
    <t>cellular response to stimulus</t>
  </si>
  <si>
    <t>regulation of anion transport</t>
  </si>
  <si>
    <t>cytoskeleton organization</t>
  </si>
  <si>
    <t>calcium ion transmembrane transport</t>
  </si>
  <si>
    <t>allantoin metabolic process</t>
  </si>
  <si>
    <t>regulation of isopentenyl diphosphate biosynthetic process, methylerythritol 4-phosphate pathway</t>
  </si>
  <si>
    <t>dolichol biosynthetic process</t>
  </si>
  <si>
    <t>organic substance catabolic process</t>
  </si>
  <si>
    <t>cellular amide catabolic process</t>
  </si>
  <si>
    <t>nucleobase catabolic process</t>
  </si>
  <si>
    <t>polyprenol biosynthetic process</t>
  </si>
  <si>
    <t>lipid modification</t>
  </si>
  <si>
    <t>monocarboxylic acid catabolic process</t>
  </si>
  <si>
    <t>myo-inositol hexakisphosphate metabolic process</t>
  </si>
  <si>
    <t>myo-inositol hexakisphosphate biosynthetic process</t>
  </si>
  <si>
    <t>nucleotide-sugar metabolic process</t>
  </si>
  <si>
    <t>catabolic process</t>
  </si>
  <si>
    <t>anion homeostasis</t>
  </si>
  <si>
    <t>trivalent inorganic anion homeostasis</t>
  </si>
  <si>
    <t>phosphate ion homeostasis</t>
  </si>
  <si>
    <t>regulation of transmembrane transport</t>
  </si>
  <si>
    <t>branched-chain amino acid metabolic process</t>
  </si>
  <si>
    <t>galacturonan metabolic process</t>
  </si>
  <si>
    <t>pectin metabolic process</t>
  </si>
  <si>
    <t>response to misfolded protein</t>
  </si>
  <si>
    <t>cellular response to misfolded protein</t>
  </si>
  <si>
    <t>ER-associated misfolded protein catabolic process</t>
  </si>
  <si>
    <t>regulation of phospholipid metabolic process</t>
  </si>
  <si>
    <t>regulation of phospholipid biosynthetic process</t>
  </si>
  <si>
    <t>ceramide biosynthetic process</t>
  </si>
  <si>
    <t>dolichol metabolic process</t>
  </si>
  <si>
    <t>P0002</t>
  </si>
  <si>
    <t>photosynthesis</t>
  </si>
  <si>
    <t>amide biosynthetic process</t>
  </si>
  <si>
    <t>translation</t>
  </si>
  <si>
    <t>peptide biosynthetic process</t>
  </si>
  <si>
    <t>cellular nitrogen compound biosynthetic process</t>
  </si>
  <si>
    <t>photosynthesis, light reaction</t>
  </si>
  <si>
    <t>generation of precursor metabolites and energy</t>
  </si>
  <si>
    <t>plastid translation</t>
  </si>
  <si>
    <t>macromolecule biosynthetic process</t>
  </si>
  <si>
    <t>plastid transcription</t>
  </si>
  <si>
    <t>cellular macromolecule biosynthetic process</t>
  </si>
  <si>
    <t>gene expression</t>
  </si>
  <si>
    <t>glutathione catabolic process</t>
  </si>
  <si>
    <t>protein-chromophore linkage</t>
  </si>
  <si>
    <t>peptide catabolic process</t>
  </si>
  <si>
    <t>protein peptidyl-prolyl isomerization</t>
  </si>
  <si>
    <t>photosynthetic electron transport chain</t>
  </si>
  <si>
    <t>peptidyl-proline modification</t>
  </si>
  <si>
    <t>protein transport by the Tat complex</t>
  </si>
  <si>
    <t>sulfur compound catabolic process</t>
  </si>
  <si>
    <t>electron transport chain</t>
  </si>
  <si>
    <t>cellular modified amino acid catabolic process</t>
  </si>
  <si>
    <t>valyl-tRNA aminoacylation</t>
  </si>
  <si>
    <t>response to light stimulus</t>
  </si>
  <si>
    <t>photosynthetic electron transport in photosystem I</t>
  </si>
  <si>
    <t>response to radiation</t>
  </si>
  <si>
    <t>tyrosyl-tRNA aminoacylation</t>
  </si>
  <si>
    <t>co-translational protein modification</t>
  </si>
  <si>
    <t>starch catabolic process</t>
  </si>
  <si>
    <t>vitamin K metabolic process</t>
  </si>
  <si>
    <t>vitamin K biosynthetic process</t>
  </si>
  <si>
    <t>phylloquinone metabolic process</t>
  </si>
  <si>
    <t>phylloquinone biosynthetic process</t>
  </si>
  <si>
    <t>response to oxidative stress</t>
  </si>
  <si>
    <t>plastid organization</t>
  </si>
  <si>
    <t>amino acid activation</t>
  </si>
  <si>
    <t>tRNA aminoacylation</t>
  </si>
  <si>
    <t>chlorophyll metabolic process</t>
  </si>
  <si>
    <t>indolalkylamine metabolic process</t>
  </si>
  <si>
    <t>tryptophan metabolic process</t>
  </si>
  <si>
    <t>chlorophyll biosynthetic process</t>
  </si>
  <si>
    <t>fat-soluble vitamin metabolic process</t>
  </si>
  <si>
    <t>fat-soluble vitamin biosynthetic process</t>
  </si>
  <si>
    <t>protein localization to extracellular region</t>
  </si>
  <si>
    <t>establishment of protein localization to extracellular region</t>
  </si>
  <si>
    <t>protein secretion</t>
  </si>
  <si>
    <t>quinone metabolic process</t>
  </si>
  <si>
    <t>ketone biosynthetic process</t>
  </si>
  <si>
    <t>quinone biosynthetic process</t>
  </si>
  <si>
    <t>response to blue light</t>
  </si>
  <si>
    <t>photosynthesis, light harvesting in photosystem I</t>
  </si>
  <si>
    <t>photosystem II repair</t>
  </si>
  <si>
    <t>tRNA metabolic process</t>
  </si>
  <si>
    <t>porphyrin-containing compound metabolic process</t>
  </si>
  <si>
    <t>porphyrin-containing compound biosynthetic process</t>
  </si>
  <si>
    <t>vitamin biosynthetic process</t>
  </si>
  <si>
    <t>regulation of organic acid transport</t>
  </si>
  <si>
    <t>regulation of amine transport</t>
  </si>
  <si>
    <t>regulation of amino acid transport</t>
  </si>
  <si>
    <t>regulation of amino acid transmembrane transport</t>
  </si>
  <si>
    <t>regulation of amino acid export</t>
  </si>
  <si>
    <t>cellular metabolic compound salvage</t>
  </si>
  <si>
    <t>glutaminyl-tRNAGln biosynthesis via transamidation</t>
  </si>
  <si>
    <t>cysteinyl-tRNA aminoacylation</t>
  </si>
  <si>
    <t>vitamin metabolic process</t>
  </si>
  <si>
    <t>tetrapyrrole metabolic process</t>
  </si>
  <si>
    <t>folic acid biosynthetic process</t>
  </si>
  <si>
    <t>cellular ketone metabolic process</t>
  </si>
  <si>
    <t>tetrapyrrole biosynthetic process</t>
  </si>
  <si>
    <t>tRNA aminoacylation for protein translation</t>
  </si>
  <si>
    <t>response to cytokinin</t>
  </si>
  <si>
    <t>seed maturation</t>
  </si>
  <si>
    <t>response to metal ion</t>
  </si>
  <si>
    <t>tetrahydrofolate biosynthetic process</t>
  </si>
  <si>
    <t>cysteine biosynthetic process from serine</t>
  </si>
  <si>
    <t>protein repair</t>
  </si>
  <si>
    <t>response to cadmium ion</t>
  </si>
  <si>
    <t>circadian rhythm</t>
  </si>
  <si>
    <t>cristae formation</t>
  </si>
  <si>
    <t>cysteine biosynthetic process</t>
  </si>
  <si>
    <t>ncRNA metabolic process</t>
  </si>
  <si>
    <t>tricarboxylic acid cycle</t>
  </si>
  <si>
    <t>phototropism</t>
  </si>
  <si>
    <t>regulation of programmed cell death</t>
  </si>
  <si>
    <t>response to salt stress</t>
  </si>
  <si>
    <t>RNA splicing, via transesterification reactions with guanosine as nucleophile</t>
  </si>
  <si>
    <t>Group I intron splicing</t>
  </si>
  <si>
    <t>Group II intron splicing</t>
  </si>
  <si>
    <t>dorsal/ventral pattern formation</t>
  </si>
  <si>
    <t>specification of symmetry</t>
  </si>
  <si>
    <t>determination of bilateral symmetry</t>
  </si>
  <si>
    <t>determination of dorsal/ventral asymmetry</t>
  </si>
  <si>
    <t>determination of dorsal identity</t>
  </si>
  <si>
    <t>folic acid-containing compound biosynthetic process</t>
  </si>
  <si>
    <t>pyrimidine nucleobase salvage</t>
  </si>
  <si>
    <t>uracil biosynthetic process</t>
  </si>
  <si>
    <t>uracil salvage</t>
  </si>
  <si>
    <t>starch metabolic process</t>
  </si>
  <si>
    <t>glucan catabolic process</t>
  </si>
  <si>
    <t>cellular polysaccharide catabolic process</t>
  </si>
  <si>
    <t>fluid transport</t>
  </si>
  <si>
    <t>water transport</t>
  </si>
  <si>
    <t>glutamine metabolic process</t>
  </si>
  <si>
    <t>mitochondrial translation</t>
  </si>
  <si>
    <t>plastoquinone biosynthetic process</t>
  </si>
  <si>
    <t>purine nucleotide biosynthetic process</t>
  </si>
  <si>
    <t>cysteine metabolic process</t>
  </si>
  <si>
    <t>photosystem I assembly</t>
  </si>
  <si>
    <t>integument development</t>
  </si>
  <si>
    <t>regulation of superoxide metabolic process</t>
  </si>
  <si>
    <t>aldonic acid catabolic process</t>
  </si>
  <si>
    <t>D-gluconate catabolic process</t>
  </si>
  <si>
    <t>regulation of defense response by callose deposition</t>
  </si>
  <si>
    <t>pteridine-containing compound biosynthetic process</t>
  </si>
  <si>
    <t>uracil metabolic process</t>
  </si>
  <si>
    <t>adventitious root development</t>
  </si>
  <si>
    <t>purine-containing compound biosynthetic process</t>
  </si>
  <si>
    <t>phenylpropanoid catabolic process</t>
  </si>
  <si>
    <t>lignin catabolic process</t>
  </si>
  <si>
    <t>ribonucleoside monophosphate metabolic process</t>
  </si>
  <si>
    <t>ribonucleoside monophosphate biosynthetic process</t>
  </si>
  <si>
    <t>response to red or far red light</t>
  </si>
  <si>
    <t>negative regulation of response to water deprivation</t>
  </si>
  <si>
    <t>peptide transport</t>
  </si>
  <si>
    <t>oligopeptide transport</t>
  </si>
  <si>
    <t>RNA modification</t>
  </si>
  <si>
    <t>response to heat</t>
  </si>
  <si>
    <t>sulfur amino acid biosynthetic process</t>
  </si>
  <si>
    <t>translational termination</t>
  </si>
  <si>
    <t>pectin biosynthetic process</t>
  </si>
  <si>
    <t>pigment biosynthetic process</t>
  </si>
  <si>
    <t>seed germination</t>
  </si>
  <si>
    <t>P0020</t>
  </si>
  <si>
    <t>embryonic morphogenesis</t>
  </si>
  <si>
    <t>cotyledon morphogenesis</t>
  </si>
  <si>
    <t>cotyledon vascular tissue pattern formation</t>
  </si>
  <si>
    <t>shoot system morphogenesis</t>
  </si>
  <si>
    <t>leaf vascular tissue pattern formation</t>
  </si>
  <si>
    <t>phloem or xylem histogenesis</t>
  </si>
  <si>
    <t>chloroplast RNA modification</t>
  </si>
  <si>
    <t>cotyledon development</t>
  </si>
  <si>
    <t>leaf morphogenesis</t>
  </si>
  <si>
    <t>xylem and phloem pattern formation</t>
  </si>
  <si>
    <t>MAPK cascade</t>
  </si>
  <si>
    <t>negative regulation of seed germination</t>
  </si>
  <si>
    <t>regulation of seedling development</t>
  </si>
  <si>
    <t>regulation of seed germination</t>
  </si>
  <si>
    <t>cuticle development</t>
  </si>
  <si>
    <t>regulation of meristem structural organization</t>
  </si>
  <si>
    <t>negative regulation of post-embryonic development</t>
  </si>
  <si>
    <t>regulation of multicellular organismal development</t>
  </si>
  <si>
    <t>regulation of post-embryonic development</t>
  </si>
  <si>
    <t>auxin polar transport</t>
  </si>
  <si>
    <t>arabinose metabolic process</t>
  </si>
  <si>
    <t>L-arabinose metabolic process</t>
  </si>
  <si>
    <t>positive regulation of response to water deprivation</t>
  </si>
  <si>
    <t>hormone transport</t>
  </si>
  <si>
    <t>auxin transport</t>
  </si>
  <si>
    <t>regulation of response to water deprivation</t>
  </si>
  <si>
    <t>regulation of developmental process</t>
  </si>
  <si>
    <t>negative regulation of flavonoid biosynthetic process</t>
  </si>
  <si>
    <t>maintenance of seed dormancy by absisic acid</t>
  </si>
  <si>
    <t>cellular response to alcohol</t>
  </si>
  <si>
    <t>cellular response to abscisic acid stimulus</t>
  </si>
  <si>
    <t>abscisic acid-activated signaling pathway</t>
  </si>
  <si>
    <t>monosaccharide metabolic process</t>
  </si>
  <si>
    <t>DNA replication</t>
  </si>
  <si>
    <t>pentose metabolic process</t>
  </si>
  <si>
    <t>chloride transport</t>
  </si>
  <si>
    <t>ribosome biogenesis</t>
  </si>
  <si>
    <t>response to herbicide</t>
  </si>
  <si>
    <t>galactose metabolic process</t>
  </si>
  <si>
    <t>tissue development</t>
  </si>
  <si>
    <t>leading strand elongation</t>
  </si>
  <si>
    <t>anatomical structure morphogenesis</t>
  </si>
  <si>
    <t>regulation of flavonoid biosynthetic process</t>
  </si>
  <si>
    <t>negative regulation of reproductive process</t>
  </si>
  <si>
    <t>negative regulation of meiotic cell cycle</t>
  </si>
  <si>
    <t>negative regulation of meiotic nuclear division</t>
  </si>
  <si>
    <t>negative regulation of reciprocal meiotic recombination</t>
  </si>
  <si>
    <t>maintenance of dormancy</t>
  </si>
  <si>
    <t>maintenance of seed dormancy</t>
  </si>
  <si>
    <t>intracellular signal transduction</t>
  </si>
  <si>
    <t>plant organ morphogenesis</t>
  </si>
  <si>
    <t>menaquinone metabolic process</t>
  </si>
  <si>
    <t>menaquinone biosynthetic process</t>
  </si>
  <si>
    <t>respiratory chain complex III assembly</t>
  </si>
  <si>
    <t>mitochondrial respiratory chain complex III assembly</t>
  </si>
  <si>
    <t>regulation of reciprocal meiotic recombination</t>
  </si>
  <si>
    <t>dormancy process</t>
  </si>
  <si>
    <t>seed dormancy process</t>
  </si>
  <si>
    <t>cellular response to endogenous stimulus</t>
  </si>
  <si>
    <t>cellular response to hormone stimulus</t>
  </si>
  <si>
    <t>negative regulation of protein serine/threonine phosphatase activity</t>
  </si>
  <si>
    <t>rRNA processing</t>
  </si>
  <si>
    <t>pyridoxine metabolic process</t>
  </si>
  <si>
    <t>pyridoxine biosynthetic process</t>
  </si>
  <si>
    <t>purine nucleobase salvage</t>
  </si>
  <si>
    <t>adenine metabolic process</t>
  </si>
  <si>
    <t>adenine biosynthetic process</t>
  </si>
  <si>
    <t>adenine salvage</t>
  </si>
  <si>
    <t>rRNA metabolic process</t>
  </si>
  <si>
    <t>regulation of meiotic nuclear division</t>
  </si>
  <si>
    <t>P0200</t>
  </si>
  <si>
    <t>negative regulation of DNA-templated transcription, termination</t>
  </si>
  <si>
    <t>regulation of DNA-templated transcription, termination</t>
  </si>
  <si>
    <t>seedling development</t>
  </si>
  <si>
    <t>negative regulation of protein-containing complex disassembly</t>
  </si>
  <si>
    <t>cold acclimation</t>
  </si>
  <si>
    <t>regulation of protein-containing complex disassembly</t>
  </si>
  <si>
    <t>negative regulation of cellular component organization</t>
  </si>
  <si>
    <t>isoprenoid catabolic process</t>
  </si>
  <si>
    <t>gibberellin metabolic process</t>
  </si>
  <si>
    <t>multicellular organism development</t>
  </si>
  <si>
    <t>negative regulation of transcription, DNA-templated</t>
  </si>
  <si>
    <t>negative regulation of RNA biosynthetic process</t>
  </si>
  <si>
    <t>negative regulation of nucleic acid-templated transcription</t>
  </si>
  <si>
    <t>negative regulation of RNA metabolic process</t>
  </si>
  <si>
    <t>mitotic cell cycle</t>
  </si>
  <si>
    <t>anatomical structure development</t>
  </si>
  <si>
    <t>inositol catabolic process</t>
  </si>
  <si>
    <t>negative regulation of nucleobase-containing compound metabolic process</t>
  </si>
  <si>
    <t>organelle fission</t>
  </si>
  <si>
    <t>regulation of cellular component organization</t>
  </si>
  <si>
    <t>cell cycle</t>
  </si>
  <si>
    <t>cellularization</t>
  </si>
  <si>
    <t>embryo sac cellularization</t>
  </si>
  <si>
    <t>negative regulation of cellular process</t>
  </si>
  <si>
    <t>arginine biosynthetic process via ornithine</t>
  </si>
  <si>
    <t>chromosome localization</t>
  </si>
  <si>
    <t>establishment of chromosome localization</t>
  </si>
  <si>
    <t>metaphase plate congression</t>
  </si>
  <si>
    <t>mitotic metaphase plate congression</t>
  </si>
  <si>
    <t>attachment of mitotic spindle microtubules to kinetochore</t>
  </si>
  <si>
    <t>multicellular organismal reproductive process</t>
  </si>
  <si>
    <t>RNA metabolic process</t>
  </si>
  <si>
    <t>multicellular organism reproduction</t>
  </si>
  <si>
    <t>meiotic cytokinesis</t>
  </si>
  <si>
    <t>male meiosis cytokinesis</t>
  </si>
  <si>
    <t>negative regulation of cellular metabolic process</t>
  </si>
  <si>
    <t>negative regulation of nitrogen compound metabolic process</t>
  </si>
  <si>
    <t>regulation of protein serine/threonine phosphatase activity</t>
  </si>
  <si>
    <t>post-embryonic development</t>
  </si>
  <si>
    <t>attachment of spindle microtubules to kinetochore</t>
  </si>
  <si>
    <t>pantothenate metabolic process</t>
  </si>
  <si>
    <t>pantothenate biosynthetic process</t>
  </si>
  <si>
    <t>primary root development</t>
  </si>
  <si>
    <t>regulation of brassinosteroid mediated signaling pathway</t>
  </si>
  <si>
    <t>negative regulation of brassinosteroid mediated signaling pathway</t>
  </si>
  <si>
    <t>negative regulation of biosynthetic process</t>
  </si>
  <si>
    <t>negative regulation of macromolecule biosynthetic process</t>
  </si>
  <si>
    <t>negative regulation of cellular biosynthetic process</t>
  </si>
  <si>
    <t>negative regulation of cellular macromolecule biosynthetic process</t>
  </si>
  <si>
    <t>diol metabolic process</t>
  </si>
  <si>
    <t>diol biosynthetic process</t>
  </si>
  <si>
    <t>tetrahydrobiopterin metabolic process</t>
  </si>
  <si>
    <t>tetrahydrobiopterin biosynthetic process</t>
  </si>
  <si>
    <t>sequestering of metal ion</t>
  </si>
  <si>
    <t>sequestering of iron ion</t>
  </si>
  <si>
    <t>intracellular sequestering of iron ion</t>
  </si>
  <si>
    <t>GMP metabolic process</t>
  </si>
  <si>
    <t>GMP biosynthetic process</t>
  </si>
  <si>
    <t>inositol metabolic process</t>
  </si>
  <si>
    <t>microtubule cytoskeleton organization</t>
  </si>
  <si>
    <t>organic cyclic compound metabolic process</t>
  </si>
  <si>
    <t>cytokinesis by cell plate formation</t>
  </si>
  <si>
    <t>nuclear division</t>
  </si>
  <si>
    <t>negative regulation of biological process</t>
  </si>
  <si>
    <t>cellular iron ion homeostasis</t>
  </si>
  <si>
    <t>acetyl-CoA biosynthetic process from pyruvate</t>
  </si>
  <si>
    <t>cellular aromatic compound metabolic process</t>
  </si>
  <si>
    <t>heterocycle metabolic process</t>
  </si>
  <si>
    <t>negative regulation of metabolic process</t>
  </si>
  <si>
    <t>negative regulation of dephosphorylation</t>
  </si>
  <si>
    <t>negative regulation of phosphatase activity</t>
  </si>
  <si>
    <t>negative regulation of macromolecule metabolic process</t>
  </si>
  <si>
    <t>negative regulation of protein dephosphorylation</t>
  </si>
  <si>
    <t>negative regulation of phosphoprotein phosphatase activity</t>
  </si>
  <si>
    <t>arginine biosynthetic process</t>
  </si>
  <si>
    <t>acetyl-CoA biosynthetic process</t>
  </si>
  <si>
    <t>lysine biosynthetic process</t>
  </si>
  <si>
    <t>diaminopimelate metabolic process</t>
  </si>
  <si>
    <t>lysine biosynthetic process via diaminopimelate</t>
  </si>
  <si>
    <t>polyol biosynthetic process</t>
  </si>
  <si>
    <t>iron ion homeostasis</t>
  </si>
  <si>
    <t>P2000</t>
  </si>
  <si>
    <t>TraesCS4B03G0700700</t>
  </si>
  <si>
    <t>1 (12.5%)</t>
  </si>
  <si>
    <t>TraesCS3D03G0845900</t>
  </si>
  <si>
    <t>TraesCS3D03G0665100;TraesCS3A03G0721100;TraesCS6A03G0903100</t>
  </si>
  <si>
    <t>3 (2.31%)</t>
  </si>
  <si>
    <t>TraesCS3A03G0185400</t>
  </si>
  <si>
    <t>TraesCS2D03G0845100</t>
  </si>
  <si>
    <t>TraesCS2A03G0034600;TraesCS2B03G0051000;TraesCS2D03G0034000</t>
  </si>
  <si>
    <t>3 (2.27%)</t>
  </si>
  <si>
    <t>TraesCS1D03G0418400;TraesCS7B03G0116500;TraesCS1B03G0593700;TraesCS7D03G0321800</t>
  </si>
  <si>
    <t>4 (1.84%)</t>
  </si>
  <si>
    <t>TraesCS1D03G0418400;TraesCS1B03G0593700</t>
  </si>
  <si>
    <t>2 (3.45%)</t>
  </si>
  <si>
    <t>TraesCS1A03G0947000;TraesCS3A03G0603100</t>
  </si>
  <si>
    <t>2 (3.51%)</t>
  </si>
  <si>
    <t>TraesCS1A03G0947000</t>
  </si>
  <si>
    <t>TraesCS2B03G0308400;TraesCS3D03G0745500;TraesCS2D03G0467800;TraesCS5A03G1203000;TraesCS3A03G0166800;TraesCS2D03G0845100;TraesCS7D03G0321800;TraesCS7B03G0626800;TraesCS7B03G0116500;TraesCS2B03G0051000;TraesCS2D03G0034000;TraesCS6B03G0424000;TraesCS1A03G0947000;TraesCS7D03G0469500;TraesCS7D03G1104100;TraesCS2B03G0581400;TraesCS2A03G0461100;TraesCS1B03G0593700;TraesCS6A03G0279100;TraesCS1D03G0224800;TraesCS1D03G0418400;TraesCS2A03G0034600;TraesCS5B03G0253800;TraesCS6D03G0113500;TraesCS2A03G1299200</t>
  </si>
  <si>
    <t>25 (0.88%)</t>
  </si>
  <si>
    <t>TraesCS1A03G0782200;TraesCS4B03G0653000</t>
  </si>
  <si>
    <t>2 (3.57%)</t>
  </si>
  <si>
    <t>TraesCS7B03G0170600</t>
  </si>
  <si>
    <t>1 (16.67%)</t>
  </si>
  <si>
    <t>TraesCS7B03G0116500;TraesCS7D03G0321800</t>
  </si>
  <si>
    <t>2 (4.17%)</t>
  </si>
  <si>
    <t>TraesCS5B03G0536200;TraesCS7B03G0116500;TraesCS7D03G0321800</t>
  </si>
  <si>
    <t>3 (2.4%)</t>
  </si>
  <si>
    <t>1 (14.29%)</t>
  </si>
  <si>
    <t>TraesCS3B03G0921800;TraesCS3B03G0922000</t>
  </si>
  <si>
    <t>2 (4%)</t>
  </si>
  <si>
    <t>TraesCS2A03G1299200</t>
  </si>
  <si>
    <t>4 (1.97%)</t>
  </si>
  <si>
    <t>TraesCS3D03G0745500;TraesCS1A03G0947000;TraesCS2D03G0467800;TraesCS5A03G1203000;TraesCS7D03G1104100;TraesCS2B03G0581400;TraesCS3A03G0166800;TraesCS2A03G0461100;TraesCS2D03G0845100;TraesCS1B03G0593700;TraesCS7D03G0321800;TraesCS7B03G0626800;TraesCS1D03G0418400;TraesCS2A03G0034600;TraesCS7B03G0116500;TraesCS2B03G0051000;TraesCS2D03G0034000;TraesCS5B03G0253800;TraesCS6B03G0424000;TraesCS2A03G1299200</t>
  </si>
  <si>
    <t>20 (0.94%)</t>
  </si>
  <si>
    <t>1 (20%)</t>
  </si>
  <si>
    <t>TraesCS5A03G0516300;TraesCS5B03G0524300;TraesCS3A03G0603100</t>
  </si>
  <si>
    <t>3 (2.61%)</t>
  </si>
  <si>
    <t>TraesCS6D03G0508700;TraesCS2A03G0873900</t>
  </si>
  <si>
    <t>2 (4.26%)</t>
  </si>
  <si>
    <t>TraesCS5B03G0976500;TraesCS1B03G0753200;TraesCS5A03G0926300;TraesCS1B03G0089300;TraesCS4B03G0666000;TraesCS7B03G0336700</t>
  </si>
  <si>
    <t>6 (1.64%)</t>
  </si>
  <si>
    <t>TraesCS3B03G0772100;TraesCS2A03G0267400;TraesCS2B03G1435300;TraesCS1D03G0418400;TraesCS2B03G0793700;TraesCS1A03G1039400;TraesCS1B03G0593700;TraesCS4D03G0627300</t>
  </si>
  <si>
    <t>8 (1.39%)</t>
  </si>
  <si>
    <t>TraesCS3A03G0968000;TraesCS2D03G0845100;TraesCS5D03G0785000;TraesCS3D03G0903800;TraesCS3B03G0793900;TraesCS6A03G0622800;TraesCS6A03G0851500;TraesCS6A03G0851700;TraesCS6B03G0424000;TraesCS3A03G0265900;TraesCS6A03G0851900;TraesCS1A03G0316200;TraesCS5B03G0861500</t>
  </si>
  <si>
    <t>13 (1.11%)</t>
  </si>
  <si>
    <t>TraesCS3D03G0637200;TraesCS3D03G0745500;TraesCS3A03G0696000;TraesCS3B03G0921800;TraesCS4A03G0505200;TraesCS4D03G0424700;TraesCS3B03G0922000;TraesCS3B03G0793900;TraesCS4B03G0668600;TraesCS4A03G0112900;TraesCS6B03G0424000;TraesCS3A03G0265900;TraesCS4A03G0294900;TraesCS1A03G0316200</t>
  </si>
  <si>
    <t>14 (1.1%)</t>
  </si>
  <si>
    <t>TraesCS3D03G0637200;TraesCS2A03G1311800;TraesCS3D03G0745500;TraesCS1A03G0947000;TraesCS1D03G0456700;TraesCS3A03G0696000;TraesCS3B03G0921800;TraesCS4A03G0505200;TraesCS2D03G0845100;TraesCS4D03G0424700;TraesCS3B03G0922000;TraesCS3B03G0793900;TraesCS4B03G0668600;TraesCS4A03G0112900;TraesCS1A03G0803800;TraesCS6B03G0424000;TraesCS1D03G0772600;TraesCS3A03G0265900;TraesCS4A03G0294900;TraesCS1A03G0316200;TraesCS1B03G0587700;TraesCS2A03G1299200</t>
  </si>
  <si>
    <t>22 (0.96%)</t>
  </si>
  <si>
    <t>TraesCS7D03G0759300</t>
  </si>
  <si>
    <t>2 (5.88%)</t>
  </si>
  <si>
    <t>2 (5.71%)</t>
  </si>
  <si>
    <t>2 (5.13%)</t>
  </si>
  <si>
    <t>TraesCS7B03G0626800;TraesCS7B03G0116500;TraesCS7D03G0321800</t>
  </si>
  <si>
    <t>3 (3.33%)</t>
  </si>
  <si>
    <t>TraesCS5B03G0679600;TraesCS5B03G0639600</t>
  </si>
  <si>
    <t>TraesCS4A03G1100100;TraesCS7D03G0110700;TraesCS5D03G0785000;TraesCS5B03G0861500</t>
  </si>
  <si>
    <t>4 (2.34%)</t>
  </si>
  <si>
    <t>3 (3.03%)</t>
  </si>
  <si>
    <t>TraesCS6B03G0424000;TraesCS2D03G0845100</t>
  </si>
  <si>
    <t>2 (6.06%)</t>
  </si>
  <si>
    <t>2 (5.26%)</t>
  </si>
  <si>
    <t>1 (25%)</t>
  </si>
  <si>
    <t>TraesCS2A03G0458300</t>
  </si>
  <si>
    <t>TraesCS5A03G0794000;TraesCS3B03G0993100;TraesCS5A03G0345800;TraesCS5B03G0536200;TraesCS7D03G0321800;TraesCS5D03G0749100;TraesCS3D03G0845900;TraesCS7B03G0626800;TraesCS2A03G0395000;TraesCS5B03G0760300;TraesCS2A03G0458300;TraesCS6B03G0720000;TraesCS2D03G1118500;TraesCS2D03G1118600;TraesCS3D03G0597600;TraesCS5A03G0948200;TraesCS4D03G0618500;TraesCS7B03G0116500;TraesCS4B03G0700700;TraesCS5D03G0904300</t>
  </si>
  <si>
    <t>20 (1%)</t>
  </si>
  <si>
    <t>TraesCS3B03G0772100;TraesCS2A03G0267400</t>
  </si>
  <si>
    <t>TraesCS3B03G0772100;TraesCS2A03G0267400;TraesCS2B03G0793700;TraesCS1A03G1039400</t>
  </si>
  <si>
    <t>4 (2.44%)</t>
  </si>
  <si>
    <t>TraesCS2D03G1134400;TraesCS1A03G0947000;TraesCS2A03G1181400;TraesCS2B03G1343300</t>
  </si>
  <si>
    <t>4 (2.48%)</t>
  </si>
  <si>
    <t>TraesCS7D03G0790500;TraesCS5B03G0639600;TraesCS1A03G0737000;TraesCS5A03G0516300;TraesCS7A03G0847100;TraesCS3A03G0603100;TraesCS5B03G0679600;TraesCS6B03G0469400;TraesCS5D03G1106200;TraesCS6D03G0508700;TraesCS2A03G0873900;TraesCS5B03G0524300;TraesCS6A03G0389800;TraesCS6D03G0338000</t>
  </si>
  <si>
    <t>14 (1.14%)</t>
  </si>
  <si>
    <t>TraesCS1A03G0782200;TraesCS3B03G0772100;TraesCS2D03G0467800;TraesCS3B03G0782700;TraesCS5B03G0536200;TraesCS3A03G0166800;TraesCS6B03G1127700;TraesCS7A03G0511500;TraesCS6B03G1230200;TraesCS7B03G0817800;TraesCS2A03G0395000;TraesCS5A03G0948200;TraesCS4D03G0618500;TraesCS7B03G0116500;TraesCS2B03G0051000;TraesCS1A03G0703100;TraesCS6B03G0424000;TraesCS2B03G1207400;TraesCS4A03G0294900;TraesCS2B03G1396700;TraesCS6D03G0064800;TraesCS5D03G0904300;TraesCS3B03G0372700;TraesCS4A03G0850500;TraesCS4D03G0516300;TraesCS1D03G0782900;TraesCS2A03G0989600;TraesCS2A03G1221000;TraesCS5A03G0345800;TraesCS2B03G0581400;TraesCS3B03G0253000;TraesCS5A03G0758800;TraesCS2A03G0461100;TraesCS6D03G0127800;TraesCS1D03G0981600;TraesCS3B03G0008000;TraesCS1B03G0089300;TraesCS5D03G1158700;TraesCS2A03G0034600;TraesCS3A03G1233800;TraesCS5B03G1298600;TraesCS5A03G0931200;TraesCS2B03G1223600;TraesCS2D03G0845100;TraesCS3A03G1186400;TraesCS5D03G0436800;TraesCS6D03G0852700;TraesCS3A03G0888300;TraesCS4A03G1100100;TraesCS7B03G0626800;TraesCS5A03G0759100;TraesCS6B03G0720000;TraesCS1A03G1021900;TraesCS5B03G1299700;TraesCS4B03G0700700;TraesCS6A03G0366200;TraesCS3D03G0744600;TraesCS3B03G0993100;TraesCS2B03G0793700;TraesCS7D03G0600700;TraesCS3B03G0167200;TraesCS4A03G1214600;TraesCS5D03G1087800;TraesCS2D03G0940700;TraesCS3B03G0922000;TraesCS3D03G0845900;TraesCS2B03G0075800;TraesCS5B03G0328600;TraesCS3A03G1013600;TraesCS5B03G0785800;TraesCS2D03G1118600;TraesCS7D03G0110700;TraesCS3D03G0141200;TraesCS5B03G0253800;TraesCS7B03G1255800;TraesCS3D03G0745500;TraesCS4B03G0787300;TraesCS3B03G0921800;TraesCS4A03G0337400;TraesCS4B03G0212900;TraesCS4B03G0653000;TraesCS7D03G0321800;TraesCS2B03G0583000;TraesCS2A03G0458300;TraesCS2A03G0267400;TraesCS3D03G0597600;TraesCS5B03G0157600;TraesCS4A03G0988800;TraesCS3A03G0209700;TraesCS3A03G0721100;TraesCS2D03G0630100;TraesCS1A03G0947000;TraesCS1D03G0128200;TraesCS7A03G1389600;TraesCS5D03G0392500;TraesCS2B03G1109900;TraesCS6A03G0136500;TraesCS3B03G0127400;TraesCS7B03G0591100;TraesCS1B03G0593700;TraesCS4D03G0424700;TraesCS5D03G0749100;TraesCS5B03G0760300;TraesCS2B03G1512400;TraesCS3B03G1165900;TraesCS7A03G0225700;TraesCS2D03G1118500;TraesCS1D03G0418400;TraesCS6B03G0236300;TraesCS2A03G0365400;TraesCS3A03G0265900;TraesCS2A03G1299200;TraesCS2B03G1112500;TraesCS6A03G0929800;TraesCS3B03G0778700;TraesCS6B03G0482100;TraesCS1D03G1040500;TraesCS2B03G1435300;TraesCS2B03G1573300;TraesCS7B03G0170600;TraesCS5A03G1203000;TraesCS5A03G0424100;TraesCS4A03G0505200;TraesCS2A03G0930300;TraesCS5A03G0755500;TraesCS1A03G1039400;TraesCS1B03G1204400;TraesCS5A03G1093700;TraesCS6D03G0512100;TraesCS2A03G0186800;TraesCS7B03G0081400;TraesCS2D03G0034000;TraesCS6A03G0903100;TraesCS1A03G0988100;TraesCS4B03G0549800;TraesCS3D03G0582800;TraesCS3D03G1166000;TraesCS7D03G0759300;TraesCS5A03G0794000;TraesCS6D03G0320500;TraesCS1B03G0671800;TraesCS7D03G1193800;TraesCS2A03G0874800;TraesCS7D03G1104100;TraesCS1D03G0390800;TraesCS5D03G0716900;TraesCS1D03G0954900;TraesCS6B03G0458800;TraesCS4D03G0627300;TraesCS4D03G0835900;TraesCS3B03G0793900;TraesCS1B03G1275100;TraesCS2A03G0300400;TraesCS2D03G0285000;TraesCS3B03G0791600;TraesCS1B03G0800900;TraesCS6A03G0961800;TraesCS3D03G0665100;TraesCS3A03G0099200;TraesCS6A03G0401800;TraesCS7A03G0227300</t>
  </si>
  <si>
    <t>161 (0.71%)</t>
  </si>
  <si>
    <t>3 (3.8%)</t>
  </si>
  <si>
    <t>TraesCS2A03G0874800;TraesCS2A03G1299200</t>
  </si>
  <si>
    <t>2 (6.9%)</t>
  </si>
  <si>
    <t>TraesCS4A03G1100100;TraesCS7D03G0110700;TraesCS2A03G0664500;TraesCS5D03G0785000;TraesCS5B03G0861500</t>
  </si>
  <si>
    <t>5 (2.21%)</t>
  </si>
  <si>
    <t>TraesCS2A03G0300400</t>
  </si>
  <si>
    <t>TraesCS3B03G0782700;TraesCS3B03G0921800;TraesCS6B03G1127700;TraesCS4A03G0337400;TraesCS4B03G0212900;TraesCS2B03G0583000;TraesCS4A03G0988800;TraesCS6B03G0424000;TraesCS3A03G0209700;TraesCS2B03G1207400;TraesCS4A03G0294900;TraesCS6D03G0064800;TraesCS4A03G0850500;TraesCS4D03G0516300;TraesCS1D03G0128200;TraesCS1D03G0782900;TraesCS7A03G1389600;TraesCS3B03G0253000;TraesCS3B03G0127400;TraesCS7B03G0591100;TraesCS4D03G0424700;TraesCS1D03G0981600;TraesCS2B03G1512400;TraesCS5D03G1158700;TraesCS3A03G1233800;TraesCS6B03G0236300;TraesCS5B03G1298600;TraesCS2B03G1112500;TraesCS2B03G1223600;TraesCS6A03G0929800;TraesCS1D03G1040500;TraesCS2B03G1573300;TraesCS4A03G0505200;TraesCS2D03G0845100;TraesCS3A03G1186400;TraesCS6D03G0852700;TraesCS1B03G1204400;TraesCS3A03G0888300;TraesCS5A03G1093700;TraesCS6D03G0512100;TraesCS2A03G0186800;TraesCS4A03G1100100;TraesCS1A03G1021900;TraesCS7B03G0081400;TraesCS5B03G1299700;TraesCS1A03G0988100;TraesCS4B03G0549800;TraesCS3D03G1166000;TraesCS6D03G0320500;TraesCS7D03G1104100;TraesCS1D03G0390800;TraesCS1D03G0954900;TraesCS3B03G0167200;TraesCS4A03G1214600;TraesCS3B03G0922000;TraesCS2B03G0075800;TraesCS3B03G0793900;TraesCS1B03G1275100;TraesCS3B03G0791600;TraesCS7D03G0110700;TraesCS3D03G0141200;TraesCS3A03G0099200;TraesCS7A03G0227300;TraesCS7B03G1255800</t>
  </si>
  <si>
    <t>64 (0.82%)</t>
  </si>
  <si>
    <t>2 (8.33%)</t>
  </si>
  <si>
    <t>TraesCS1A03G0803800;TraesCS1D03G0772600</t>
  </si>
  <si>
    <t>TraesCS3D03G0845900;TraesCS7B03G0626800</t>
  </si>
  <si>
    <t>3 (5.08%)</t>
  </si>
  <si>
    <t>TraesCS2A03G0458300;TraesCS6B03G0720000;TraesCS2D03G1118600;TraesCS3D03G0597600;TraesCS4D03G0618500;TraesCS4B03G0700700</t>
  </si>
  <si>
    <t>6 (2.3%)</t>
  </si>
  <si>
    <t>TraesCS3D03G0903800;TraesCS3A03G0968000;TraesCS6A03G0622800;TraesCS6A03G0851500;TraesCS6A03G0851700;TraesCS3A03G0265900;TraesCS6A03G0851900;TraesCS5D03G0785000;TraesCS5B03G0861500</t>
  </si>
  <si>
    <t>9 (1.71%)</t>
  </si>
  <si>
    <t>TraesCS3B03G0782700;TraesCS3B03G0921800;TraesCS6B03G1127700;TraesCS4A03G0337400;TraesCS4B03G0212900;TraesCS2B03G0583000;TraesCS4A03G0988800;TraesCS6B03G0424000;TraesCS3A03G0209700;TraesCS2B03G1207400;TraesCS4A03G0294900;TraesCS6D03G0064800;TraesCS4A03G0850500;TraesCS4D03G0516300;TraesCS1D03G0128200;TraesCS1D03G0782900;TraesCS7A03G1389600;TraesCS3B03G0253000;TraesCS3B03G0127400;TraesCS4D03G0424700;TraesCS1D03G0981600;TraesCS2B03G1512400;TraesCS5D03G1158700;TraesCS3A03G1233800;TraesCS6B03G0236300;TraesCS5B03G1298600;TraesCS2B03G1112500;TraesCS2B03G1223600;TraesCS6A03G0929800;TraesCS1D03G1040500;TraesCS2B03G1573300;TraesCS4A03G0505200;TraesCS2D03G0845100;TraesCS3A03G1186400;TraesCS6D03G0852700;TraesCS1B03G1204400;TraesCS3A03G0888300;TraesCS5A03G1093700;TraesCS6D03G0512100;TraesCS2A03G0186800;TraesCS4A03G1100100;TraesCS1A03G1021900;TraesCS7B03G0081400;TraesCS5B03G1299700;TraesCS1A03G0988100;TraesCS4B03G0549800;TraesCS3D03G1166000;TraesCS6D03G0320500;TraesCS7D03G1104100;TraesCS1D03G0390800;TraesCS1D03G0954900;TraesCS3B03G0167200;TraesCS4A03G1214600;TraesCS3B03G0922000;TraesCS2B03G0075800;TraesCS3B03G0793900;TraesCS1B03G1275100;TraesCS3B03G0791600;TraesCS7D03G0110700;TraesCS3D03G0141200;TraesCS3A03G0099200;TraesCS7A03G0227300;TraesCS7B03G1255800</t>
  </si>
  <si>
    <t>63 (0.85%)</t>
  </si>
  <si>
    <t>TraesCS3A03G0185400;TraesCS1A03G0803800;TraesCS1D03G0772600</t>
  </si>
  <si>
    <t>3 (5.26%)</t>
  </si>
  <si>
    <t>TraesCS1A03G0947000;TraesCS1A03G0803800;TraesCS1D03G0772600;TraesCS2A03G1299200</t>
  </si>
  <si>
    <t>4 (3.57%)</t>
  </si>
  <si>
    <t>3 (5.36%)</t>
  </si>
  <si>
    <t>TraesCS3D03G0637200;TraesCS4A03G0850500;TraesCS3D03G0745500;TraesCS1A03G0947000;TraesCS3A03G0696000;TraesCS3B03G0921800;TraesCS4A03G0505200;TraesCS4D03G0424700;TraesCS3B03G0922000;TraesCS3B03G0793900;TraesCS4B03G0668600;TraesCS4A03G0112900;TraesCS5D03G1158700;TraesCS1A03G0803800;TraesCS6B03G0424000;TraesCS1D03G0772600;TraesCS3A03G0265900;TraesCS4A03G0294900;TraesCS1A03G0316200;TraesCS2A03G1299200;TraesCS7B03G1255800</t>
  </si>
  <si>
    <t>21 (1.15%)</t>
  </si>
  <si>
    <t>TraesCS2D03G1134400;TraesCS1A03G0947000;TraesCS7D03G0790500;TraesCS5B03G0639600;TraesCS1A03G0737000;TraesCS5A03G0516300;TraesCS7A03G0847100;TraesCS3A03G0603100;TraesCS2B03G1343300;TraesCS5B03G0679600;TraesCS6B03G0469400;TraesCS5D03G1106200;TraesCS6D03G0508700;TraesCS2A03G0873900;TraesCS7B03G0152500;TraesCS5B03G0524300;TraesCS6A03G0389800;TraesCS6D03G0338000;TraesCS2A03G1181400</t>
  </si>
  <si>
    <t>19 (1.21%)</t>
  </si>
  <si>
    <t>TraesCS1A03G0947000;TraesCS5D03G0785000;TraesCS3A03G0603100;TraesCS5B03G0861500</t>
  </si>
  <si>
    <t>4 (3.88%)</t>
  </si>
  <si>
    <t>2 (13.33%)</t>
  </si>
  <si>
    <t>TraesCS3D03G0745500;TraesCS3B03G0782700;TraesCS3B03G0921800;TraesCS5B03G0536200;TraesCS6B03G1127700;TraesCS4A03G0337400;TraesCS4B03G0212900;TraesCS2A03G0395000;TraesCS2B03G0583000;TraesCS2A03G0458300;TraesCS4A03G0988800;TraesCS3A03G0209700;TraesCS4A03G0294900;TraesCS6D03G0064800;TraesCS4A03G0850500;TraesCS4D03G0516300;TraesCS1D03G0128200;TraesCS1D03G0782900;TraesCS7A03G1389600;TraesCS3B03G0253000;TraesCS3B03G0127400;TraesCS4D03G0424700;TraesCS1D03G0981600;TraesCS2B03G1512400;TraesCS5D03G1158700;TraesCS3A03G1233800;TraesCS6B03G0236300;TraesCS5B03G1298600;TraesCS2A03G0365400;TraesCS2B03G1112500;TraesCS2B03G1223600;TraesCS6A03G0929800;TraesCS2B03G1573300;TraesCS7B03G0170600;TraesCS4A03G0505200;TraesCS1A03G1039400;TraesCS3A03G1186400;TraesCS6D03G0852700;TraesCS1B03G1204400;TraesCS3A03G0888300;TraesCS5A03G1093700;TraesCS6D03G0512100;TraesCS2A03G0186800;TraesCS1A03G1021900;TraesCS7B03G0081400;TraesCS5B03G1299700;TraesCS4B03G0549800;TraesCS3D03G1166000;TraesCS6D03G0320500;TraesCS2B03G0793700;TraesCS1D03G0390800;TraesCS3B03G0167200;TraesCS4A03G1214600;TraesCS3B03G0922000;TraesCS2B03G0075800;TraesCS3B03G0793900;TraesCS3D03G0141200;TraesCS5B03G0253800;TraesCS3A03G0099200;TraesCS7A03G0227300;TraesCS7B03G1255800</t>
  </si>
  <si>
    <t>61 (0.87%)</t>
  </si>
  <si>
    <t>4 (4.04%)</t>
  </si>
  <si>
    <t>TraesCS5A03G0516300;TraesCS5B03G0524300;TraesCS6A03G0389800;TraesCS6D03G0338000;TraesCS3A03G0603100</t>
  </si>
  <si>
    <t>5 (3.12%)</t>
  </si>
  <si>
    <t>TraesCS3B03G0858600;TraesCS5B03G0639600;TraesCS4B03G0172500;TraesCS5A03G0516300;TraesCS3A03G0603100;TraesCS2B03G1343300;TraesCS5B03G0679600;TraesCS2A03G1051800;TraesCS5B03G0054000;TraesCS2B03G1176900;TraesCS6D03G0508700;TraesCS7B03G0152500;TraesCS1B03G1068800;TraesCS5B03G0524300;TraesCS6A03G0389800;TraesCS7D03G1225400;TraesCS6D03G0338000;TraesCS2A03G1181400;TraesCS2D03G1134400;TraesCS1A03G0737000;TraesCS5A03G0754100;TraesCS7D03G0543900;TraesCS1B03G0367100;TraesCS4A03G0630200;TraesCS7A03G0816900;TraesCS1A03G0281400;TraesCS1A03G0683200;TraesCS4B03G0883000;TraesCS5D03G0865600;TraesCS1A03G0989800;TraesCS2A03G0873900;TraesCS5A03G0822900;TraesCS3A03G0074000</t>
  </si>
  <si>
    <t>33 (1.02%)</t>
  </si>
  <si>
    <t>4 (4.12%)</t>
  </si>
  <si>
    <t>6 (2.62%)</t>
  </si>
  <si>
    <t>TraesCS5D03G0785000;TraesCS5B03G0861500</t>
  </si>
  <si>
    <t>2 (15.38%)</t>
  </si>
  <si>
    <t>4 (4.3%)</t>
  </si>
  <si>
    <t>TraesCS1A03G0782200;TraesCS3B03G0772100;TraesCS2D03G0467800;TraesCS3B03G0782700;TraesCS5B03G0536200;TraesCS6B03G1127700;TraesCS7A03G0511500;TraesCS6B03G1230200;TraesCS7B03G0817800;TraesCS2A03G0395000;TraesCS5A03G0948200;TraesCS4D03G0618500;TraesCS7B03G0116500;TraesCS2B03G0051000;TraesCS1A03G0703100;TraesCS6B03G0424000;TraesCS2B03G1207400;TraesCS4A03G0294900;TraesCS2B03G1396700;TraesCS6D03G0064800;TraesCS5D03G0904300;TraesCS3B03G0372700;TraesCS4A03G0850500;TraesCS4D03G0516300;TraesCS1D03G0782900;TraesCS2A03G0989600;TraesCS2A03G1221000;TraesCS5A03G0345800;TraesCS2B03G0581400;TraesCS3B03G0253000;TraesCS5A03G0758800;TraesCS2A03G0461100;TraesCS6D03G0127800;TraesCS1D03G0981600;TraesCS3B03G0008000;TraesCS1B03G0089300;TraesCS5D03G1158700;TraesCS2A03G0034600;TraesCS3A03G1233800;TraesCS5B03G1298600;TraesCS5A03G0931200;TraesCS2B03G1223600;TraesCS2D03G0845100;TraesCS3A03G1186400;TraesCS5D03G0436800;TraesCS6D03G0852700;TraesCS3A03G0888300;TraesCS4A03G1100100;TraesCS7B03G0626800;TraesCS5A03G0759100;TraesCS6B03G0720000;TraesCS1A03G1021900;TraesCS5B03G1299700;TraesCS4B03G0700700;TraesCS6A03G0366200;TraesCS3D03G0744600;TraesCS3B03G0993100;TraesCS2B03G0793700;TraesCS7D03G0600700;TraesCS3B03G0167200;TraesCS4A03G1214600;TraesCS5D03G1087800;TraesCS2D03G0940700;TraesCS3B03G0922000;TraesCS3D03G0845900;TraesCS2B03G0075800;TraesCS3A03G1013600;TraesCS5B03G0785800;TraesCS2D03G1118600;TraesCS7D03G0110700;TraesCS3D03G0141200;TraesCS5B03G0253800;TraesCS7B03G1255800;TraesCS3D03G0745500;TraesCS4B03G0787300;TraesCS3B03G0921800;TraesCS4A03G0337400;TraesCS4B03G0212900;TraesCS4B03G0653000;TraesCS7D03G0321800;TraesCS2B03G0583000;TraesCS2A03G0458300;TraesCS2A03G0267400;TraesCS3D03G0597600;TraesCS5B03G0157600;TraesCS4A03G0988800;TraesCS3A03G0209700;TraesCS3A03G0721100;TraesCS2D03G0630100;TraesCS1A03G0947000;TraesCS1D03G0128200;TraesCS7A03G1389600;TraesCS5D03G0392500;TraesCS2B03G1109900;TraesCS6A03G0136500;TraesCS3B03G0127400;TraesCS7B03G0591100;TraesCS1B03G0593700;TraesCS4D03G0424700;TraesCS5D03G0749100;TraesCS5B03G0760300;TraesCS2B03G1512400;TraesCS3B03G1165900;TraesCS7A03G0225700;TraesCS2D03G1118500;TraesCS1D03G0418400;TraesCS6B03G0236300;TraesCS2A03G0365400;TraesCS3A03G0265900;TraesCS2A03G1299200;TraesCS2B03G1112500;TraesCS6A03G0929800;TraesCS3B03G0778700;TraesCS6B03G0482100;TraesCS1D03G1040500;TraesCS2B03G1435300;TraesCS2B03G1573300;TraesCS7B03G0170600;TraesCS5A03G1203000;TraesCS5A03G0424100;TraesCS4A03G0505200;TraesCS2A03G0930300;TraesCS5A03G0755500;TraesCS1A03G1039400;TraesCS1B03G1204400;TraesCS5A03G1093700;TraesCS6D03G0512100;TraesCS2A03G0186800;TraesCS7B03G0081400;TraesCS2D03G0034000;TraesCS6A03G0903100;TraesCS1A03G0988100;TraesCS4B03G0549800;TraesCS3D03G0582800;TraesCS3D03G1166000;TraesCS7D03G0759300;TraesCS5A03G0794000;TraesCS6D03G0320500;TraesCS1B03G0671800;TraesCS7D03G1193800;TraesCS2A03G0874800;TraesCS7D03G1104100;TraesCS1D03G0390800;TraesCS5D03G0716900;TraesCS1D03G0954900;TraesCS6B03G0458800;TraesCS4D03G0627300;TraesCS4D03G0835900;TraesCS3B03G0793900;TraesCS1B03G1275100;TraesCS2A03G0300400;TraesCS2D03G0285000;TraesCS3B03G0791600;TraesCS1B03G0800900;TraesCS6A03G0961800;TraesCS3D03G0665100;TraesCS3A03G0099200;TraesCS6A03G0401800;TraesCS7A03G0227300</t>
  </si>
  <si>
    <t>159 (0.75%)</t>
  </si>
  <si>
    <t>4 (4.44%)</t>
  </si>
  <si>
    <t>4 (4.49%)</t>
  </si>
  <si>
    <t>TraesCS3D03G0745500;TraesCS2D03G0467800;TraesCS5A03G1203000;TraesCS2A03G0034600;TraesCS2B03G0581400;TraesCS2B03G0051000;TraesCS2D03G0034000;TraesCS5B03G0253800;TraesCS2A03G0461100</t>
  </si>
  <si>
    <t>9 (2.05%)</t>
  </si>
  <si>
    <t>4 (4.88%)</t>
  </si>
  <si>
    <t>TraesCS2D03G1134400;TraesCS2A03G1181400;TraesCS2B03G1343300</t>
  </si>
  <si>
    <t>TraesCS3B03G0782700;TraesCS3B03G0921800;TraesCS4A03G0337400;TraesCS4B03G0212900;TraesCS2B03G0583000;TraesCS4A03G0988800;TraesCS3A03G0209700;TraesCS4A03G0294900;TraesCS6D03G0064800;TraesCS4A03G0850500;TraesCS4D03G0516300;TraesCS1D03G0128200;TraesCS1D03G0782900;TraesCS7A03G1389600;TraesCS3B03G0253000;TraesCS3B03G0127400;TraesCS4D03G0424700;TraesCS1D03G0981600;TraesCS2B03G1512400;TraesCS5D03G1158700;TraesCS3A03G1233800;TraesCS6B03G0236300;TraesCS5B03G1298600;TraesCS2B03G1112500;TraesCS2B03G1223600;TraesCS2B03G1573300;TraesCS4A03G0505200;TraesCS3A03G1186400;TraesCS6D03G0852700;TraesCS1B03G1204400;TraesCS3A03G0888300;TraesCS5A03G1093700;TraesCS6D03G0512100;TraesCS2A03G0186800;TraesCS1A03G1021900;TraesCS7B03G0081400;TraesCS5B03G1299700;TraesCS4B03G0549800;TraesCS3D03G1166000;TraesCS6D03G0320500;TraesCS1D03G0390800;TraesCS3B03G0167200;TraesCS4A03G1214600;TraesCS3B03G0922000;TraesCS2B03G0075800;TraesCS3B03G0793900;TraesCS3D03G0141200;TraesCS3A03G0099200;TraesCS7A03G0227300;TraesCS7B03G1255800</t>
  </si>
  <si>
    <t>50 (0.95%)</t>
  </si>
  <si>
    <t>3 (8.57%)</t>
  </si>
  <si>
    <t>TraesCS3D03G0745500;TraesCS3B03G0782700;TraesCS3B03G0921800;TraesCS4A03G0337400;TraesCS4B03G0212900;TraesCS2B03G0583000;TraesCS4A03G0988800;TraesCS3A03G0209700;TraesCS4A03G0294900;TraesCS6D03G0064800;TraesCS4A03G0850500;TraesCS4D03G0516300;TraesCS1D03G0128200;TraesCS1D03G0782900;TraesCS7A03G1389600;TraesCS3B03G0253000;TraesCS3B03G0127400;TraesCS4D03G0424700;TraesCS1D03G0981600;TraesCS2B03G1512400;TraesCS5D03G1158700;TraesCS3A03G1233800;TraesCS6B03G0236300;TraesCS5B03G1298600;TraesCS2B03G1112500;TraesCS2B03G1223600;TraesCS2B03G1573300;TraesCS7B03G0170600;TraesCS4A03G0505200;TraesCS3A03G1186400;TraesCS6D03G0852700;TraesCS1B03G1204400;TraesCS3A03G0888300;TraesCS5A03G1093700;TraesCS6D03G0512100;TraesCS2A03G0186800;TraesCS1A03G1021900;TraesCS7B03G0081400;TraesCS5B03G1299700;TraesCS4B03G0549800;TraesCS3D03G1166000;TraesCS6D03G0320500;TraesCS1D03G0390800;TraesCS3B03G0167200;TraesCS4A03G1214600;TraesCS3B03G0922000;TraesCS2B03G0075800;TraesCS3B03G0793900;TraesCS3D03G0141200;TraesCS5B03G0253800;TraesCS3A03G0099200;TraesCS7A03G0227300;TraesCS7B03G1255800</t>
  </si>
  <si>
    <t>53 (0.95%)</t>
  </si>
  <si>
    <t>TraesCS4B03G0172500;TraesCS4A03G0630200</t>
  </si>
  <si>
    <t>2 (28.57%)</t>
  </si>
  <si>
    <t>TraesCS6B03G0482100;TraesCS3D03G0745500;TraesCS2D03G0467800;TraesCS7B03G0170600;TraesCS5A03G1203000;TraesCS2A03G0930300;TraesCS5D03G0436800;TraesCS7B03G0626800;TraesCS2B03G0051000;TraesCS2D03G0034000;TraesCS3A03G0721100;TraesCS6A03G0903100;TraesCS6A03G0366200;TraesCS3D03G0582800;TraesCS3D03G0744600;TraesCS2B03G0581400;TraesCS2A03G0461100;TraesCS6D03G0127800;TraesCS5D03G1087800;TraesCS6A03G0136500;TraesCS6B03G0458800;TraesCS7A03G0225700;TraesCS1B03G0089300;TraesCS5B03G0785800;TraesCS2A03G0300400;TraesCS2A03G0034600;TraesCS3D03G0665100;TraesCS5B03G0253800;TraesCS2A03G0365400;TraesCS5A03G0931200;TraesCS6A03G0401800</t>
  </si>
  <si>
    <t>31 (1.15%)</t>
  </si>
  <si>
    <t>TraesCS7D03G0790500;TraesCS5B03G0639600;TraesCS5A03G0516300;TraesCS7A03G0847100;TraesCS3A03G0603100;TraesCS5B03G0679600;TraesCS6B03G0469400;TraesCS5D03G1106200;TraesCS6D03G0508700;TraesCS2A03G0873900;TraesCS5B03G0524300;TraesCS6A03G0389800;TraesCS6D03G0338000</t>
  </si>
  <si>
    <t>13 (1.78%)</t>
  </si>
  <si>
    <t>4 (6.78%)</t>
  </si>
  <si>
    <t>3 (12%)</t>
  </si>
  <si>
    <t>TraesCS2D03G0467800;TraesCS5A03G1203000;TraesCS2A03G0034600;TraesCS2B03G0581400;TraesCS2B03G0051000;TraesCS2D03G0034000;TraesCS2A03G0461100</t>
  </si>
  <si>
    <t>7 (3.2%)</t>
  </si>
  <si>
    <t>3 (13.64%)</t>
  </si>
  <si>
    <t>2 (50%)</t>
  </si>
  <si>
    <t>2 (66.67%)</t>
  </si>
  <si>
    <t>4 (13.33%)</t>
  </si>
  <si>
    <t>4 (18.18%)</t>
  </si>
  <si>
    <t>4 (23.53%)</t>
  </si>
  <si>
    <t>TraesCS6A03G0861500;TraesCS6B03G1030800</t>
  </si>
  <si>
    <t>2 (11.76%)</t>
  </si>
  <si>
    <t>TraesCS3B03G1077200;TraesCS3A03G0787100;TraesCS3A03G0944500;TraesCS3D03G0877600;TraesCS3B03G0906100</t>
  </si>
  <si>
    <t>TraesCS3D03G0578500;TraesCS3B03G0708400;TraesCS3A03G0631500</t>
  </si>
  <si>
    <t>3 (7.69%)</t>
  </si>
  <si>
    <t>TraesCS4D03G0590400;TraesCS2D03G1332400;TraesCS4A03G0114600</t>
  </si>
  <si>
    <t>3 (7.89%)</t>
  </si>
  <si>
    <t>TraesCS2D03G0421300;TraesCS7D03G0183900;TraesCS3B03G0860600</t>
  </si>
  <si>
    <t>TraesCS2A03G0723800;TraesCS1B03G0348200;TraesCS2A03G0415000;TraesCS2D03G0432100;TraesCS1D03G0703400;TraesCS5A03G0919100;TraesCS1A03G0268100;TraesCS2D03G0667000;TraesCS2D03G1332400;TraesCS7A03G1017300;TraesCS2A03G1176600;TraesCS4B03G0689300;TraesCS2B03G0699900;TraesCS3A03G1035900;TraesCS4A03G0753300;TraesCS2A03G0606900;TraesCS6D03G0656800;TraesCS7B03G0858100;TraesCS3B03G1191300;TraesCS2B03G0799700;TraesCS6A03G0775300;TraesCS3B03G0398000;TraesCS2B03G1338500</t>
  </si>
  <si>
    <t>23 (3.09%)</t>
  </si>
  <si>
    <t>TraesCS5A03G0576900;TraesCS5D03G0541400</t>
  </si>
  <si>
    <t>TraesCS3B03G1527500</t>
  </si>
  <si>
    <t>TraesCS7D03G0753800;TraesCS3B03G0904700</t>
  </si>
  <si>
    <t>TraesCS2D03G1332400</t>
  </si>
  <si>
    <t>TraesCS6B03G0427800;TraesCS2D03G1258600;TraesCS2D03G1033400;TraesCS3B03G1383600</t>
  </si>
  <si>
    <t>4 (6.67%)</t>
  </si>
  <si>
    <t>TraesCS2B03G0452300</t>
  </si>
  <si>
    <t>TraesCS2D03G0849600;TraesCS2B03G0999600;TraesCS2A03G0909900</t>
  </si>
  <si>
    <t>TraesCS2B03G0452300;TraesCS3B03G1362600;TraesCS2A03G0334100</t>
  </si>
  <si>
    <t>TraesCS1B03G0457500;TraesCS1B03G0108400;TraesCS3D03G0336300;TraesCS6B03G0928600;TraesCS2A03G0955200;TraesCS2D03G0459600;TraesCS7B03G1143000;TraesCS1D03G0244700;TraesCS6A03G0782800;TraesCS1B03G0334900;TraesCS5B03G1093500;TraesCS2B03G0540200;TraesCS1B03G0644100;TraesCS7A03G1243400;TraesCS6B03G0798100;TraesCS2D03G0897400;TraesCS5B03G1146900;TraesCS7D03G0143500;TraesCS5D03G0983900</t>
  </si>
  <si>
    <t>19 (3.3%)</t>
  </si>
  <si>
    <t>TraesCS1B03G0108400;TraesCS2D03G0459600;TraesCS1A03G0753800;TraesCS1D03G0244700;TraesCS1B03G0334900;TraesCS2B03G0540200;TraesCS5B03G1146900;TraesCS7D03G0143500;TraesCS1B03G0644100</t>
  </si>
  <si>
    <t>9 (4.15%)</t>
  </si>
  <si>
    <t>TraesCS4D03G0590400;TraesCS4D03G0594600;TraesCS4D03G0080500;TraesCS2D03G0849600;TraesCS7A03G0826200;TraesCS1D03G0710700;TraesCS4B03G0097200;TraesCS2D03G1332400;TraesCS3A03G0649300;TraesCS7A03G0599900;TraesCS1A03G0530700;TraesCS3B03G0052700;TraesCS1B03G0777100;TraesCS2A03G0468100;TraesCS5B03G1054800;TraesCS7B03G0399300;TraesCS3A03G0635900;TraesCS6A03G0578400;TraesCS2D03G1258500;TraesCS5A03G1008800;TraesCS7D03G0100600;TraesCS3D03G0104200;TraesCS2B03G0590200;TraesCS7D03G0811200;TraesCS3D03G0685500;TraesCS2A03G0909900;TraesCS5B03G0260600;TraesCS3B03G0645900;TraesCS1D03G0703400;TraesCS2A03G0761200;TraesCS4A03G0114600;TraesCS2B03G0999600;TraesCS4B03G0671300;TraesCS4B03G0810700;TraesCS4A03G0697700;TraesCS3D03G0594300;TraesCS5D03G1051700;TraesCS6D03G0599400;TraesCS3B03G0744100;TraesCS1B03G0620900;TraesCS3B03G0398000</t>
  </si>
  <si>
    <t>41 (2.83%)</t>
  </si>
  <si>
    <t>TraesCS2A03G0801300;TraesCS2A03G0416100;TraesCS1A03G0301300;TraesCS7A03G0380000;TraesCS3D03G0225500;TraesCS6B03G1030800;TraesCS3B03G0796100;TraesCS4A03G0238700;TraesCS3A03G0309300;TraesCS3A03G0234800;TraesCS6A03G0861500;TraesCS2B03G0887400;TraesCS3B03G0374100;TraesCS2D03G0741000</t>
  </si>
  <si>
    <t>14 (3.55%)</t>
  </si>
  <si>
    <t>TraesCS2A03G0723800;TraesCS1B03G0348200;TraesCS2A03G0415000;TraesCS2D03G0432100;TraesCS1D03G0703400;TraesCS5A03G0919100;TraesCS1A03G0268100;TraesCS2D03G0667000;TraesCS7A03G1017300;TraesCS2A03G1176600;TraesCS4B03G0689300;TraesCS2B03G0699900;TraesCS3A03G1035900;TraesCS2A03G0606900;TraesCS6D03G0656800;TraesCS7B03G0858100;TraesCS3B03G1191300;TraesCS2B03G0799700;TraesCS6A03G0775300;TraesCS2B03G1338500</t>
  </si>
  <si>
    <t>20 (3.26%)</t>
  </si>
  <si>
    <t>TraesCS4D03G0594600;TraesCS4D03G0080500;TraesCS2D03G0849600;TraesCS7A03G0826200;TraesCS1D03G0710700;TraesCS4B03G0097200;TraesCS3A03G0649300;TraesCS7A03G0599900;TraesCS3B03G0052700;TraesCS1D03G0001500;TraesCS2A03G0468100;TraesCS3A03G0089200;TraesCS5B03G1054800;TraesCS7B03G0399300;TraesCS3A03G0635900;TraesCS1B03G0853300;TraesCS2D03G1258500;TraesCS5A03G1008800;TraesCS7D03G0100600;TraesCS1B03G0155900;TraesCS2B03G0590200;TraesCS7D03G0811200;TraesCS3D03G0685500;TraesCS2A03G0909900;TraesCS3D03G0066700;TraesCS5B03G0260600;TraesCS1A03G0005200;TraesCS4D03G0436300;TraesCS2B03G0999600;TraesCS4B03G0671300;TraesCS6A03G0824800;TraesCS4B03G0810700;TraesCS4A03G0697700;TraesCS4B03G0097800;TraesCS3D03G0594300;TraesCS5D03G1051700;TraesCS1A03G0117100;TraesCS6D03G0599400;TraesCS2D03G1066000;TraesCS3B03G0744100;TraesCS1B03G0003300</t>
  </si>
  <si>
    <t>41 (2.79%)</t>
  </si>
  <si>
    <t>2 (16.67%)</t>
  </si>
  <si>
    <t>TraesCS4D03G0488700;TraesCS4A03G0218300;TraesCS4B03G0554300</t>
  </si>
  <si>
    <t>3 (9.68%)</t>
  </si>
  <si>
    <t>TraesCS4A03G0573600;TraesCS3A03G0234800;TraesCS4B03G0228300;TraesCS4D03G0190300;TraesCS3D03G0225500</t>
  </si>
  <si>
    <t>5 (6.1%)</t>
  </si>
  <si>
    <t>TraesCS2B03G1042000;TraesCS5D03G0566700;TraesCS3A03G0787100;TraesCS7B03G0745400;TraesCS4D03G0488700;TraesCS6A03G0350400;TraesCS2A03G0941300;TraesCS6D03G0101500;TraesCS5A03G0601000;TraesCS3B03G0906100;TraesCS4A03G0218300;TraesCS4B03G0554300</t>
  </si>
  <si>
    <t>12 (3.85%)</t>
  </si>
  <si>
    <t>3 (8.82%)</t>
  </si>
  <si>
    <t>TraesCS2B03G0699900;TraesCS2B03G1042000;TraesCS2A03G0606900;TraesCS6A03G0861500;TraesCS2A03G0941300;TraesCS6B03G1030800</t>
  </si>
  <si>
    <t>6 (5.36%)</t>
  </si>
  <si>
    <t>TraesCS2A03G0415000;TraesCS2D03G0432100</t>
  </si>
  <si>
    <t>3 (9.09%)</t>
  </si>
  <si>
    <t>TraesCS4A03G0573600;TraesCS4B03G0228300;TraesCS4D03G0190300;TraesCS1D03G1014400</t>
  </si>
  <si>
    <t>4 (6.9%)</t>
  </si>
  <si>
    <t>TraesCS1B03G0708800;TraesCS5D03G0953200;TraesCS3B03G0207200;TraesCS4D03G0488700;TraesCS6A03G0350400;TraesCS6D03G0101500;TraesCS6B03G1030800;TraesCS3B03G0906100;TraesCS2B03G0699900;TraesCS2B03G1042000;TraesCS3A03G0787100;TraesCS2A03G0606900;TraesCS6A03G0578400;TraesCS7B03G0858100;TraesCS6A03G0861500;TraesCS2A03G0941300;TraesCS4A03G0218300;TraesCS4B03G0554300</t>
  </si>
  <si>
    <t>18 (3.47%)</t>
  </si>
  <si>
    <t>TraesCS6A03G0149700</t>
  </si>
  <si>
    <t>TraesCS6A03G0861500;TraesCS6B03G1030800;TraesCS5D03G0913400</t>
  </si>
  <si>
    <t>3 (11.54%)</t>
  </si>
  <si>
    <t>3 (10%)</t>
  </si>
  <si>
    <t>TraesCS3B03G0398000</t>
  </si>
  <si>
    <t>TraesCS3B03G1077200;TraesCS3A03G0944500;TraesCS3D03G0877600</t>
  </si>
  <si>
    <t>TraesCS3A03G0787100;TraesCS3B03G0906100</t>
  </si>
  <si>
    <t>2 (18.18%)</t>
  </si>
  <si>
    <t>TraesCS3A03G0787100;TraesCS6A03G0861500;TraesCS6A03G0350400;TraesCS6B03G1030800;TraesCS3B03G0906100</t>
  </si>
  <si>
    <t>5 (6.94%)</t>
  </si>
  <si>
    <t>TraesCS2D03G1324000</t>
  </si>
  <si>
    <t>TraesCS2D03G0662000;TraesCS3A03G0787100;TraesCS6A03G0861500;TraesCS4D03G0488700;TraesCS6A03G0350400;TraesCS5A03G0691700;TraesCS6B03G1030800;TraesCS5D03G0913400;TraesCS3B03G0906100;TraesCS4A03G0218300;TraesCS4B03G0554300</t>
  </si>
  <si>
    <t>11 (4.51%)</t>
  </si>
  <si>
    <t>TraesCS2B03G1042000;TraesCS3A03G0787100;TraesCS4D03G0488700;TraesCS6A03G0350400;TraesCS2A03G0941300;TraesCS3B03G0906100;TraesCS4A03G0218300;TraesCS4B03G0554300</t>
  </si>
  <si>
    <t>8 (4.97%)</t>
  </si>
  <si>
    <t>6 (6.06%)</t>
  </si>
  <si>
    <t>TraesCS2B03G0504800;TraesCS2A03G0379000</t>
  </si>
  <si>
    <t>TraesCS3A03G0787100;TraesCS4A03G0573600;TraesCS4B03G0228300;TraesCS4D03G0190300;TraesCS2A03G0077000;TraesCS3B03G0906100</t>
  </si>
  <si>
    <t>6 (5.83%)</t>
  </si>
  <si>
    <t>TraesCS1D03G1014400</t>
  </si>
  <si>
    <t>TraesCS1B03G0708800</t>
  </si>
  <si>
    <t>TraesCS1B03G0108400;TraesCS2D03G0459600;TraesCS1B03G0334900;TraesCS2B03G0540200;TraesCS5B03G1146900</t>
  </si>
  <si>
    <t>5 (7.04%)</t>
  </si>
  <si>
    <t>TraesCS1B03G0108400;TraesCS2D03G0459600;TraesCS2D03G0057400;TraesCS4D03G0488700;TraesCS1B03G0334900;TraesCS2B03G0540200;TraesCS5B03G1146900;TraesCS4A03G0218300;TraesCS4B03G0554300</t>
  </si>
  <si>
    <t>9 (4.62%)</t>
  </si>
  <si>
    <t>TraesCS1B03G0108400;TraesCS2D03G0459600;TraesCS7A03G1243400;TraesCS7B03G1143000;TraesCS1D03G0244700;TraesCS1B03G0334900;TraesCS5B03G1093500;TraesCS2B03G0540200;TraesCS5B03G1146900;TraesCS5D03G0983900</t>
  </si>
  <si>
    <t>10 (4.67%)</t>
  </si>
  <si>
    <t>TraesCS2D03G0991800;TraesCS2D03G0421300;TraesCS3A03G0453400;TraesCS4A03G0462400;TraesCS7D03G0183900;TraesCS3B03G0860600;TraesCS1B03G0008600</t>
  </si>
  <si>
    <t>7 (5.56%)</t>
  </si>
  <si>
    <t>TraesCS4A03G0697700;TraesCS4D03G0080500;TraesCS3D03G0104200;TraesCS1B03G0620900;TraesCS1A03G0530700;TraesCS1B03G0777100</t>
  </si>
  <si>
    <t>6 (6.32%)</t>
  </si>
  <si>
    <t>TraesCS4D03G0024100;TraesCS4D03G0024200;TraesCS2A03G0416100;TraesCS6D03G0101500;TraesCS3D03G0225500;TraesCS6B03G1030800;TraesCS5A03G1074600;TraesCS4A03G0751100;TraesCS3A03G0830700;TraesCS4A03G0751400;TraesCS5B03G1137700;TraesCS6A03G0861500;TraesCS2B03G0887400;TraesCS3D03G0761900;TraesCS3B03G0374100;TraesCS2D03G0741000;TraesCS3B03G0951200;TraesCS2A03G0801300;TraesCS3B03G0207200;TraesCS1A03G0301300;TraesCS6A03G0350400;TraesCS7A03G0380000;TraesCS3B03G0796100;TraesCS5D03G0913400;TraesCS6D03G0290200;TraesCS3B03G0906100;TraesCS3A03G0787100;TraesCS4A03G0238700;TraesCS3A03G0309300;TraesCS3A03G0234800;TraesCS2B03G1145100;TraesCS7B03G0996700</t>
  </si>
  <si>
    <t>32 (3.13%)</t>
  </si>
  <si>
    <t>TraesCS2A03G0723800;TraesCS1B03G0348200;TraesCS2A03G0415000;TraesCS2D03G0432100;TraesCS1D03G0703400;TraesCS5A03G0919100;TraesCS1A03G0268100;TraesCS2D03G0667000;TraesCS7A03G1017300;TraesCS2A03G1176600;TraesCS4B03G0689300;TraesCS2B03G0699900;TraesCS3A03G1035900;TraesCS4A03G0753300;TraesCS2A03G0606900;TraesCS6D03G0656800;TraesCS7B03G0858100;TraesCS3B03G1191300;TraesCS2B03G0799700;TraesCS6A03G0775300;TraesCS3B03G0398000;TraesCS2B03G1338500</t>
  </si>
  <si>
    <t>22 (3.42%)</t>
  </si>
  <si>
    <t>TraesCS1B03G0348200;TraesCS1A03G0268100</t>
  </si>
  <si>
    <t>TraesCS4D03G0590400;TraesCS4D03G0594600;TraesCS2D03G0849600;TraesCS1D03G0710700;TraesCS3A03G0649300;TraesCS7A03G0599900;TraesCS1A03G0530700;TraesCS1D03G0001500;TraesCS1B03G0777100;TraesCS2A03G0468100;TraesCS3A03G0089200;TraesCS5B03G1054800;TraesCS7B03G0399300;TraesCS3A03G0635900;TraesCS1B03G0853300;TraesCS3D03G0104200;TraesCS1B03G0155900;TraesCS2B03G0590200;TraesCS7D03G0811200;TraesCS3D03G0685500;TraesCS1A03G0005200;TraesCS4B03G0671300;TraesCS4B03G0810700;TraesCS5D03G1051700;TraesCS1A03G0117100;TraesCS6D03G0599400;TraesCS2D03G1066000;TraesCS3B03G0398000;TraesCS4D03G0080500;TraesCS7A03G0826200;TraesCS4B03G0097200;TraesCS2D03G1332400;TraesCS3B03G0052700;TraesCS2D03G1258500;TraesCS5A03G1008800;TraesCS7D03G0100600;TraesCS2A03G0909900;TraesCS3D03G0066700;TraesCS5B03G0260600;TraesCS3B03G0645900;TraesCS4D03G0436300;TraesCS2A03G0761200;TraesCS1D03G0300400;TraesCS4A03G0114600;TraesCS2B03G0999600;TraesCS6A03G0824800;TraesCS4A03G0697700;TraesCS4B03G0097800;TraesCS3D03G0594300;TraesCS3B03G0744100;TraesCS1B03G0620900;TraesCS1B03G0003300</t>
  </si>
  <si>
    <t>52 (2.83%)</t>
  </si>
  <si>
    <t>TraesCS6D03G0607800;TraesCS6A03G0725000;TraesCS6B03G0858400</t>
  </si>
  <si>
    <t>TraesCS4D03G0488700;TraesCS3A03G0894700;TraesCS4A03G0218300;TraesCS4B03G0554300</t>
  </si>
  <si>
    <t>TraesCS4A03G0573600;TraesCS3A03G0234800;TraesCS4D03G0488700;TraesCS4B03G0228300;TraesCS4D03G0190300;TraesCS3D03G0225500;TraesCS4A03G0218300;TraesCS4B03G0554300</t>
  </si>
  <si>
    <t>8 (5.52%)</t>
  </si>
  <si>
    <t>TraesCS2B03G0699900;TraesCS2A03G0606900</t>
  </si>
  <si>
    <t>TraesCS1B03G0457500;TraesCS3D03G0336300;TraesCS6B03G0928600;TraesCS6A03G0782800;TraesCS6B03G0798100</t>
  </si>
  <si>
    <t>5 (7.58%)</t>
  </si>
  <si>
    <t>TraesCS1B03G0108400;TraesCS2D03G0459600;TraesCS1D03G0244700;TraesCS1B03G0334900;TraesCS2B03G0540200;TraesCS5B03G1146900;TraesCS7D03G0143500;TraesCS1B03G0644100</t>
  </si>
  <si>
    <t>8 (5.44%)</t>
  </si>
  <si>
    <t>TraesCS4B03G0626300;TraesCS3B03G0052700;TraesCS5A03G0516700;TraesCS1B03G0852700;TraesCS6B03G0808400;TraesCS7B03G0277000;TraesCS1D03G0715700;TraesCS5B03G0524900;TraesCS6D03G0848100;TraesCS1A03G0747900;TraesCS7A03G0889900;TraesCS7A03G0289800;TraesCS7A03G0201200;TraesCS3A03G0222600;TraesCS5B03G0566500;TraesCS5D03G0481900;TraesCS4A03G0953200;TraesCS4A03G0953600;TraesCS2D03G1180100;TraesCS7D03G0450700;TraesCS7A03G0454100;TraesCS7B03G0725000;TraesCS5B03G0756900;TraesCS6A03G0816500;TraesCS7D03G0181500</t>
  </si>
  <si>
    <t>25 (3.46%)</t>
  </si>
  <si>
    <t>TraesCS3A03G0787100;TraesCS1A03G0526300;TraesCS1A03G0655800;TraesCS1D03G0507600;TraesCS3B03G0906100</t>
  </si>
  <si>
    <t>5 (7.35%)</t>
  </si>
  <si>
    <t>TraesCS6A03G0005200;TraesCS2B03G0820700;TraesCS2D03G1127500;TraesCS2A03G1175800;TraesCS3A03G0160300;TraesCS6B03G1030800;TraesCS3B03G0201700;TraesCS4A03G0874000;TraesCS5A03G0388500;TraesCS5B03G1264800;TraesCS1D03G0507600;TraesCS4B03G0129600;TraesCS4A03G0669100;TraesCS6A03G0861500;TraesCS2A03G1242300;TraesCS2B03G0887400;TraesCS5D03G0376900;TraesCS2D03G0095200;TraesCS2D03G0741000;TraesCS1A03G0655800;TraesCS3D03G0142600;TraesCS4A03G0218300;TraesCS2A03G0801300;TraesCS7B03G0960400;TraesCS1B03G0755500;TraesCS4D03G0488700;TraesCS3D03G0717600;TraesCS1D03G0782600;TraesCS2A03G1137500;TraesCS2B03G0753800;TraesCS5D03G1133900;TraesCS1D03G0626000;TraesCS1A03G0526300;TraesCS1A03G0872400;TraesCS1D03G0846000;TraesCS7D03G1058600;TraesCS4B03G0554300</t>
  </si>
  <si>
    <t>37 (3.14%)</t>
  </si>
  <si>
    <t>TraesCS3A03G0830700;TraesCS3D03G0761900;TraesCS6A03G0350400;TraesCS3B03G0951200</t>
  </si>
  <si>
    <t>4 (10%)</t>
  </si>
  <si>
    <t>TraesCS7A03G0425500;TraesCS7B03G0802400;TraesCS2A03G0416100;TraesCS3B03G0858000;TraesCS5D03G0541100;TraesCS3D03G0225500;TraesCS6B03G1030800;TraesCS2D03G0991800;TraesCS2B03G0699900;TraesCS6A03G0861500;TraesCS2B03G0887400;TraesCS3B03G0374100;TraesCS2D03G0741000;TraesCS1B03G0008600;TraesCS4A03G0218300;TraesCS2A03G0801300;TraesCS4A03G0573600;TraesCS1D03G0405400;TraesCS1A03G0301300;TraesCS3A03G0453400;TraesCS4A03G0462400;TraesCS4B03G0228300;TraesCS7A03G0380000;TraesCS3D03G0691300;TraesCS3B03G0796100;TraesCS2A03G0220000;TraesCS4A03G0238700;TraesCS3A03G0309300;TraesCS5A03G0576700;TraesCS2A03G0606900;TraesCS2D03G0421300;TraesCS3A03G0234800;TraesCS2D03G0583400;TraesCS3A03G0230900;TraesCS1A03G0429400;TraesCS4D03G0190300;TraesCS7D03G0183900;TraesCS3B03G0860600;TraesCS3B03G0287300;TraesCS4B03G0554300</t>
  </si>
  <si>
    <t>40 (3.13%)</t>
  </si>
  <si>
    <t>TraesCS3A03G0830700;TraesCS3D03G0761900;TraesCS3A03G0894700;TraesCS3B03G0951200</t>
  </si>
  <si>
    <t>4 (10.26%)</t>
  </si>
  <si>
    <t>TraesCS2B03G0452300;TraesCS2A03G0334100</t>
  </si>
  <si>
    <t>TraesCS1B03G0108400;TraesCS2D03G0459600;TraesCS1D03G0244700;TraesCS1B03G0334900;TraesCS2B03G0540200;TraesCS5B03G1146900</t>
  </si>
  <si>
    <t>6 (7.32%)</t>
  </si>
  <si>
    <t>TraesCS2A03G0801300;TraesCS3A03G0309300;TraesCS2B03G0887400;TraesCS3B03G0374100;TraesCS2D03G0741000</t>
  </si>
  <si>
    <t>5 (8.62%)</t>
  </si>
  <si>
    <t>TraesCS2A03G0801300;TraesCS4A03G0573600;TraesCS7B03G0802400;TraesCS2A03G0416100;TraesCS3B03G0858000;TraesCS1A03G0301300;TraesCS4B03G0228300;TraesCS7A03G0380000;TraesCS6D03G0101500;TraesCS3D03G0691300;TraesCS3D03G0225500;TraesCS6B03G1030800;TraesCS3B03G0796100;TraesCS4A03G0238700;TraesCS3A03G0309300;TraesCS3A03G0234800;TraesCS6A03G0861500;TraesCS2B03G0887400;TraesCS3A03G0230900;TraesCS4D03G0190300;TraesCS3B03G0374100;TraesCS2D03G0741000;TraesCS2D03G0228400;TraesCS3B03G0287300</t>
  </si>
  <si>
    <t>24 (3.66%)</t>
  </si>
  <si>
    <t>TraesCS2A03G0723800;TraesCS2B03G0699900;TraesCS3A03G1035900;TraesCS2A03G0606900;TraesCS6D03G0656800;TraesCS2D03G0667000;TraesCS3B03G1191300;TraesCS2B03G0799700;TraesCS6A03G0775300</t>
  </si>
  <si>
    <t>9 (5.62%)</t>
  </si>
  <si>
    <t>TraesCS4A03G0697700;TraesCS4B03G0097800;TraesCS4D03G0080500</t>
  </si>
  <si>
    <t>TraesCS3A03G0830700;TraesCS3D03G0761900;TraesCS3B03G0951200</t>
  </si>
  <si>
    <t>TraesCS2B03G1042000;TraesCS3A03G0787100;TraesCS3D03G0336300;TraesCS6A03G0861500;TraesCS4D03G0488700;TraesCS6A03G0350400;TraesCS2A03G0941300;TraesCS6B03G1030800;TraesCS4A03G0254600;TraesCS3B03G0906100;TraesCS4A03G0218300;TraesCS4B03G0554300</t>
  </si>
  <si>
    <t>12 (4.82%)</t>
  </si>
  <si>
    <t>6 (7.5%)</t>
  </si>
  <si>
    <t>TraesCS1A03G0526300;TraesCS6A03G0861500;TraesCS4D03G0488700;TraesCS2B03G0820700;TraesCS6B03G1030800;TraesCS1A03G0655800;TraesCS1D03G0507600;TraesCS4A03G0218300;TraesCS4B03G0554300</t>
  </si>
  <si>
    <t>9 (5.66%)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</si>
  <si>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2D03G0215300;TraesCS1D03G0747700;TraesCS1B03G0763900;TraesCS1D03G0711800;TraesCS6B03G1161800;TraesCS7A03G0422700;TraesCS4B03G0261400;TraesCS3A03G0787100;TraesCS1B03G0848500;TraesCS1A03G0172500;TraesCS1D03G0718600;TraesCS2D03G0960200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5A03G0691700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</si>
  <si>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131 (2.61%)</t>
  </si>
  <si>
    <t>TraesCS2B03G1042000;TraesCS2A03G0941300</t>
  </si>
  <si>
    <t>TraesCS1A03G0526300;TraesCS1D03G0507600</t>
  </si>
  <si>
    <t>9 (5.84%)</t>
  </si>
  <si>
    <t>TraesCS3A03G0234800;TraesCS6A03G0861500;TraesCS3D03G0225500;TraesCS6B03G1030800</t>
  </si>
  <si>
    <t>25 (3.7%)</t>
  </si>
  <si>
    <t>TraesCS6A03G0216900;TraesCS1D03G0873700;TraesCS6A03G0215300;TraesCS6B03G0306000;TraesCS1B03G1053200;TraesCS6A03G0217000;TraesCS6A03G0217100</t>
  </si>
  <si>
    <t>TraesCS7A03G1278400;TraesCS3D03G0361800;TraesCS5B03G1052000;TraesCS5D03G0952300;TraesCS3D03G0150100;TraesCS6A03G0133300;TraesCS1D03G0486100;TraesCS1B03G0574000;TraesCS1A03G0502000;TraesCS1D03G0486500;TraesCS5A03G1005400;TraesCS3D03G1068100;TraesCS3D03G0946800;TraesCS5D03G0966800;TraesCS3B03G1345200;TraesCS1A03G0502800;TraesCS7D03G0180100;TraesCS4A03G0866100;TraesCS5A03G0398600</t>
  </si>
  <si>
    <t>19 (4.09%)</t>
  </si>
  <si>
    <t>TraesCS3D03G0066700;TraesCS4D03G0080500;TraesCS1A03G0005200;TraesCS4D03G0436300;TraesCS1D03G0001500;TraesCS6A03G0824800;TraesCS3A03G0089200;TraesCS4A03G0697700;TraesCS4B03G0097800;TraesCS1B03G0853300;TraesCS1A03G0117100;TraesCS2D03G1066000;TraesCS1B03G0155900;TraesCS1B03G0003300</t>
  </si>
  <si>
    <t>14 (4.67%)</t>
  </si>
  <si>
    <t>4 (12.12%)</t>
  </si>
  <si>
    <t>TraesCS4A03G0697700;TraesCS4D03G0080500;TraesCS1A03G0005200;TraesCS4D03G0436300;TraesCS1D03G0001500;TraesCS1B03G0003300</t>
  </si>
  <si>
    <t>6 (8.22%)</t>
  </si>
  <si>
    <t>TraesCS6A03G0951400;TraesCS5A03G0669400;TraesCS5B03G0393900;TraesCS1A03G0696200;TraesCS4D03G0435100;TraesCS6B03G0931400;TraesCS3B03G0484700;TraesCS4B03G0489100;TraesCS4B03G0712900;TraesCS6B03G0822000;TraesCS1D03G0507600;TraesCS2A03G1019200;TraesCS3A03G0830700;TraesCS3D03G0761900;TraesCS4A03G0078800;TraesCS2A03G0999000;TraesCS3A03G0822800;TraesCS4A03G0124800;TraesCS1D03G0166900;TraesCS3A03G0392300;TraesCS6A03G0784300;TraesCS5D03G0873200;TraesCS2D03G0353500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D03G0663800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2B03G1116700;TraesCS1B03G1184600;TraesCS1D03G0851300;TraesCS2A03G1004300;TraesCS7D03G0410800;TraesCS1D03G0966000;TraesCS5D03G0541500;TraesCS4D03G0448900;TraesCS1B03G0795600;TraesCS1B03G0793700;TraesCS2B03G1484800;TraesCS2B03G0296800;TraesCS6A03G0129300;TraesCS2B03G1484400;TraesCS3D03G0756000;TraesCS7B03G1124700;TraesCS1B03G1020500;TraesCS3B03G1013100;TraesCS2A03G0209100;TraesCS2D03G0215300;TraesCS1D03G0747700;TraesCS1B03G0763900;TraesCS1D03G0711800;TraesCS6B03G1161800;TraesCS7A03G0422700;TraesCS4B03G0261400;TraesCS3A03G0787100;TraesCS1B03G0848500;TraesCS1A03G0172500;TraesCS1A03G0526300;TraesCS1D03G0718600;TraesCS2D03G0960200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5A03G0691700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</si>
  <si>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139 (2.63%)</t>
  </si>
  <si>
    <t>14 (4.81%)</t>
  </si>
  <si>
    <t>TraesCS1B03G0457500;TraesCS6B03G0928600;TraesCS6A03G0782800</t>
  </si>
  <si>
    <t>TraesCS2A03G0416100;TraesCS3B03G0207200;TraesCS6A03G0350400;TraesCS6D03G0101500;TraesCS6B03G1030800;TraesCS3B03G0906100;TraesCS5A03G1074600;TraesCS3A03G0787100;TraesCS3A03G0830700;TraesCS4A03G0238700;TraesCS5B03G1137700;TraesCS6A03G0861500;TraesCS3D03G0761900;TraesCS3B03G0951200</t>
  </si>
  <si>
    <t>14 (4.93%)</t>
  </si>
  <si>
    <t>TraesCS1B03G0348200;TraesCS2A03G0415000;TraesCS2D03G0432100;TraesCS7B03G0858100;TraesCS5A03G0919100;TraesCS1A03G0268100;TraesCS7A03G1017300;TraesCS2A03G1176600;TraesCS2B03G1338500</t>
  </si>
  <si>
    <t>9 (6.43%)</t>
  </si>
  <si>
    <t>3 (21.43%)</t>
  </si>
  <si>
    <t>TraesCS2A03G0801300;TraesCS4A03G0238700;TraesCS3A03G0309300;TraesCS3A03G0234800;TraesCS2A03G0416100;TraesCS6A03G0861500;TraesCS2B03G0887400;TraesCS3B03G0374100;TraesCS3D03G0225500;TraesCS6B03G1030800;TraesCS2D03G0741000</t>
  </si>
  <si>
    <t>11 (5.73%)</t>
  </si>
  <si>
    <t>TraesCS4A03G0697700;TraesCS4D03G0080500</t>
  </si>
  <si>
    <t>TraesCS2A03G0955200;TraesCS2D03G0897400</t>
  </si>
  <si>
    <t>TraesCS7A03G1243400;TraesCS4D03G0488700;TraesCS7B03G1143000;TraesCS5B03G1093500;TraesCS4A03G0218300;TraesCS4B03G0554300;TraesCS5D03G0983900</t>
  </si>
  <si>
    <t>7 (8.14%)</t>
  </si>
  <si>
    <t>TraesCS7A03G1278400;TraesCS5B03G1052000;TraesCS5D03G0952300;TraesCS3D03G0150100;TraesCS6A03G0133300;TraesCS1D03G0486100;TraesCS1B03G0574000;TraesCS1A03G0502000;TraesCS1D03G0486500;TraesCS5A03G1005400;TraesCS3D03G1068100;TraesCS3D03G0946800;TraesCS5D03G0966800;TraesCS3B03G1345200;TraesCS1A03G0502800;TraesCS7D03G0180100;TraesCS4A03G0866100;TraesCS5A03G0398600</t>
  </si>
  <si>
    <t>18 (4.51%)</t>
  </si>
  <si>
    <t>TraesCS4A03G0573600;TraesCS4B03G0228300;TraesCS4D03G0190300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</si>
  <si>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4A03G0573600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4B03G0228300;TraesCS2D03G0215300;TraesCS1D03G0747700;TraesCS1B03G0763900;TraesCS1D03G0711800;TraesCS6B03G1161800;TraesCS7A03G0422700;TraesCS4B03G0261400;TraesCS3A03G0787100;TraesCS1B03G0848500;TraesCS1A03G0172500;TraesCS1D03G0718600;TraesCS2D03G0960200;TraesCS4D03G0190300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5A03G0691700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</si>
  <si>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134 (2.69%)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</si>
  <si>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4A03G0573600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3D03G0075200;TraesCS4A03G0067300;TraesCS3B03G0733200;TraesCS1A03G1004100;TraesCS1A03G0749200;TraesCS2B03G1138900;TraesCS3B03G0951200;TraesCS5B03G0589800;TraesCS4D03G0222900;TraesCS2D03G0219000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4B03G0228300;TraesCS2D03G0215300;TraesCS1D03G0747700;TraesCS1B03G0763900;TraesCS1D03G0711800;TraesCS6B03G1161800;TraesCS7A03G0422700;TraesCS4B03G0261400;TraesCS3A03G0787100;TraesCS1B03G0848500;TraesCS1A03G0172500;TraesCS1D03G0718600;TraesCS2D03G0960200;TraesCS4D03G0190300;TraesCS4A03G0278400;TraesCS1B03G1061300;TraesCS5B03G0490600;TraesCS1B03G0529400;TraesCS1D03G0966500;TraesCS3A03G0076900;TraesCS3A03G0886600;TraesCS7B03G0229800;TraesCS3B03G0103500;TraesCS2A03G0334500;TraesCS7B03G0980500;TraesCS2B03G0296700;TraesCS1A03G0743700;TraesCS3D03G0813500;TraesCS1D03G0290200;TraesCS2D03G0466300;TraesCS1A03G0749400;TraesCS5A03G0691700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</si>
  <si>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137 (2.69%)</t>
  </si>
  <si>
    <t>5 (11.63%)</t>
  </si>
  <si>
    <t>TraesCS3A03G0076900;TraesCS7B03G0745400;TraesCS3B03G0103500;TraesCS3D03G0877600;TraesCS6B03G1030800;TraesCS6B03G0822000;TraesCS1D03G0507600;TraesCS3B03G1077200;TraesCS3A03G0830700;TraesCS3D03G0075200;TraesCS6A03G0861500;TraesCS2B03G0887400;TraesCS3D03G0761900;TraesCS1D03G1014400;TraesCS2D03G0741000;TraesCS1A03G0655800;TraesCS3B03G0951200;TraesCS4A03G0218300;TraesCS2A03G0801300;TraesCS3A03G0944500;TraesCS4A03G0573600;TraesCS4A03G0195500;TraesCS4D03G0488700;TraesCS4B03G0228300;TraesCS4D03G0514500;TraesCS2D03G1276400;TraesCS1A03G0526300;TraesCS3A03G0894700;TraesCS4D03G0190300;TraesCS6A03G0149700;TraesCS4B03G0579600;TraesCS4B03G0554300</t>
  </si>
  <si>
    <t>32 (3.68%)</t>
  </si>
  <si>
    <t>TraesCS4A03G0573600;TraesCS4B03G0228300;TraesCS3A03G0894700;TraesCS4D03G0190300;TraesCS1D03G1014400;TraesCS1A03G0655800</t>
  </si>
  <si>
    <t>6 (9.68%)</t>
  </si>
  <si>
    <t>TraesCS6A03G0951400;TraesCS5A03G0669400;TraesCS5B03G0393900;TraesCS1A03G0696200;TraesCS4D03G0435100;TraesCS6B03G0931400;TraesCS3B03G0484700;TraesCS4B03G0489100;TraesCS4B03G0712900;TraesCS6B03G0822000;TraesCS1D03G0507600;TraesCS2A03G1019200;TraesCS3A03G0830700;TraesCS3D03G0761900;TraesCS4A03G0078800;TraesCS2A03G0999000;TraesCS3A03G0822800;TraesCS4A03G0124800;TraesCS1D03G0166900;TraesCS3A03G0392300;TraesCS6A03G0784300;TraesCS5D03G0873200;TraesCS2D03G0353500;TraesCS4A03G0573600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3D03G0075200;TraesCS4A03G0067300;TraesCS3B03G0733200;TraesCS1A03G1004100;TraesCS1D03G0663800;TraesCS1A03G0749200;TraesCS2B03G1138900;TraesCS3B03G0951200;TraesCS5B03G0589800;TraesCS4D03G0222900;TraesCS2D03G0219000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2B03G1116700;TraesCS1B03G1184600;TraesCS1D03G0851300;TraesCS2A03G1004300;TraesCS7D03G0410800;TraesCS1D03G0966000;TraesCS5D03G0541500;TraesCS4D03G0448900;TraesCS1B03G0795600;TraesCS1B03G0793700;TraesCS2B03G1484800;TraesCS2B03G0296800;TraesCS6A03G0129300;TraesCS2B03G1484400;TraesCS3D03G0756000;TraesCS7B03G1124700;TraesCS1B03G1020500;TraesCS3B03G1013100;TraesCS2A03G0209100;TraesCS4B03G0228300;TraesCS2D03G0215300;TraesCS1D03G0747700;TraesCS1B03G0763900;TraesCS1D03G0711800;TraesCS6B03G1161800;TraesCS7A03G0422700;TraesCS4B03G0261400;TraesCS3A03G0787100;TraesCS1B03G0848500;TraesCS1A03G0172500;TraesCS1A03G0526300;TraesCS1D03G0718600;TraesCS2D03G0960200;TraesCS4D03G0190300;TraesCS4A03G0278400;TraesCS1B03G1061300;TraesCS5B03G0490600;TraesCS1B03G0529400;TraesCS1D03G0966500;TraesCS3A03G0076900;TraesCS3A03G0886600;TraesCS7B03G0229800;TraesCS3B03G0103500;TraesCS2A03G0334500;TraesCS7B03G0980500;TraesCS2B03G0296700;TraesCS1A03G0743700;TraesCS3D03G0813500;TraesCS1D03G0290200;TraesCS2D03G0466300;TraesCS1A03G0749400;TraesCS5A03G0691700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</si>
  <si>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145 (2.67%)</t>
  </si>
  <si>
    <t>5 (11.9%)</t>
  </si>
  <si>
    <t>TraesCS7D03G1162900;TraesCS4B03G0756100;TraesCS7A03G0478300;TraesCS1A03G0888500;TraesCS7A03G1223700;TraesCS7D03G0753800;TraesCS7B03G0292300;TraesCS1A03G0753800;TraesCS3D03G0059700;TraesCS3B03G0904700;TraesCS1D03G0864400;TraesCS5D03G0859900;TraesCS7B03G1108300</t>
  </si>
  <si>
    <t>13 (5.44%)</t>
  </si>
  <si>
    <t>TraesCS3B03G1077200;TraesCS3A03G0944500;TraesCS4A03G0195500;TraesCS3D03G0877600;TraesCS4D03G0514500;TraesCS4B03G0579600</t>
  </si>
  <si>
    <t>6 (9.84%)</t>
  </si>
  <si>
    <t>TraesCS4A03G0573600;TraesCS4B03G0228300;TraesCS4D03G0190300;TraesCS7B03G0714200</t>
  </si>
  <si>
    <t>TraesCS4A03G0573600;TraesCS4D03G0488700;TraesCS4B03G0228300;TraesCS2B03G0820700;TraesCS3D03G0225500;TraesCS6B03G1030800;TraesCS1D03G0507600;TraesCS3A03G0234800;TraesCS1A03G0526300;TraesCS6A03G0861500;TraesCS4D03G0190300;TraesCS1A03G0655800;TraesCS4A03G0218300;TraesCS4B03G0554300</t>
  </si>
  <si>
    <t>14 (5.34%)</t>
  </si>
  <si>
    <t>TraesCS2A03G0801300;TraesCS6A03G0861500;TraesCS2B03G0887400;TraesCS6B03G1030800;TraesCS2D03G0741000</t>
  </si>
  <si>
    <t>5 (12.5%)</t>
  </si>
  <si>
    <t>TraesCS4D03G0448900;TraesCS4A03G0265000;TraesCS4B03G0503000</t>
  </si>
  <si>
    <t>TraesCS5B03G1137700;TraesCS5A03G1074600</t>
  </si>
  <si>
    <t>TraesCS1B03G0620900;TraesCS1A03G0530700</t>
  </si>
  <si>
    <t>4 (17.39%)</t>
  </si>
  <si>
    <t>TraesCS2D03G0219000;TraesCS4A03G0573600;TraesCS4B03G0228300;TraesCS4D03G0190300</t>
  </si>
  <si>
    <t>6 (10.53%)</t>
  </si>
  <si>
    <t>6 (10.71%)</t>
  </si>
  <si>
    <t>TraesCS3B03G1077200;TraesCS2A03G0801300;TraesCS3A03G0787100;TraesCS3A03G0944500;TraesCS4A03G0195500;TraesCS3D03G0877600;TraesCS2B03G0887400;TraesCS4D03G0514500;TraesCS2D03G0741000;TraesCS4B03G0579600;TraesCS3B03G0906100</t>
  </si>
  <si>
    <t>11 (6.43%)</t>
  </si>
  <si>
    <t>TraesCS3A03G0076900;TraesCS3B03G0103500;TraesCS3B03G0858000;TraesCS6B03G1030800;TraesCS5D03G0242600;TraesCS3D03G0075200;TraesCS6A03G0861500;TraesCS1A03G0059400;TraesCS4A03G0218300;TraesCS2B03G0504800;TraesCS4A03G0573600;TraesCS1B03G1001500;TraesCS2A03G0379000;TraesCS4D03G0488700;TraesCS6A03G0350400;TraesCS4B03G0228300;TraesCS3D03G0691300;TraesCS2D03G1201300;TraesCS5D03G0913400;TraesCS4A03G0238700;TraesCS2D03G0421300;TraesCS3A03G0230900;TraesCS3B03G1121500;TraesCS4A03G1252200;TraesCS4D03G0190300;TraesCS7D03G0183900;TraesCS3B03G0860600;TraesCS3B03G0287300;TraesCS4B03G0554300</t>
  </si>
  <si>
    <t>29 (3.98%)</t>
  </si>
  <si>
    <t>TraesCS6A03G0951400;TraesCS7A03G0425500;TraesCS5A03G0669400;TraesCS5B03G0393900;TraesCS1A03G0696200;TraesCS4D03G0435100;TraesCS3B03G0484700;TraesCS4B03G0489100;TraesCS4B03G0712900;TraesCS3D03G0225500;TraesCS6B03G0822000;TraesCS2B03G0699900;TraesCS2A03G1019200;TraesCS3A03G0830700;TraesCS3D03G0761900;TraesCS4A03G0078800;TraesCS2A03G0999000;TraesCS3A03G0822800;TraesCS3B03G0374100;TraesCS4A03G0124800;TraesCS1D03G0166900;TraesCS1B03G0008600;TraesCS3A03G0392300;TraesCS5D03G0873200;TraesCS2D03G0353500;TraesCS4A03G0573600;TraesCS6A03G0656800;TraesCS4D03G0488700;TraesCS1D03G0881700;TraesCS3A03G0453400;TraesCS3A03G0663100;TraesCS7A03G0380000;TraesCS3D03G0691300;TraesCS2A03G0220000;TraesCS3B03G0906100;TraesCS3D03G0379400;TraesCS5A03G0576900;TraesCS4A03G0238700;TraesCS5A03G0488700;TraesCS3A03G0230900;TraesCS7B03G0030800;TraesCS1D03G0718400;TraesCS5D03G0341000;TraesCS6D03G0828700;TraesCS3A03G0418900;TraesCS3D03G0575900;TraesCS3B03G0287300;TraesCS7B03G0745400;TraesCS7B03G0802400;TraesCS4A03G0985700;TraesCS5A03G0577000;TraesCS3A03G0991400;TraesCS4A03G0008600;TraesCS2B03G0452500;TraesCS2D03G0214000;TraesCS5D03G0541400;TraesCS2D03G0991800;TraesCS5D03G0566700;TraesCS3D03G0650500;TraesCS3D03G0075200;TraesCS4A03G0067300;TraesCS6A03G0861500;TraesCS2B03G0887400;TraesCS3B03G0733200;TraesCS1A03G1004100;TraesCS1A03G0749200;TraesCS2B03G1138900;TraesCS1A03G0655800;TraesCS3B03G0951200;TraesCS4A03G0218300;TraesCS5B03G0589800;TraesCS4D03G0222900;TraesCS2D03G0219000;TraesCS1A03G0301300;TraesCS5A03G0943000;TraesCS4A03G0462400;TraesCS7D03G1261100;TraesCS3D03G0561400;TraesCS1B03G0235500;TraesCS4D03G0734000;TraesCS5B03G0961800;TraesCS7A03G0478400;TraesCS7B03G1269400;TraesCS4B03G0503000;TraesCS5A03G0601000;TraesCS5A03G0517600;TraesCS3A03G0418200;TraesCS5A03G1005300;TraesCS4D03G0577700;TraesCS3A03G0894700;TraesCS4B03G0653900;TraesCS6A03G0575500;TraesCS3A03G0003300;TraesCS6A03G0149700;TraesCS6B03G0813300;TraesCS1B03G1184600;TraesCS2A03G0416100;TraesCS3B03G0858000;TraesCS1D03G0851300;TraesCS5D03G0541100;TraesCS7D03G0410800;TraesCS1D03G0966000;TraesCS5D03G0541500;TraesCS3A03G0635500;TraesCS4D03G0448900;TraesCS1B03G0793700;TraesCS2B03G1484800;TraesCS2B03G0296800;TraesCS6A03G0129300;TraesCS2B03G1484400;TraesCS2D03G0741000;TraesCS3D03G0756000;TraesCS7B03G1124700;TraesCS2A03G0801300;TraesCS1B03G1020500;TraesCS3B03G1013100;TraesCS2A03G0209100;TraesCS4B03G0228300;TraesCS2D03G0215300;TraesCS1D03G0747700;TraesCS1B03G0763900;TraesCS1D03G0711800;TraesCS3B03G0704900;TraesCS6B03G1161800;TraesCS7A03G0422700;TraesCS3D03G0221600;TraesCS4B03G0261400;TraesCS3A03G0787100;TraesCS3A03G0309300;TraesCS5A03G0576700;TraesCS1B03G0848500;TraesCS1A03G0172500;TraesCS1D03G0718600;TraesCS2D03G0960200;TraesCS2D03G0583400;TraesCS1A03G0429400;TraesCS4D03G0190300;TraesCS4A03G0278400;TraesCS1B03G1061300;TraesCS5B03G0490600;TraesCS1B03G0529400;TraesCS3B03G0860600;TraesCS1D03G0966500;TraesCS3A03G0076900;TraesCS3A03G0886600;TraesCS7B03G0229800;TraesCS3B03G0103500;TraesCS2A03G0334500;TraesCS7B03G0980500;TraesCS6B03G1030800;TraesCS2B03G0296700;TraesCS1A03G0743700;TraesCS3D03G0813500;TraesCS1D03G0290200;TraesCS2D03G0466300;TraesCS1A03G0749400;TraesCS5A03G0691700;TraesCS1D03G1014400;TraesCS3B03G0809300;TraesCS5D03G0638700;TraesCS1D03G0405400;TraesCS7A03G1335000;TraesCS6A03G0350400;TraesCS4A03G0265000;TraesCS5D03G0453600;TraesCS5A03G0219300;TraesCS1A03G0903400;TraesCS3B03G0796100;TraesCS2D03G0662000;TraesCS2D03G1276400;TraesCS2A03G0606900;TraesCS2D03G0421300;TraesCS3A03G0234800;TraesCS5A03G0488800;TraesCS7D03G0210600;TraesCS7D03G1174900;TraesCS1B03G1061200;TraesCS5A03G0912200;TraesCS5B03G0490500;TraesCS7D03G0183900;TraesCS4B03G0554300</t>
  </si>
  <si>
    <t>181 (2.64%)</t>
  </si>
  <si>
    <t>5 (14.29%)</t>
  </si>
  <si>
    <t>9 (7.83%)</t>
  </si>
  <si>
    <t>TraesCS4D03G0024100;TraesCS1B03G0708800;TraesCS2A03G0416100;TraesCS3B03G0858000;TraesCS3D03G0225500;TraesCS5A03G1074600;TraesCS2B03G0699900;TraesCS4A03G0751100;TraesCS3A03G0830700;TraesCS7B03G0858100;TraesCS3D03G0761900;TraesCS2A03G0941300;TraesCS3B03G0374100;TraesCS2D03G0741000;TraesCS2A03G0801300;TraesCS4A03G0573600;TraesCS4D03G0488700;TraesCS4B03G0228300;TraesCS7A03G0380000;TraesCS3D03G0691300;TraesCS5D03G0913400;TraesCS3B03G0906100;TraesCS5A03G0576900;TraesCS3A03G0787100;TraesCS4A03G0238700;TraesCS3A03G0309300;TraesCS3A03G0230900;TraesCS4D03G0190300;TraesCS2D03G0228400;TraesCS3B03G0287300;TraesCS3A03G0076900;TraesCS4D03G0024200;TraesCS7B03G0802400;TraesCS3B03G0103500;TraesCS6D03G0101500;TraesCS6B03G1030800;TraesCS5D03G0541400;TraesCS2B03G1042000;TraesCS4A03G0751400;TraesCS5B03G1137700;TraesCS3D03G0075200;TraesCS6A03G0578400;TraesCS6A03G0861500;TraesCS2B03G0887400;TraesCS3B03G0951200;TraesCS4A03G0218300;TraesCS5D03G0953200;TraesCS3B03G0207200;TraesCS1A03G0301300;TraesCS6A03G0350400;TraesCS3B03G0796100;TraesCS6D03G0290200;TraesCS2A03G0606900;TraesCS3A03G0234800;TraesCS2B03G1145100;TraesCS7B03G0996700;TraesCS4B03G0554300</t>
  </si>
  <si>
    <t>57 (3.29%)</t>
  </si>
  <si>
    <t>TraesCS3A03G0076900;TraesCS3D03G0075200;TraesCS2D03G0421300;TraesCS3B03G0103500;TraesCS7D03G0183900;TraesCS3B03G0860600</t>
  </si>
  <si>
    <t>6 (12%)</t>
  </si>
  <si>
    <t>5 (15.15%)</t>
  </si>
  <si>
    <t>TraesCS1B03G0972500;TraesCS4D03G0590400;TraesCS3D03G0791000;TraesCS2A03G0638900;TraesCS5D03G0551100;TraesCS2B03G1552700;TraesCS2D03G0432100;TraesCS3B03G0648700;TraesCS2A03G0907100;TraesCS2D03G0849600;TraesCS5A03G0096900;TraesCS1A03G0268100;TraesCS7A03G1017300;TraesCS1A03G0530700;TraesCS4D03G0626400;TraesCS1B03G0777100;TraesCS2B03G0699900;TraesCS3A03G1035900;TraesCS2B03G1146000;TraesCS7B03G0399300;TraesCS7D03G0834400;TraesCS7B03G0858100;TraesCS1D03G0814000;TraesCS5A03G0078600;TraesCS3D03G0104200;TraesCS3B03G1191300;TraesCS6A03G0905100;TraesCS6A03G0718000;TraesCS4D03G0021700;TraesCS1B03G0348200;TraesCS3D03G0614500;TraesCS2A03G0415000;TraesCS1D03G0703400;TraesCS2B03G0122900;TraesCS5D03G0607800;TraesCS6B03G1126600;TraesCS3B03G0985900;TraesCS2A03G1176600;TraesCS5B03G0894300;TraesCS6D03G0656800;TraesCS6B03G0366500;TraesCS2A03G0944200;TraesCS7B03G0889300;TraesCS3B03G0398000;TraesCS2B03G1338500;TraesCS3D03G0336300;TraesCS4D03G0305700;TraesCS6A03G0898700;TraesCS5A03G0852200;TraesCS5A03G0919100;TraesCS2D03G0667000;TraesCS2D03G1332400;TraesCS2D03G0478400;TraesCS1A03G0403500;TraesCS2A03G0392500;TraesCS3A03G0645400;TraesCS1B03G0195500;TraesCS2D03G0882600;TraesCS4B03G0689300;TraesCS2A03G1051700;TraesCS4A03G0753300;TraesCS6A03G0229000;TraesCS5D03G0814400;TraesCS5A03G1193900;TraesCS2B03G1040500;TraesCS5B03G0079200;TraesCS3A03G0318600;TraesCS2B03G0799700;TraesCS6A03G0775300;TraesCS2A03G0909900;TraesCS7A03G0281300;TraesCS7B03G0712400;TraesCS2A03G0723800;TraesCS2B03G1541000;TraesCS2B03G1551500;TraesCS3B03G0645900;TraesCS6B03G0318000;TraesCS1A03G0404300;TraesCS2A03G0761200;TraesCS7A03G0204800;TraesCS1D03G0373400;TraesCS4A03G0114600;TraesCS7A03G1255100;TraesCS1B03G1221800;TraesCS2B03G0999600;TraesCS2D03G1258400;TraesCS5B03G0516500;TraesCS4B03G0064300;TraesCS2D03G0609300;TraesCS7A03G1128200;TraesCS2A03G0606900;TraesCS2B03G0731200;TraesCS2D03G0992500;TraesCS7D03G0183500;TraesCS1B03G0620900;TraesCS3A03G0269600</t>
  </si>
  <si>
    <t>96 (2.98%)</t>
  </si>
  <si>
    <t>2 (100%)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</si>
  <si>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2D03G0215300;TraesCS1D03G0747700;TraesCS1B03G0763900;TraesCS1D03G0711800;TraesCS6B03G1161800;TraesCS7A03G0422700;TraesCS4B03G0261400;TraesCS3A03G0787100;TraesCS1B03G0848500;TraesCS1A03G0172500;TraesCS1D03G0718600;TraesCS2D03G0960200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</si>
  <si>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129 (2.83%)</t>
  </si>
  <si>
    <t>129 (2.84%)</t>
  </si>
  <si>
    <t>TraesCS2A03G0801300;TraesCS4A03G0573600;TraesCS7B03G0802400;TraesCS2A03G0416100;TraesCS3B03G0858000;TraesCS1A03G0301300;TraesCS4B03G0228300;TraesCS7A03G0380000;TraesCS3D03G0691300;TraesCS3D03G0225500;TraesCS6B03G1030800;TraesCS3B03G0796100;TraesCS4A03G0238700;TraesCS3A03G0309300;TraesCS3A03G0234800;TraesCS6A03G0861500;TraesCS2B03G0887400;TraesCS3A03G0230900;TraesCS4D03G0190300;TraesCS3B03G0374100;TraesCS2D03G0741000;TraesCS3B03G0287300</t>
  </si>
  <si>
    <t>22 (4.79%)</t>
  </si>
  <si>
    <t>TraesCS7B03G0858100;TraesCS5A03G0919100;TraesCS7A03G1017300</t>
  </si>
  <si>
    <t>3 (42.86%)</t>
  </si>
  <si>
    <t>TraesCS2A03G0801300;TraesCS6A03G0861500;TraesCS2B03G0887400;TraesCS6B03G1030800;TraesCS1D03G1014400;TraesCS2D03G0741000</t>
  </si>
  <si>
    <t>6 (13.95%)</t>
  </si>
  <si>
    <t>6 (14.29%)</t>
  </si>
  <si>
    <t>TraesCS5A03G0576900;TraesCS4A03G0573600;TraesCS4B03G0228300;TraesCS4D03G0190300;TraesCS5D03G0541400</t>
  </si>
  <si>
    <t>5 (18.52%)</t>
  </si>
  <si>
    <t>TraesCS2B03G0699900;TraesCS5B03G1137700;TraesCS2A03G0606900;TraesCS5A03G1074600</t>
  </si>
  <si>
    <t>TraesCS6A03G0951400;TraesCS5A03G0669400;TraesCS5B03G0393900;TraesCS1A03G0696200;TraesCS4D03G0435100;TraesCS6B03G0931400;TraesCS3B03G0484700;TraesCS4B03G0489100;TraesCS4B03G0712900;TraesCS6B03G0822000;TraesCS1D03G0507600;TraesCS2A03G1019200;TraesCS3A03G0830700;TraesCS3D03G0761900;TraesCS4A03G0078800;TraesCS2A03G0999000;TraesCS3A03G0822800;TraesCS4A03G0124800;TraesCS1D03G0166900;TraesCS3A03G0392300;TraesCS6A03G0784300;TraesCS5D03G0873200;TraesCS2D03G0353500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D03G0663800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2B03G1116700;TraesCS1B03G1184600;TraesCS1D03G0851300;TraesCS2A03G1004300;TraesCS7D03G0410800;TraesCS1D03G0966000;TraesCS5D03G0541500;TraesCS4D03G0448900;TraesCS1B03G0795600;TraesCS1B03G0793700;TraesCS2B03G1484800;TraesCS2B03G0296800;TraesCS6A03G0129300;TraesCS2B03G1484400;TraesCS3D03G0756000;TraesCS7B03G1124700;TraesCS1B03G1020500;TraesCS3B03G1013100;TraesCS2A03G0209100;TraesCS2D03G0215300;TraesCS1D03G0747700;TraesCS1B03G0763900;TraesCS1D03G0711800;TraesCS6B03G1161800;TraesCS7A03G0422700;TraesCS4B03G0261400;TraesCS3A03G0787100;TraesCS1B03G0848500;TraesCS1A03G0172500;TraesCS1A03G0526300;TraesCS1D03G0718600;TraesCS2D03G0960200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</si>
  <si>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138 (2.85%)</t>
  </si>
  <si>
    <t>TraesCS6B03G0137600;TraesCS6D03G0103400;TraesCS6A03G0096800</t>
  </si>
  <si>
    <t>3 (50%)</t>
  </si>
  <si>
    <t>TraesCS2A03G0801300;TraesCS2B03G0887400;TraesCS2D03G0741000</t>
  </si>
  <si>
    <t>9 (9.57%)</t>
  </si>
  <si>
    <t>TraesCS1B03G1001500;TraesCS3B03G0858000;TraesCS6A03G0861500;TraesCS4D03G0488700;TraesCS6A03G0350400;TraesCS3D03G0691300;TraesCS6B03G1030800;TraesCS5D03G0913400;TraesCS4A03G0218300;TraesCS4B03G0554300</t>
  </si>
  <si>
    <t>10 (8.7%)</t>
  </si>
  <si>
    <t>TraesCS5A03G0576900;TraesCS3A03G0830700;TraesCS4A03G0573600;TraesCS2A03G0416100;TraesCS3D03G0761900;TraesCS6A03G0350400;TraesCS4B03G0228300;TraesCS4D03G0190300;TraesCS3B03G0951200;TraesCS5D03G0541400</t>
  </si>
  <si>
    <t>10 (8.77%)</t>
  </si>
  <si>
    <t>TraesCS3A03G0076900;TraesCS3D03G0075200;TraesCS3B03G0103500;TraesCS4D03G0488700;TraesCS4A03G0218300;TraesCS4B03G0554300</t>
  </si>
  <si>
    <t>TraesCS5D03G0551100;TraesCS7D03G1218400;TraesCS2D03G0432100;TraesCS1A03G0268100;TraesCS1D03G0351700;TraesCS2D03G1200500;TraesCS7A03G1017300;TraesCS2D03G1200300;TraesCS2A03G1245100;TraesCS2B03G0699900;TraesCS3A03G1035900;TraesCS2B03G1146000;TraesCS7B03G0858100;TraesCS2B03G1425800;TraesCS5A03G0078600;TraesCS3B03G1191300;TraesCS1B03G0348200;TraesCS2B03G0172800;TraesCS2A03G0415000;TraesCS1B03G0453200;TraesCS1D03G0703400;TraesCS2A03G1176600;TraesCS6D03G0656800;TraesCS1B03G0766500;TraesCS2A03G0816900;TraesCS2B03G1426100;TraesCS3B03G0398000;TraesCS2B03G1338500;TraesCS4D03G0305700;TraesCS4D03G0080500;TraesCS6A03G0898700;TraesCS5A03G0919100;TraesCS2D03G0667000;TraesCS2D03G1332400;TraesCS2D03G1200600;TraesCS4B03G0689300;TraesCS4A03G0753300;TraesCS6A03G0229000;TraesCS2A03G1244900;TraesCS2B03G1425700;TraesCS6A03G0578400;TraesCS2A03G1244500;TraesCS3D03G0761800;TraesCS5B03G0079200;TraesCS2B03G0799700;TraesCS6A03G0775300;TraesCS2D03G1199800;TraesCS4B03G0855700;TraesCS2A03G0723800;TraesCS6B03G0318000;TraesCS2B03G1425900;TraesCS2D03G0125300;TraesCS4A03G0697700;TraesCS2A03G0606900;TraesCS2A03G0128600;TraesCS4D03G0638100</t>
  </si>
  <si>
    <t>56 (3.58%)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</si>
  <si>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4A03G0573600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3D03G0075200;TraesCS4A03G0067300;TraesCS3B03G0733200;TraesCS1A03G1004100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4B03G0228300;TraesCS2D03G0215300;TraesCS1D03G0747700;TraesCS1B03G0763900;TraesCS1D03G0711800;TraesCS6B03G1161800;TraesCS7A03G0422700;TraesCS4B03G0261400;TraesCS3A03G0787100;TraesCS1B03G0848500;TraesCS1A03G0172500;TraesCS1D03G0718600;TraesCS2D03G0960200;TraesCS4D03G0190300;TraesCS4A03G0278400;TraesCS1B03G1061300;TraesCS5B03G0490600;TraesCS1B03G0529400;TraesCS1D03G0966500;TraesCS3A03G0076900;TraesCS3A03G0886600;TraesCS7B03G0229800;TraesCS3B03G0103500;TraesCS2A03G0334500;TraesCS7B03G0980500;TraesCS2B03G0296700;TraesCS1A03G0743700;TraesCS3D03G0813500;TraesCS1D03G0290200;TraesCS2D03G0466300;TraesCS1A03G0749400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</si>
  <si>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134 (2.91%)</t>
  </si>
  <si>
    <t>TraesCS3A03G0787100;TraesCS4A03G0573600;TraesCS4B03G0228300;TraesCS4D03G0190300;TraesCS3B03G0906100</t>
  </si>
  <si>
    <t>5 (21.74%)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</si>
  <si>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A03G0149700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2D03G0215300;TraesCS1D03G0747700;TraesCS1B03G0763900;TraesCS1D03G0711800;TraesCS6B03G1161800;TraesCS7A03G0422700;TraesCS4B03G0261400;TraesCS3A03G0787100;TraesCS1B03G0848500;TraesCS1A03G0172500;TraesCS1D03G0718600;TraesCS2D03G0960200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3B03G0809300;TraesCS5D03G0638700;TraesCS7A03G1335000;TraesCS6A03G0350400;TraesCS4A03G0265000;TraesCS5D03G0453600;TraesCS5A03G0219300;TraesCS1A03G0903400;TraesCS2D03G1276400;TraesCS5A03G0488800;TraesCS7D03G0210600;TraesCS7D03G1174900;TraesCS1B03G1061200;TraesCS5A03G0912200;TraesCS5B03G0490500</t>
  </si>
  <si>
    <t>130 (2.93%)</t>
  </si>
  <si>
    <t>TraesCS3A03G0076900;TraesCS3D03G0075200;TraesCS3B03G0103500</t>
  </si>
  <si>
    <t>TraesCS3A03G0830700;TraesCS3D03G0761900;TraesCS6A03G0350400;TraesCS1A03G0655800;TraesCS3B03G0951200</t>
  </si>
  <si>
    <t>5 (22.73%)</t>
  </si>
  <si>
    <t>5 (23.81%)</t>
  </si>
  <si>
    <t>130 (2.96%)</t>
  </si>
  <si>
    <t>TraesCS3A03G0076900;TraesCS3D03G0075200;TraesCS3B03G0103500;TraesCS6A03G0350400</t>
  </si>
  <si>
    <t>4 (36.36%)</t>
  </si>
  <si>
    <t>TraesCS1B03G0348200;TraesCS7B03G0858100;TraesCS5A03G0919100;TraesCS1A03G0268100;TraesCS7A03G1017300;TraesCS2A03G1176600;TraesCS2B03G1338500</t>
  </si>
  <si>
    <t>7 (14.89%)</t>
  </si>
  <si>
    <t>TraesCS6A03G0951400;TraesCS5A03G0669400;TraesCS5B03G0393900;TraesCS1A03G0696200;TraesCS4D03G0435100;TraesCS3B03G0484700;TraesCS4B03G0489100;TraesCS4B03G0712900;TraesCS6B03G0822000;TraesCS2A03G1019200;TraesCS3A03G0830700;TraesCS3D03G0761900;TraesCS4A03G0078800;TraesCS2A03G0999000;TraesCS3A03G0822800;TraesCS4A03G0124800;TraesCS1D03G0166900;TraesCS3A03G0392300;TraesCS5D03G0873200;TraesCS2D03G0353500;TraesCS6A03G0656800;TraesCS1D03G0881700;TraesCS3A03G0663100;TraesCS7A03G0380000;TraesCS3B03G0906100;TraesCS3D03G0379400;TraesCS5A03G0576900;TraesCS5A03G0488700;TraesCS7B03G0030800;TraesCS1D03G0718400;TraesCS5D03G0341000;TraesCS6D03G0828700;TraesCS3A03G0418900;TraesCS7B03G0745400;TraesCS7B03G0802400;TraesCS4A03G0985700;TraesCS5A03G0577000;TraesCS3A03G0991400;TraesCS4A03G0008600;TraesCS2B03G0452500;TraesCS2D03G0214000;TraesCS5D03G0541400;TraesCS5D03G0566700;TraesCS3D03G0650500;TraesCS4A03G0067300;TraesCS3B03G0733200;TraesCS1A03G1004100;TraesCS1A03G0749200;TraesCS2B03G1138900;TraesCS3B03G0951200;TraesCS5B03G0589800;TraesCS4D03G0222900;TraesCS5A03G0943000;TraesCS7D03G1261100;TraesCS3D03G0561400;TraesCS1B03G0235500;TraesCS4D03G0734000;TraesCS5B03G0961800;TraesCS7A03G0478400;TraesCS7B03G1269400;TraesCS4B03G0503000;TraesCS5A03G0601000;TraesCS5A03G0517600;TraesCS5A03G1005300;TraesCS4D03G0577700;TraesCS3A03G0894700;TraesCS4B03G0653900;TraesCS6A03G0575500;TraesCS3A03G0003300;TraesCS6B03G0813300;TraesCS1B03G1184600;TraesCS1D03G0851300;TraesCS7D03G0410800;TraesCS1D03G0966000;TraesCS5D03G0541500;TraesCS4D03G0448900;TraesCS1B03G0793700;TraesCS2B03G1484800;TraesCS2B03G0296800;TraesCS6A03G0129300;TraesCS2B03G1484400;TraesCS3D03G0756000;TraesCS7B03G1124700;TraesCS1B03G1020500;TraesCS3B03G1013100;TraesCS2A03G0209100;TraesCS2D03G0215300;TraesCS1D03G0747700;TraesCS1B03G0763900;TraesCS1D03G0711800;TraesCS6B03G1161800;TraesCS7A03G0422700;TraesCS4B03G0261400;TraesCS3A03G0787100;TraesCS1B03G0848500;TraesCS1A03G0172500;TraesCS1D03G0718600;TraesCS2D03G0960200;TraesCS4A03G0278400;TraesCS1B03G1061300;TraesCS5B03G0490600;TraesCS1B03G0529400;TraesCS1D03G0966500;TraesCS3A03G0886600;TraesCS7B03G0229800;TraesCS3B03G0103500;TraesCS2A03G0334500;TraesCS7B03G0980500;TraesCS2B03G0296700;TraesCS1A03G0743700;TraesCS3D03G0813500;TraesCS1D03G0290200;TraesCS2D03G0466300;TraesCS1A03G0749400;TraesCS3B03G0809300;TraesCS5D03G0638700;TraesCS7A03G1335000;TraesCS6A03G0350400;TraesCS4A03G0265000;TraesCS5D03G0453600;TraesCS5A03G0219300;TraesCS1A03G0903400;TraesCS5A03G0488800;TraesCS7D03G0210600;TraesCS7D03G1174900;TraesCS1B03G1061200;TraesCS5A03G0912200;TraesCS5B03G0490500</t>
  </si>
  <si>
    <t>128 (2.98%)</t>
  </si>
  <si>
    <t>128 (2.99%)</t>
  </si>
  <si>
    <t>TraesCS2A03G0801300;TraesCS2A03G0416100;TraesCS3B03G0207200;TraesCS6A03G0350400;TraesCS6D03G0101500;TraesCS3D03G0225500;TraesCS6B03G1030800;TraesCS5D03G0913400;TraesCS3B03G0906100;TraesCS5A03G1074600;TraesCS3A03G0787100;TraesCS3A03G0830700;TraesCS4A03G0238700;TraesCS5B03G1137700;TraesCS3A03G0309300;TraesCS3A03G0234800;TraesCS6A03G0861500;TraesCS2B03G0887400;TraesCS3D03G0761900;TraesCS3B03G0374100;TraesCS2D03G0741000;TraesCS3B03G0951200</t>
  </si>
  <si>
    <t>22 (5.51%)</t>
  </si>
  <si>
    <t>7 (15.22%)</t>
  </si>
  <si>
    <t>TraesCS3A03G0787100;TraesCS3A03G0234800;TraesCS6A03G0861500;TraesCS6A03G0350400;TraesCS3D03G0225500;TraesCS6B03G1030800;TraesCS5D03G0913400;TraesCS3B03G0906100</t>
  </si>
  <si>
    <t>8 (12.9%)</t>
  </si>
  <si>
    <t>8 (13.11%)</t>
  </si>
  <si>
    <t>TraesCS5B03G0387100;TraesCS2A03G1079100;TraesCS3B03G0115900;TraesCS5A03G0031900;TraesCS3D03G0376300;TraesCS5D03G1211400;TraesCS1A03G0502000;TraesCS2A03G0133300;TraesCS2B03G0183000;TraesCS3A03G0222600;TraesCS3A03G1158600;TraesCS3B03G0374100;TraesCS7A03G0786400;TraesCS1B03G0008600;TraesCS2B03G0189900;TraesCS4D03G0488700;TraesCS1D03G0881700;TraesCS4D03G0174000;TraesCS6A03G0782800;TraesCS5D03G0151600;TraesCS6B03G0777800;TraesCS1B03G0089700;TraesCS2D03G0176500;TraesCS2A03G1090000;TraesCS1D03G0983500;TraesCS4A03G0123200;TraesCS5D03G0966800;TraesCS2D03G0897400;TraesCS1A03G0872400;TraesCS1A03G1009900;TraesCS1B03G0041400;TraesCS4B03G0254000;TraesCS6A03G0313900;TraesCS2D03G0465800;TraesCS5B03G1359300;TraesCS2B03G0144900;TraesCS6D03G0866300;TraesCS2A03G1175800;TraesCS2D03G0794500;TraesCS6B03G0808400;TraesCS2D03G0991800;TraesCS2D03G0131800;TraesCS3A03G0656300;TraesCS5D03G0837600;TraesCS3D03G0079400;TraesCS4A03G0067300;TraesCS7D03G0198400;TraesCS6A03G0861500;TraesCS6D03G0521300;TraesCS5B03G1196000;TraesCS3D03G0121100;TraesCS2D03G0945600;TraesCS2A03G0134400;TraesCS3B03G0904700;TraesCS3B03G1345200;TraesCS7A03G0456900;TraesCS1D03G0213300;TraesCS5B03G1281400;TraesCS5A03G0623600;TraesCS3A03G0097900;TraesCS1A03G0014900;TraesCS2B03G1416200;TraesCS1D03G0486100;TraesCS6A03G0215300;TraesCS2D03G0095200;TraesCS7A03G0201200;TraesCS7D03G0479000;TraesCS5B03G1146900;TraesCS3B03G1308200;TraesCS7B03G0807800;TraesCS6D03G0618800;TraesCS5D03G0447200;TraesCS2A03G0201500;TraesCS4A03G0976800;TraesCS2D03G1180100;TraesCS5D03G0151400;TraesCS7D03G0450700;TraesCS5D03G1133900;TraesCS3D03G0950200;TraesCS3D03G1068100;TraesCS2A03G0051200;TraesCS2D03G0207000;TraesCS5A03G0398600;TraesCS3A03G0263000;TraesCS3D03G0044700;TraesCS2A03G0955200;TraesCS5B03G1281300;TraesCS7A03G1338000;TraesCS1D03G0294000;TraesCS2B03G0587100;TraesCS6D03G0607800;TraesCS1A03G0747900;TraesCS5B03G0541500;TraesCS7A03G0134700;TraesCS1D03G1014400;TraesCS4A03G0866100;TraesCS4B03G0761800;TraesCS6D03G0269300;TraesCS7A03G0935400;TraesCS2B03G1222100;TraesCS7B03G0897900;TraesCS2D03G1033400;TraesCS7A03G0214400;TraesCS5B03G0554700;TraesCS2D03G0049200;TraesCS1A03G0903400;TraesCS1B03G0644100;TraesCS5D03G0151300;TraesCS2D03G0396900;TraesCS2A03G0606900;TraesCS2D03G1123700;TraesCS4A03G0695000;TraesCS2D03G0289600;TraesCS7A03G0248500;TraesCS3B03G1383600;TraesCS4B03G0554300;TraesCS5A03G0533200;TraesCS5D03G0041900;TraesCS2B03G0276600;TraesCS4D03G0481000;TraesCSU03G0030300;TraesCS1B03G0334900;TraesCS1B03G0290200;TraesCS7B03G0720400;TraesCS2A03G1019200;TraesCS7B03G0399300;TraesCS2D03G1258600;TraesCS1B03G0235700;TraesCS7D03G0211400;TraesCS4B03G0947500;TraesCS6D03G0269600;TraesCS1D03G0237000;TraesCS2B03G0072900;TraesCS6A03G0217000;TraesCS7B03G1239600;TraesCS7B03G1143000;TraesCS7A03G0814900;TraesCS3D03G0026700;TraesCS5D03G0913400;TraesCS2A03G0220000;TraesCS2B03G0452300;TraesCS7A03G0871600;TraesCS5D03G1051900;TraesCS1A03G0042900;TraesCS1B03G1046000;TraesCS3B03G0172400;TraesCS3B03G0287300;TraesCS4A03G0595000;TraesCS1D03G0725300;TraesCS1D03G0813600;TraesCS2B03G1527600;TraesCS3B03G0480000;TraesCS1D03G0867900;TraesCS4A03G0008600;TraesCS4D03G0217200;TraesCS6D03G0537600;TraesCS3B03G0762200;TraesCS7B03G1242900;TraesCS1D03G0864400;TraesCS5A03G1069200;TraesCS3D03G0125000;TraesCS7A03G0495900;TraesCS1A03G0041900;TraesCS1A03G1029800;TraesCS2B03G0944400;TraesCS3D03G0278800;TraesCS1B03G0293800;TraesCS6B03G0076200;TraesCS5A03G0664200;TraesCS7D03G0929100;TraesCS1D03G0990200;TraesCS2A03G1137500;TraesCS6B03G0013900;TraesCS6D03G0666900;TraesCS5B03G0611500;TraesCS2A03G0077000;TraesCS5B03G0570400;TraesCS1D03G0167700;TraesCS1D03G0655000;TraesCS1D03G0867800;TraesCS6A03G0791600;TraesCS2A03G0386900;TraesCS6A03G0816500;TraesCS6A03G0149700;TraesCS1B03G0108400;TraesCS6D03G0478400;TraesCS7B03G0741300;TraesCS2D03G1324000;TraesCS4B03G0082200;TraesCS1A03G0266000;TraesCS3D03G0361800;TraesCS6A03G0735900;TraesCS6D03G0848100;TraesCS2A03G1242300;TraesCS3B03G1510300;TraesCS2B03G0504800;TraesCS6A03G0979900;TraesCS7D03G1242300;TraesCS4A03G0063800;TraesCS2A03G0379000;TraesCS4D03G0050100;TraesCS3B03G0796000;TraesCS3D03G0639500;TraesCS2A03G1350900;TraesCS5D03G0561100;TraesCS7D03G0862700;TraesCS3A03G0309300;TraesCS5D03G1051700;TraesCS2D03G0583400;TraesCS2D03G1156900;TraesCS2B03G0182000;TraesCS5A03G1049900;TraesCS3B03G0860600;TraesCS6A03G0053100;TraesCS3D03G0336300;TraesCS3A03G1098500;TraesCS3B03G0944900;TraesCS6D03G0352700;TraesCS2D03G1292700;TraesCS2B03G0584900;TraesCS2D03G0107300;TraesCS2B03G1233500;TraesCS2A03G0242200;TraesCS2A03G0334100;TraesCS4A03G0874000;TraesCS2B03G1042000;TraesCS4A03G0971500;TraesCS7D03G0066400;TraesCS5B03G0143600;TraesCS1D03G0625700;TraesCS7D03G0180100;TraesCS1B03G0971700;TraesCS5A03G1172100;TraesCS6A03G0217100;TraesCS1B03G0457500;TraesCS4A03G0227600;TraesCS1D03G0812700;TraesCS3A03G1203000;TraesCS2D03G0945400;TraesCS3B03G0708400;TraesCS1D03G0971500;TraesCS5B03G1093500;TraesCS5A03G0596900;TraesCS2D03G0176600;TraesCS2D03G0421300;TraesCS1D03G0867600;TraesCS6B03G0798100;TraesCS2B03G0182100;TraesCS4A03G0553700;TraesCS6D03G0589900;TraesCS6A03G0416200;TraesCS4A03G0805400;TraesCS6B03G0306000;TraesCS5A03G0516700;TraesCS6B03G0081400;TraesCS5A03G1074600;TraesCS2B03G0699900;TraesCS5B03G0524900;TraesCS6D03G0494400;TraesCS3D03G0026300;TraesCS5D03G0376900;TraesCS2A03G0941300;TraesCS4A03G0793100;TraesCS1A03G0502800;TraesCS3A03G0654900;TraesCS1D03G0990700;TraesCS2A03G0851600;TraesCS2A03G1088600;TraesCS3D03G0578500;TraesCS1D03G0002400;TraesCS3B03G1172900;TraesCS3B03G0906100;TraesCS2B03G1370600;TraesCS1B03G0298200;TraesCS7B03G0725000;TraesCS2A03G0904100;TraesCS2D03G0111400;TraesCS7D03G0181500;TraesCS4D03G0483600;TraesCS1D03G0244700;TraesCS3D03G0116200;TraesCS6A03G0725000;TraesCS3B03G0052700;TraesCS5B03G1264800;TraesCS7D03G0808200;TraesCS7A03G1052600;TraesCS1A03G0017200;TraesCS3D03G0026400;TraesCS2D03G0131000;TraesCS7D03G1003900;TraesCS4A03G0957800;TraesCS6B03G0928600;TraesCS3B03G0207200;TraesCS4A03G0953200;TraesCS5B03G1052000;TraesCS6A03G0696800;TraesCS5A03G0649100;TraesCS6A03G0216900;TraesCS1A03G0018400;TraesCS3D03G0946800;TraesCS6B03G0813300;TraesCS6A03G0294800;TraesCS3A03G0137900;TraesCS5B03G1013900;TraesCS2B03G0180400;TraesCS5D03G0983900;TraesCS1B03G0842800;TraesCS7D03G0485000;TraesCS6A03G0005200;TraesCS6D03G0002800;TraesCS4B03G0626300;TraesCS2D03G1127500;TraesCS5D03G0541100;TraesCS3B03G0201700;TraesCS2B03G0586900;TraesCS5A03G0388500;TraesCS3A03G0685600;TraesCS7D03G1095900;TraesCS3D03G0026500;TraesCS7A03G0289800;TraesCS1B03G0044200;TraesCS6B03G0858400;TraesCS5D03G0481900;TraesCS2D03G0741000;TraesCS3D03G0142700;TraesCS7B03G0754900;TraesCS2A03G0801300;TraesCS7B03G0960400;TraesCS5B03G0143300;TraesCS7A03G0298500;TraesCS1A03G0888500;TraesCS2B03G1344100;TraesCS1D03G0655500;TraesCS3A03G0787100;TraesCS5A03G0576700;TraesCS5A03G1005400;TraesCS1A03G0753800;TraesCS5D03G0859900;TraesCS1B03G1061300;TraesCS7D03G1058600;TraesCS6D03G0585400;TraesCS7B03G0229800;TraesCS2D03G0459600;TraesCS6B03G0079100;TraesCS2A03G1337100;TraesCS6B03G0006000;TraesCS5D03G0507200;TraesCS1B03G0852700;TraesCS3B03G0126100;TraesCS1D03G0715700;TraesCS6D03G0007000;TraesCS2A03G0463700;TraesCS6B03G0001900;TraesCS3B03G0175700;TraesCS3D03G0609500;TraesCS6B03G0724400;TraesCS2D03G1136200;TraesCS3D03G0142600;TraesCS3A03G0291100;TraesCS1D03G0782600;TraesCS3D03G0150100;TraesCS2B03G0583400;TraesCS2B03G0585700;TraesCS3D03G0769400;TraesCS3D03G0841500;TraesCS2D03G1276400;TraesCS7B03G0654900;TraesCS7A03G0070100;TraesCS4B03G0722800;TraesCS5D03G0318700;TraesCS1B03G1061200;TraesCS2B03G1206300;TraesCS4A03G0144900;TraesCS7D03G0183900;TraesCS3A03G0187900;TraesCS1B03G1206000;TraesCS7B03G0896100;TraesCS2D03G1332500;TraesCS3B03G0745400;TraesCS3A03G0160300;TraesCS5D03G1191300;TraesCS5B03G0832300;TraesCS2B03G0190500;TraesCS4A03G0669100;TraesCS1A03G0691300;TraesCS6D03G0353300;TraesCS2B03G0072100;TraesCS2A03G0999000;TraesCS3D03G0599700;TraesCS3A03G0631500;TraesCS5A03G0481000;TraesCS6A03G0121100;TraesCS4B03G0989700;TraesCS1B03G0788200;TraesCS3A03G1022400;TraesCS1B03G0755500;TraesCS7A03G0380000;TraesCS5D03G0447000;TraesCS1A03G0739000;TraesCS1B03G1053200;TraesCS1D03G0035700;TraesCS1D03G0626000;TraesCS7A03G0454100;TraesCSU03G0175500;TraesCS1A03G0172700;TraesCS2D03G1135100;TraesCS3D03G0122600;TraesCS7D03G0143500;TraesCS5D03G0436000;TraesCS5B03G1124100;TraesCS6D03G0101500;TraesCS1A03G0881300;TraesCS6A03G0133300;TraesCS5A03G0799600;TraesCS1B03G0574000;TraesCS6A03G0314000;TraesCS2B03G0237100;TraesCS2B03G1344800;TraesCS2B03G0887400;TraesCS7A03G0889900;TraesCS5D03G1090700;TraesCS4B03G0652800;TraesCS2B03G1138900;TraesCS6B03G0636900;TraesCS2A03G0259600;TraesCS4A03G0218300;TraesCS4A03G0953600;TraesCS4B03G0211800;TraesCS3B03G1221200;TraesCS4B03G0543100;TraesCS7D03G0753800;TraesCS2D03G1062300;TraesCS6B03G1204700;TraesCS5A03G1005300;TraesCS7A03G1243400;TraesCS5D03G0461300;TraesCS3B03G1362600;TraesCS6D03G0287600;TraesCSU03G0011300;TraesCS6D03G0472300;TraesCS5D03G0952300;TraesCS5A03G0124500;TraesCS7B03G0319700;TraesCS4A03G0675700;TraesCS3D03G0026100;TraesCS2D03G0471300;TraesCS7A03G0815000;TraesCS5B03G0566500;TraesCS5A03G0811400;TraesCS1D03G0103000;TraesCS6A03G0740800;TraesCS1D03G0726900;TraesCS2B03G0533800;TraesCS3A03G0698500;TraesCS1B03G1045900;TraesCS6B03G0095200;TraesCS1D03G0747700;TraesCS2B03G0867600;TraesCS3B03G1445400;TraesCS1A03G0215100;TraesCS5B03G0554400;TraesCS3B03G0074800;TraesCS1D03G0486500;TraesCS5A03G1137900;TraesCS1D03G0035500;TraesCS2D03G0960200;TraesCS7B03G1272900;TraesCS2A03G1295800;TraesCS2B03G0387200;TraesCS7A03G0502200;TraesCS2D03G0228400;TraesCS3B03G1173100;TraesCS6B03G1030800;TraesCS5B03G1116800;TraesCS7B03G0277000;TraesCS3A03G0037500;TraesCS2B03G0072200;TraesCS5B03G1137700;TraesCS4B03G0129600;TraesCS6A03G0016400;TraesCS2B03G0969100;TraesCS1A03G0691200;TraesCS6B03G1165200;TraesCS1D03G0873700;TraesCS2D03G0168300;TraesCS5D03G0499700;TraesCS1D03G0868000;TraesCS7A03G1278400;TraesCS3D03G0717600;TraesCS2B03G0753800;TraesCS2B03G0540200;TraesCS5B03G1159600;TraesCS5B03G1216200;TraesCS4B03G0210400;TraesCS2B03G0586400;TraesCS6B03G0427800;TraesCS5B03G0756900;TraesCS2B03G0387300;TraesCS6A03G0575700;TraesCS1D03G0846000;TraesCS2B03G0180600</t>
  </si>
  <si>
    <t>501 (2.45%)</t>
  </si>
  <si>
    <t>3 (75%)</t>
  </si>
  <si>
    <t>TraesCS4A03G0573600;TraesCS3B03G0858000;TraesCS3A03G0230900;TraesCS4B03G0228300;TraesCS3B03G1121500;TraesCS3D03G0691300;TraesCS4D03G0190300;TraesCS3B03G0287300</t>
  </si>
  <si>
    <t>8 (13.56%)</t>
  </si>
  <si>
    <t>TraesCS4D03G0590400;TraesCS2A03G0638900;TraesCS5D03G0551100;TraesCS7D03G1218400;TraesCS4D03G0594600;TraesCS2A03G0907100;TraesCS2D03G0849600;TraesCS1A03G0268100;TraesCS1D03G0351700;TraesCS2D03G1200500;TraesCS3A03G0649300;TraesCS1A03G0530700;TraesCS2A03G1245100;TraesCS4D03G0626400;TraesCS2B03G0699900;TraesCS7B03G0399300;TraesCS7B03G0858100;TraesCS2B03G1425800;TraesCS5A03G0078600;TraesCS3B03G1191300;TraesCS6A03G0905100;TraesCS7D03G0811200;TraesCS6A03G0718000;TraesCS4D03G0021700;TraesCS2B03G0172800;TraesCS3D03G0614500;TraesCS1B03G0453200;TraesCS2A03G1248500;TraesCS1D03G0703400;TraesCS1A03G0005200;TraesCS5D03G0607800;TraesCS6B03G1126600;TraesCS4B03G0671300;TraesCS7B03G0889300;TraesCS2A03G0816900;TraesCS2B03G1426100;TraesCS4D03G0080500;TraesCS2D03G1332400;TraesCS3B03G0052700;TraesCS2A03G0392500;TraesCS2D03G1200600;TraesCS1B03G0195500;TraesCS2D03G0882600;TraesCS2A03G1051700;TraesCS4A03G0753300;TraesCS6A03G0229000;TraesCS2A03G1244900;TraesCS2B03G1425700;TraesCS2D03G1258500;TraesCS5A03G1193900;TraesCS5A03G1008800;TraesCS2A03G1244500;TraesCS5B03G0079200;TraesCS2B03G0799700;TraesCS6A03G0775300;TraesCS2D03G0638400;TraesCS4B03G0855700;TraesCS7B03G0712400;TraesCS2A03G0723800;TraesCS5B03G0260600;TraesCS2B03G1551500;TraesCS3B03G0645900;TraesCS4D03G0436300;TraesCS6B03G0318000;TraesCS2A03G0761200;TraesCS7A03G0204800;TraesCS7A03G1255100;TraesCS2B03G0999600;TraesCS2D03G1258400;TraesCS6A03G0824800;TraesCS2D03G0609300;TraesCS2D03G0125300;TraesCS4B03G0097800;TraesCS7A03G1128200;TraesCS2B03G0731200;TraesCS2D03G0992500;TraesCS3D03G0594300;TraesCS3B03G0744100;TraesCS1B03G0620900;TraesCS4D03G0638100;TraesCS1B03G0972500;TraesCS3D03G0791000;TraesCS2B03G1552700;TraesCS2D03G0432100;TraesCS3B03G0648700;TraesCS5A03G0096900;TraesCS1D03G0710700;TraesCS7A03G1017300;TraesCS2D03G1200300;TraesCS7A03G0599900;TraesCS1D03G0001500;TraesCS1B03G0777100;TraesCS2A03G0468100;TraesCS3A03G0089200;TraesCS5B03G1054800;TraesCS3A03G1035900;TraesCS2B03G1146000;TraesCS7D03G0834400;TraesCS3A03G0635900;TraesCS1B03G0853300;TraesCS1D03G0814000;TraesCS3D03G0104200;TraesCS1B03G0155900;TraesCS2B03G0590200;TraesCS7B03G0714200;TraesCS3D03G0685500;TraesCS1B03G0348200;TraesCS2A03G0415000;TraesCS3B03G1013100;TraesCS2B03G0122900;TraesCS3B03G0985900;TraesCS2A03G1176600;TraesCS4B03G0810700;TraesCS5B03G0894300;TraesCS6D03G0656800;TraesCS1B03G0766500;TraesCS5D03G1051700;TraesCS6B03G0366500;TraesCS1A03G0117100;TraesCS2A03G0944200;TraesCS6D03G0599400;TraesCS2D03G1066000;TraesCS2D03G1190700;TraesCS3B03G0398000;TraesCS2B03G1338500;TraesCS3D03G0336300;TraesCS4D03G0305700;TraesCS6A03G0898700;TraesCS5A03G0852200;TraesCS5A03G0919100;TraesCS7A03G0826200;TraesCS2D03G0667000;TraesCS4B03G0097200;TraesCS2D03G0478400;TraesCS1A03G0403500;TraesCS3A03G0645400;TraesCS4B03G0689300;TraesCS5D03G0814400;TraesCS6A03G0578400;TraesCS2B03G1040500;TraesCS3D03G0761800;TraesCS7D03G0100600;TraesCS3A03G0318600;TraesCS2A03G0909900;TraesCS2D03G1199800;TraesCS7A03G0281300;TraesCS3D03G0066700;TraesCS2B03G1541000;TraesCS1A03G0404300;TraesCS1D03G0300400;TraesCS1D03G0373400;TraesCS4A03G0114600;TraesCS1B03G1221800;TraesCS2B03G1425900;TraesCS5B03G0516500;TraesCS4B03G0064300;TraesCS7D03G1086900;TraesCS4A03G0697700;TraesCS2A03G0606900;TraesCS7D03G0183500;TraesCS2A03G0128600;TraesCS3A03G0269600;TraesCS1B03G0003300</t>
  </si>
  <si>
    <t>163 (2.89%)</t>
  </si>
  <si>
    <t>TraesCS3A03G0076900;TraesCS3A03G0787100;TraesCS3D03G0075200;TraesCS4A03G0573600;TraesCS3B03G0103500;TraesCS4B03G0228300;TraesCS4D03G0190300;TraesCS3B03G0906100</t>
  </si>
  <si>
    <t>8 (14.04%)</t>
  </si>
  <si>
    <t>4 (44.44%)</t>
  </si>
  <si>
    <t>TraesCS4A03G0573600;TraesCS4B03G0228300;TraesCS2B03G0820700;TraesCS4D03G0190300</t>
  </si>
  <si>
    <t>TraesCS7D03G1218400;TraesCS2D03G0432100;TraesCS1A03G0268100;TraesCS1D03G0351700;TraesCS2D03G1200500;TraesCS7A03G1017300;TraesCS2D03G1200300;TraesCS2A03G1245100;TraesCS2B03G0699900;TraesCS3A03G1035900;TraesCS2B03G1146000;TraesCS7B03G0858100;TraesCS2B03G1425800;TraesCS5A03G0078600;TraesCS3B03G1191300;TraesCS1B03G0348200;TraesCS2B03G0172800;TraesCS2A03G0415000;TraesCS1B03G0453200;TraesCS1D03G0703400;TraesCS2A03G1176600;TraesCS6D03G0656800;TraesCS1B03G0766500;TraesCS2A03G0816900;TraesCS2B03G1426100;TraesCS3B03G0398000;TraesCS2B03G1338500;TraesCS4D03G0305700;TraesCS5A03G0919100;TraesCS2D03G0667000;TraesCS2D03G1200600;TraesCS4B03G0689300;TraesCS4A03G0753300;TraesCS6A03G0229000;TraesCS2A03G1244900;TraesCS2B03G1425700;TraesCS2A03G1244500;TraesCS3D03G0761800;TraesCS5B03G0079200;TraesCS2B03G0799700;TraesCS6A03G0775300;TraesCS2D03G1199800;TraesCS2A03G0723800;TraesCS6B03G0318000;TraesCS2B03G1425900;TraesCS2D03G0125300;TraesCS2A03G0606900;TraesCS2A03G0128600;TraesCS4D03G0638100</t>
  </si>
  <si>
    <t>49 (4%)</t>
  </si>
  <si>
    <t>TraesCS3A03G0830700;TraesCS4A03G0573600;TraesCS2A03G0416100;TraesCS3D03G0761900;TraesCS6A03G0350400;TraesCS4B03G0228300;TraesCS4D03G0190300;TraesCS3B03G0951200</t>
  </si>
  <si>
    <t>8 (14.55%)</t>
  </si>
  <si>
    <t>TraesCS6A03G0951400;TraesCS7A03G0425500;TraesCS5A03G0669400;TraesCS5B03G0393900;TraesCS4B03G0489100;TraesCS4B03G0712900;TraesCS6B03G0822000;TraesCS1D03G0507600;TraesCS2B03G0699900;TraesCS3A03G0830700;TraesCS4A03G0289200;TraesCS3B03G0374100;TraesCS1D03G0166900;TraesCS1B03G0008600;TraesCS3A03G0392300;TraesCS6A03G0784300;TraesCS2D03G0353500;TraesCS4A03G0573600;TraesCS6A03G0656800;TraesCS4D03G0488700;TraesCS1D03G0881700;TraesCS3D03G0691300;TraesCS3B03G0906100;TraesCS5A03G0576900;TraesCS5A03G0488700;TraesCS3A03G0230900;TraesCS1D03G0718400;TraesCS3A03G0818000;TraesCS5D03G0341000;TraesCS6D03G0828700;TraesCS3A03G0418900;TraesCS3D03G0575900;TraesCS4B03G0579600;TraesCS7B03G0745400;TraesCS7B03G0802400;TraesCS4A03G0985700;TraesCS3D03G0877600;TraesCS2D03G0991800;TraesCS3A03G0086900;TraesCS4A03G0067300;TraesCS6A03G0861500;TraesCS1A03G1004100;TraesCS1D03G0663800;TraesCS1A03G0749200;TraesCS3A03G0944500;TraesCS4A03G0462400;TraesCS3D03G0561400;TraesCS4D03G0734000;TraesCS7B03G1269400;TraesCS4D03G0514500;TraesCS3A03G0418200;TraesCS3A03G0894700;TraesCS6A03G0575500;TraesCS3A03G0003300;TraesCS6B03G0813300;TraesCS2B03G1116700;TraesCS1B03G1184600;TraesCS3B03G0858000;TraesCS1D03G0851300;TraesCS5D03G0541100;TraesCS1D03G0966000;TraesCS3A03G0635500;TraesCS3B03G1077200;TraesCS3A03G0086600;TraesCS1B03G0793700;TraesCS6A03G0129300;TraesCS2B03G1484400;TraesCS2D03G0741000;TraesCS3D03G0756000;TraesCS7B03G1124700;TraesCS2A03G0801300;TraesCS2A03G0209100;TraesCS4B03G0228300;TraesCS2D03G0215300;TraesCS1D03G0711800;TraesCS3B03G0704900;TraesCS6B03G1161800;TraesCS3A03G0787100;TraesCS5A03G0576700;TraesCS1A03G0172500;TraesCS1A03G0429400;TraesCS4A03G0278400;TraesCS1B03G1061300;TraesCS1B03G0529400;TraesCS3D03G0535800;TraesCS3A03G0076900;TraesCS3D03G0067900;TraesCS7B03G0229800;TraesCS2A03G0334500;TraesCS3D03G0813500;TraesCS1D03G0290200;TraesCS1A03G0749400;TraesCS5A03G0691700;TraesCS1D03G1014400;TraesCS3B03G0809300;TraesCS5D03G0638700;TraesCS1D03G0405400;TraesCS6A03G0350400;TraesCS4A03G0265000;TraesCS5A03G0219300;TraesCS1A03G0903400;TraesCS2D03G1276400;TraesCS2A03G0606900;TraesCS3A03G0234800;TraesCS5A03G0488800;TraesCS1B03G1061200;TraesCS5A03G0912200;TraesCS7D03G0183900;TraesCS4B03G0554300;TraesCS1A03G0696200;TraesCS4B03G0481100;TraesCS4D03G0435100;TraesCS6B03G0931400;TraesCS3B03G0484700;TraesCS3D03G0225500;TraesCS2A03G1019200;TraesCS3D03G0761900;TraesCS4A03G0078800;TraesCS2A03G0999000;TraesCS3A03G0822800;TraesCS4A03G0124800;TraesCS5D03G0873200;TraesCS3A03G0453400;TraesCS3A03G0663100;TraesCS7A03G0380000;TraesCS2A03G0220000;TraesCS3D03G0379400;TraesCS1D03G0572400;TraesCS4A03G0238700;TraesCS7B03G0030800;TraesCS3B03G0287300;TraesCS5A03G0577000;TraesCS3A03G0991400;TraesCS4A03G0008600;TraesCS2B03G0452500;TraesCS2D03G0214000;TraesCS5D03G0541400;TraesCS5D03G0566700;TraesCS3D03G0650500;TraesCS3D03G0075200;TraesCS2B03G0887400;TraesCS3B03G0733200;TraesCS2B03G1138900;TraesCS1A03G0655800;TraesCS3B03G0951200;TraesCS3D03G0754000;TraesCS4A03G0218300;TraesCS5B03G0589800;TraesCS4D03G0222900;TraesCS2D03G0219000;TraesCS1A03G0301300;TraesCS5A03G0943000;TraesCS7D03G1261100;TraesCS1B03G0235500;TraesCS5B03G0961800;TraesCS7A03G0478400;TraesCS4B03G0503000;TraesCS5A03G0601000;TraesCS5A03G0517600;TraesCS5A03G1005300;TraesCS4D03G0577700;TraesCS1D03G0572300;TraesCS4B03G0653900;TraesCS6A03G0149700;TraesCS2A03G0416100;TraesCS2A03G1004300;TraesCS7D03G0410800;TraesCS5D03G0541500;TraesCS3B03G0092900;TraesCS4D03G0448900;TraesCS1B03G0795600;TraesCS2B03G1484800;TraesCS2B03G0296800;TraesCS1B03G1020500;TraesCS4A03G0195500;TraesCS3B03G1013100;TraesCS1D03G0747700;TraesCS1B03G0763900;TraesCS1A03G0603300;TraesCS7A03G0422700;TraesCS3D03G0221600;TraesCS4B03G0261400;TraesCS3A03G0309300;TraesCS1B03G0848500;TraesCS1A03G0526300;TraesCS1D03G0718600;TraesCS2D03G0960200;TraesCS2D03G0583400;TraesCS4D03G0190300;TraesCS5B03G0490600;TraesCS1B03G0695700;TraesCS3B03G0860600;TraesCS1D03G0966500;TraesCS3A03G0886600;TraesCS3B03G0103500;TraesCS7B03G0980500;TraesCS6B03G1030800;TraesCS2B03G0296700;TraesCS1A03G0743700;TraesCS2D03G0466300;TraesCS1A03G0603400;TraesCS7A03G1335000;TraesCS5D03G0453600;TraesCS3B03G0796100;TraesCS2D03G0662000;TraesCS2D03G0421300;TraesCS7D03G0210600;TraesCS7D03G1174900;TraesCS5B03G0490500</t>
  </si>
  <si>
    <t>209 (2.78%)</t>
  </si>
  <si>
    <t>163 (2.91%)</t>
  </si>
  <si>
    <t>TraesCS6A03G0005200;TraesCS2D03G1127500;TraesCS2A03G1175800;TraesCS3A03G0160300;TraesCS3B03G0201700;TraesCS4A03G0874000;TraesCS5A03G0388500;TraesCS5B03G1264800;TraesCS4B03G0129600;TraesCS4A03G0669100;TraesCS2A03G1242300;TraesCS5D03G0376900;TraesCS2D03G0095200;TraesCS3D03G0142600;TraesCS7B03G0960400;TraesCS1B03G0755500;TraesCS3D03G0717600;TraesCS1D03G0782600;TraesCS2A03G1137500;TraesCS2B03G0753800;TraesCS5D03G1133900;TraesCS1D03G0626000;TraesCS1A03G0872400;TraesCS1D03G0846000;TraesCS7D03G1058600</t>
  </si>
  <si>
    <t>25 (5.57%)</t>
  </si>
  <si>
    <t>TraesCS4D03G0024100;TraesCS3A03G0076900;TraesCS4D03G0024200;TraesCS7B03G0802400;TraesCS3B03G0103500;TraesCS2A03G0416100;TraesCS3B03G0858000;TraesCS6D03G0101500;TraesCS3D03G0225500;TraesCS6B03G1030800;TraesCS5A03G1074600;TraesCS5D03G0541400;TraesCS4A03G0751100;TraesCS3A03G0830700;TraesCS4A03G0751400;TraesCS5B03G1137700;TraesCS3D03G0075200;TraesCS6A03G0861500;TraesCS2B03G0887400;TraesCS3D03G0761900;TraesCS3B03G0374100;TraesCS2D03G0741000;TraesCS3B03G0951200;TraesCS4A03G0218300;TraesCS2A03G0801300;TraesCS4A03G0573600;TraesCS3B03G0207200;TraesCS1A03G0301300;TraesCS4D03G0488700;TraesCS6A03G0350400;TraesCS4B03G0228300;TraesCS7A03G0380000;TraesCS3D03G0691300;TraesCS3B03G0796100;TraesCS5D03G0913400;TraesCS6D03G0290200;TraesCS3B03G0906100;TraesCS5A03G0576900;TraesCS3A03G0787100;TraesCS4A03G0238700;TraesCS3A03G0309300;TraesCS3A03G0234800;TraesCS3A03G0230900;TraesCS2B03G1145100;TraesCS4D03G0190300;TraesCS7B03G0996700;TraesCS3B03G0287300;TraesCS4B03G0554300</t>
  </si>
  <si>
    <t>48 (4.11%)</t>
  </si>
  <si>
    <t>TraesCS7A03G0425500;TraesCS6A03G0005200;TraesCS2A03G0416100;TraesCS3B03G0858000;TraesCS2D03G1127500;TraesCS5D03G0541100;TraesCS3A03G0160300;TraesCS3D03G0225500;TraesCS3B03G0201700;TraesCS5A03G0388500;TraesCS2B03G0699900;TraesCS4A03G0669100;TraesCS2A03G1242300;TraesCS5D03G0376900;TraesCS2A03G0941300;TraesCS2D03G0095200;TraesCS3B03G0374100;TraesCS2D03G0741000;TraesCS1B03G0008600;TraesCS2A03G0801300;TraesCS4A03G0573600;TraesCS7B03G0960400;TraesCS1B03G0755500;TraesCS3A03G0453400;TraesCS4B03G0228300;TraesCS7A03G0380000;TraesCS3D03G0691300;TraesCS2A03G0220000;TraesCS4A03G0238700;TraesCS5D03G1133900;TraesCS1D03G0626000;TraesCS3A03G0309300;TraesCS5A03G0576700;TraesCS2D03G0583400;TraesCS3A03G0230900;TraesCS1A03G0429400;TraesCS4D03G0190300;TraesCS1A03G0872400;TraesCS7D03G1058600;TraesCS3B03G0860600;TraesCS3B03G0287300;TraesCS7B03G0802400;TraesCS2A03G1175800;TraesCS6B03G1030800;TraesCS4A03G0874000;TraesCS5B03G1264800;TraesCS2D03G0991800;TraesCS2B03G1042000;TraesCS4B03G0129600;TraesCS6A03G0861500;TraesCS2B03G0887400;TraesCS3D03G0142600;TraesCS4A03G0218300;TraesCS1D03G0405400;TraesCS1A03G0301300;TraesCS3D03G0717600;TraesCS4A03G0462400;TraesCS1D03G0782600;TraesCS2A03G1137500;TraesCS2B03G0753800;TraesCS3B03G0796100;TraesCS2A03G0606900;TraesCS2D03G0421300;TraesCS3A03G0234800;TraesCS1D03G0846000;TraesCS7D03G0183900;TraesCS4B03G0554300</t>
  </si>
  <si>
    <t>67 (3.67%)</t>
  </si>
  <si>
    <t>25 (5.67%)</t>
  </si>
  <si>
    <t>3 (100%)</t>
  </si>
  <si>
    <t>5 (35.71%)</t>
  </si>
  <si>
    <t>TraesCS2A03G0801300;TraesCS4A03G0573600;TraesCS2A03G0416100;TraesCS3B03G0858000;TraesCS4B03G0228300;TraesCS3D03G0691300;TraesCS3D03G0225500;TraesCS6B03G1030800;TraesCS4A03G0238700;TraesCS3A03G0309300;TraesCS3A03G0234800;TraesCS6A03G0861500;TraesCS2B03G0887400;TraesCS3A03G0230900;TraesCS4D03G0190300;TraesCS3B03G0374100;TraesCS2D03G0741000;TraesCS3B03G0287300</t>
  </si>
  <si>
    <t>18 (7.23%)</t>
  </si>
  <si>
    <t>TraesCS6A03G0005200;TraesCS2D03G1127500;TraesCS2A03G1175800;TraesCS3A03G0160300;TraesCS3B03G0201700;TraesCS4A03G0874000;TraesCS5A03G0388500;TraesCS5B03G1264800;TraesCS4B03G0129600;TraesCS4A03G0669100;TraesCS2A03G1242300;TraesCS5D03G0376900;TraesCS2D03G0095200;TraesCS3D03G0142600;TraesCS4A03G0218300;TraesCS7B03G0960400;TraesCS1B03G0755500;TraesCS4D03G0488700;TraesCS3D03G0717600;TraesCS1D03G0782600;TraesCS2A03G1137500;TraesCS2B03G0753800;TraesCS5D03G1133900;TraesCS1D03G0626000;TraesCS1A03G0872400;TraesCS1D03G0846000;TraesCS7D03G1058600;TraesCS4B03G0554300</t>
  </si>
  <si>
    <t>28 (5.43%)</t>
  </si>
  <si>
    <t>TraesCS3A03G0076900;TraesCS3D03G0075200;TraesCS4A03G0573600;TraesCS3B03G0103500;TraesCS4D03G0488700;TraesCS4B03G0228300;TraesCS4D03G0190300;TraesCS4A03G0218300;TraesCS4B03G0554300</t>
  </si>
  <si>
    <t>9 (14.52%)</t>
  </si>
  <si>
    <t>TraesCS4A03G0573600;TraesCS2A03G0416100;TraesCS3B03G0858000;TraesCS6A03G0350400;TraesCS4B03G0228300;TraesCS3D03G0691300;TraesCS2D03G0662000;TraesCS3A03G0830700;TraesCS3D03G0761900;TraesCS3A03G0230900;TraesCS3A03G0894700;TraesCS4D03G0190300;TraesCS1D03G1014400;TraesCS1A03G0655800;TraesCS3B03G0287300;TraesCS3B03G0951200</t>
  </si>
  <si>
    <t>16 (8.12%)</t>
  </si>
  <si>
    <t>TraesCS1B03G0108400;TraesCS2D03G0459600;TraesCS6D03G0607800;TraesCS1B03G0334900;TraesCS6A03G0725000;TraesCS6B03G0858400;TraesCS2B03G0540200;TraesCS5B03G1146900</t>
  </si>
  <si>
    <t>8 (17.39%)</t>
  </si>
  <si>
    <t>TraesCS5A03G0576900;TraesCS7B03G0802400;TraesCS6A03G0861500;TraesCS4D03G0488700;TraesCS6A03G0350400;TraesCS6B03G1030800;TraesCS4A03G0218300;TraesCS4B03G0554300;TraesCS5D03G0541400</t>
  </si>
  <si>
    <t>9 (15%)</t>
  </si>
  <si>
    <t>16 (8.33%)</t>
  </si>
  <si>
    <t>TraesCS1B03G0708800;TraesCS1B03G1001500;TraesCS3B03G0858000;TraesCS4D03G0488700;TraesCS6A03G0350400;TraesCS3D03G0691300;TraesCS6B03G1030800;TraesCS5D03G0913400;TraesCS5D03G0541400;TraesCS5A03G0576900;TraesCS6A03G0861500;TraesCS4A03G0218300;TraesCS4B03G0554300</t>
  </si>
  <si>
    <t>13 (10.24%)</t>
  </si>
  <si>
    <t>TraesCS7B03G0802400;TraesCS2A03G0416100;TraesCS3B03G0858000;TraesCS6D03G0101500;TraesCS3D03G0225500;TraesCS6B03G1030800;TraesCS5A03G1074600;TraesCS5D03G0541400;TraesCS2B03G0699900;TraesCS3A03G0830700;TraesCS5B03G1137700;TraesCS6A03G0578400;TraesCS6A03G0861500;TraesCS2B03G0887400;TraesCS3D03G0761900;TraesCS3B03G0374100;TraesCS2D03G0741000;TraesCS3B03G0951200;TraesCS4A03G0218300;TraesCS2A03G0801300;TraesCS4A03G0573600;TraesCS5D03G0953200;TraesCS3B03G0207200;TraesCS4D03G0488700;TraesCS6A03G0350400;TraesCS4B03G0228300;TraesCS3D03G0691300;TraesCS5D03G0913400;TraesCS3B03G0906100;TraesCS5A03G0576900;TraesCS3A03G0787100;TraesCS4A03G0238700;TraesCS3A03G0309300;TraesCS2A03G0606900;TraesCS3A03G0234800;TraesCS3A03G0230900;TraesCS4D03G0190300;TraesCS3B03G0287300;TraesCS4B03G0554300</t>
  </si>
  <si>
    <t>39 (4.76%)</t>
  </si>
  <si>
    <t>8 (20%)</t>
  </si>
  <si>
    <t>TraesCS2A03G0801300;TraesCS2B03G0887400;TraesCS4A03G0289200;TraesCS4B03G0481100;TraesCS3A03G0818000;TraesCS2D03G0741000;TraesCS3D03G0535800;TraesCS3D03G0754000</t>
  </si>
  <si>
    <t>TraesCS2B03G0699900;TraesCS2A03G0606900;TraesCS6A03G0861500;TraesCS6B03G1030800</t>
  </si>
  <si>
    <t>4 (80%)</t>
  </si>
  <si>
    <t>TraesCS5B03G0387100;TraesCS2A03G1079100;TraesCS3B03G0115900;TraesCS5A03G0031900;TraesCS7B03G0401300;TraesCS2A03G1085900;TraesCS3D03G0376300;TraesCS5D03G1211400;TraesCS1A03G0502000;TraesCS2A03G0133300;TraesCS7A03G0455600;TraesCS2B03G0183000;TraesCS3A03G0222600;TraesCS3A03G1158600;TraesCS3B03G0374100;TraesCS1B03G0008600;TraesCS2B03G0189900;TraesCS3D03G0662300;TraesCS4A03G0573600;TraesCS4D03G0488700;TraesCS1D03G0881700;TraesCS4D03G0174000;TraesCS6A03G0782800;TraesCS5D03G0151600;TraesCS6B03G0777800;TraesCS1B03G0089700;TraesCS2D03G0176500;TraesCS2A03G1090000;TraesCS4A03G0584600;TraesCS1D03G0983500;TraesCS4A03G0123200;TraesCS5D03G0966800;TraesCS2D03G0897400;TraesCS1A03G0872400;TraesCS1A03G1009900;TraesCS2D03G1028000;TraesCS7B03G1108300;TraesCS1B03G0041400;TraesCS4B03G0254000;TraesCS6A03G0313900;TraesCS2D03G0465800;TraesCS5B03G1359300;TraesCS2B03G0144900;TraesCS6D03G0866300;TraesCS2A03G1175800;TraesCS2D03G0794500;TraesCS6B03G0808400;TraesCS2D03G0991800;TraesCS2D03G0131800;TraesCS3A03G0656300;TraesCS5D03G0837600;TraesCS3D03G0079400;TraesCS4A03G0067300;TraesCS7D03G0198400;TraesCS6A03G0861500;TraesCS6D03G0066600;TraesCS6D03G0521300;TraesCS5B03G1196000;TraesCS3D03G0121100;TraesCS2D03G0945600;TraesCS5B03G0812500;TraesCS2A03G0134400;TraesCS1B03G0764500;TraesCS3B03G0904700;TraesCS3B03G1345200;TraesCS7A03G0456900;TraesCS1D03G0213300;TraesCS5B03G1281400;TraesCS5A03G0623600;TraesCS3A03G0097900;TraesCS1A03G0014900;TraesCS4B03G0095000;TraesCS2B03G1416200;TraesCS1D03G0486100;TraesCSU03G0180200;TraesCS6A03G0215300;TraesCS2D03G0095200;TraesCS7A03G0201200;TraesCS7D03G0479000;TraesCS5B03G1146900;TraesCS3B03G1308200;TraesCS7B03G0807800;TraesCS6D03G0618800;TraesCS5D03G0447200;TraesCS2A03G0201500;TraesCS3B03G0962800;TraesCS4A03G0976800;TraesCS2D03G1180100;TraesCS5D03G0151400;TraesCS7D03G0450700;TraesCS5D03G1133900;TraesCS3D03G0950200;TraesCS3D03G1068100;TraesCS2A03G0051200;TraesCS1D03G0739000;TraesCS2D03G0207000;TraesCS5A03G0398600;TraesCS3A03G0263000;TraesCS3D03G0044700;TraesCS2A03G0955200;TraesCS4B03G0756100;TraesCS5B03G1281300;TraesCS7A03G1338000;TraesCS1D03G0294000;TraesCS2B03G0587100;TraesCS6D03G0607800;TraesCS1A03G0747900;TraesCS5B03G0541500;TraesCS7A03G0134700;TraesCS1D03G1014400;TraesCS4A03G0866100;TraesCS4B03G0761800;TraesCS4D03G0782300;TraesCS6D03G0269300;TraesCS7A03G0935400;TraesCS6A03G0754000;TraesCS2B03G1222100;TraesCS1D03G0455400;TraesCS7B03G0897900;TraesCS2D03G1033400;TraesCS2A03G0826800;TraesCS5B03G0554700;TraesCS2D03G0049200;TraesCS1A03G0903400;TraesCS1B03G0644100;TraesCS5D03G0151300;TraesCS4D03G0270300;TraesCS2D03G0396900;TraesCS2A03G0606900;TraesCS2D03G1123700;TraesCS4A03G0695000;TraesCS2D03G0289600;TraesCS2A03G0325000;TraesCS7A03G0248500;TraesCS3B03G1383600;TraesCS4B03G0554300;TraesCS5A03G0533200;TraesCS5D03G0041900;TraesCS2B03G0276600;TraesCS4D03G0481000;TraesCSU03G0030300;TraesCS1B03G0334900;TraesCS4B03G0504300;TraesCS1B03G0290200;TraesCS7B03G0720400;TraesCS2A03G1019200;TraesCS7B03G0399300;TraesCS2D03G1258600;TraesCS1B03G0235700;TraesCS7D03G0211400;TraesCS4B03G0947500;TraesCS6D03G0269600;TraesCS1D03G0237000;TraesCS2B03G0072900;TraesCS1B03G0807600;TraesCS7B03G1239600;TraesCS7D03G1162900;TraesCS7B03G1200800;TraesCS7B03G1143000;TraesCS4D03G0810400;TraesCS7A03G0814900;TraesCS3D03G0026700;TraesCS1A03G0454100;TraesCS5D03G0913400;TraesCS2A03G0220000;TraesCS7D03G1236900;TraesCS2B03G0452300;TraesCS7A03G0871600;TraesCS5D03G1051900;TraesCS1A03G0042900;TraesCS1B03G1046000;TraesCS3B03G0172400;TraesCS3B03G0287300;TraesCS4A03G0595000;TraesCS1D03G0725300;TraesCS1D03G0813600;TraesCS2B03G1527600;TraesCS3B03G0480000;TraesCS1D03G0867900;TraesCS7B03G0264800;TraesCS4A03G0008600;TraesCS4D03G0217200;TraesCS6D03G0537600;TraesCS3B03G0762200;TraesCS7B03G1242900;TraesCS1D03G0864400;TraesCS5A03G1069200;TraesCS3D03G0125000;TraesCS7A03G0495900;TraesCS7A03G1284300;TraesCS1A03G0041900;TraesCS1A03G1029800;TraesCS7D03G0725900;TraesCS1A03G0655800;TraesCS2B03G0944400;TraesCS3D03G0278800;TraesCS1B03G0293800;TraesCS7A03G1308000;TraesCS6B03G0076200;TraesCS5A03G0664200;TraesCS7D03G0929100;TraesCS2D03G0057400;TraesCS1D03G0990200;TraesCS2A03G1137500;TraesCS6B03G0013900;TraesCS6D03G0666900;TraesCS5B03G0611500;TraesCS2A03G0077000;TraesCS5B03G0570400;TraesCS1D03G0167700;TraesCS3D03G0059700;TraesCS1D03G0867800;TraesCS6A03G0791600;TraesCS2A03G0386900;TraesCS6A03G0816500;TraesCS6A03G0149700;TraesCS4A03G0226500;TraesCS1B03G0108400;TraesCS6D03G0478400;TraesCS7B03G0741300;TraesCS2D03G1324000;TraesCS4B03G0082200;TraesCS1A03G0266000;TraesCS3D03G0361800;TraesCS4B03G0133200;TraesCS6A03G0735900;TraesCS7A03G0929700;TraesCS6D03G0848100;TraesCS2A03G1242300;TraesCS3A03G1217300;TraesCS2B03G0504800;TraesCS6A03G0979900;TraesCS7D03G1242300;TraesCS2A03G0379000;TraesCS4D03G0050100;TraesCS3B03G0796000;TraesCS3D03G0639500;TraesCS2A03G1350900;TraesCS5D03G0561100;TraesCS7D03G0862700;TraesCS3A03G0309300;TraesCS5D03G1051700;TraesCS2D03G0583400;TraesCS2D03G1156900;TraesCS2B03G0182000;TraesCS4D03G0190300;TraesCS5A03G1049900;TraesCS3B03G0860600;TraesCS7A03G0800300;TraesCS5A03G0132900;TraesCS6A03G0053100;TraesCS3D03G0336300;TraesCS3A03G1098500;TraesCS3B03G0944900;TraesCS6D03G0352700;TraesCS2D03G1292700;TraesCS2B03G0584900;TraesCS2D03G0107300;TraesCS2B03G1233500;TraesCS2A03G0242200;TraesCS2A03G0334100;TraesCS4A03G0874000;TraesCS2B03G1042000;TraesCS5B03G1186500;TraesCS7D03G0066400;TraesCS5B03G0143600;TraesCS1D03G0625700;TraesCS7D03G0180100;TraesCS1B03G0971700;TraesCS5A03G1172100;TraesCS1B03G0457500;TraesCS4A03G0227600;TraesCS7D03G1219400;TraesCS2D03G0945400;TraesCS3B03G0708400;TraesCS1D03G0971500;TraesCS5B03G1093500;TraesCS5A03G0596900;TraesCS5D03G1214400;TraesCS2D03G0176600;TraesCS2D03G0421300;TraesCS1D03G0867600;TraesCS6B03G0798100;TraesCS2B03G0182100;TraesCS7A03G0353100;TraesCS4A03G0553700;TraesCS3D03G1056500;TraesCS6D03G0589900;TraesCS7A03G1283700;TraesCS6A03G0416200;TraesCS4A03G0805400;TraesCS1A03G0772000;TraesCS5A03G0516700;TraesCS6B03G0081400;TraesCS5A03G1074600;TraesCS2B03G0699900;TraesCS5B03G0524900;TraesCS6D03G0494400;TraesCS3D03G0026300;TraesCS5D03G0376900;TraesCS2A03G0941300;TraesCS4A03G0793100;TraesCS1A03G0502800;TraesCS3A03G0654900;TraesCS1D03G0990700;TraesCS2A03G0851600;TraesCS2A03G1088600;TraesCS5D03G0739500;TraesCS3D03G0578500;TraesCS4D03G0482600;TraesCS1D03G0002400;TraesCS3B03G1172900;TraesCS6B03G0951300;TraesCS3B03G0906100;TraesCS2B03G1370600;TraesCS1B03G0298200;TraesCS7B03G0725000;TraesCS2A03G0904100;TraesCS2D03G0111400;TraesCS7D03G0181500;TraesCS6B03G0962300;TraesCS4D03G0483600;TraesCS5A03G0780700;TraesCS1A03G0212200;TraesCS1D03G0244700;TraesCS3D03G0116200;TraesCS6A03G0725000;TraesCS3B03G0052700;TraesCS5B03G1264800;TraesCS7D03G0808200;TraesCS3A03G0442000;TraesCS7A03G1052600;TraesCS1A03G0017200;TraesCS3D03G0026400;TraesCS2D03G0131000;TraesCS7D03G1003900;TraesCS6D03G0678600;TraesCS4A03G0957800;TraesCS6B03G0928600;TraesCS3B03G0207200;TraesCS4A03G0953200;TraesCS5B03G1052000;TraesCS4B03G0545000;TraesCS6A03G0696800;TraesCS5A03G0649100;TraesCS1A03G0018400;TraesCS3D03G0946800;TraesCS3D03G1052100;TraesCS6B03G0813300;TraesCS6A03G0294800;TraesCS3A03G0137900;TraesCS5B03G1013900;TraesCS2B03G0180400;TraesCS5D03G0983900;TraesCS1B03G0842800;TraesCS7D03G0485000;TraesCS6A03G0005200;TraesCS6D03G0002800;TraesCS4B03G0626300;TraesCS2D03G1127500;TraesCS5D03G0541100;TraesCS3B03G0201700;TraesCS2B03G0586900;TraesCS5A03G0388500;TraesCS3A03G0685600;TraesCS7D03G1095900;TraesCS3D03G0026500;TraesCS7D03G0021900;TraesCS7A03G0289800;TraesCS4D03G0117700;TraesCS1B03G0044200;TraesCS6B03G0858400;TraesCS7A03G1238700;TraesCS5D03G0481900;TraesCS2D03G0741000;TraesCS3D03G0142700;TraesCS7B03G0754900;TraesCS2A03G0801300;TraesCS7A03G0466000;TraesCS7B03G0960400;TraesCS4B03G0228300;TraesCS5B03G0143300;TraesCS7A03G0298500;TraesCS1A03G0888500;TraesCS2B03G1344100;TraesCS1D03G0655500;TraesCS3A03G0787100;TraesCS5A03G0576700;TraesCS5A03G1005400;TraesCS7B03G0292300;TraesCS1A03G0753800;TraesCS5D03G0859900;TraesCS1B03G1061300;TraesCS7D03G1058600;TraesCS6D03G0585400;TraesCS7B03G0229800;TraesCS2D03G0459600;TraesCS6B03G0079100;TraesCS6B03G0006000;TraesCS5D03G0507200;TraesCS1B03G0852700;TraesCS3B03G0126100;TraesCS1D03G0715700;TraesCS5D03G0155100;TraesCS6D03G0007000;TraesCS2A03G0463700;TraesCS6B03G0001900;TraesCS3B03G0175700;TraesCS3D03G0609500;TraesCS7A03G0560100;TraesCS6B03G0724400;TraesCS2D03G1136200;TraesCS3D03G0142600;TraesCS3A03G0291100;TraesCS1D03G0782600;TraesCS3D03G0150100;TraesCS2B03G0583400;TraesCS2B03G0585700;TraesCS3D03G0769400;TraesCS2D03G1276400;TraesCS7B03G0654900;TraesCS7A03G0070100;TraesCS5D03G0318700;TraesCS1B03G1061200;TraesCS2B03G1206300;TraesCS4A03G0144900;TraesCS7D03G0183900;TraesCS4B03G0139500;TraesCS3A03G0187900;TraesCS4A03G0658200;TraesCS1B03G1206000;TraesCS7B03G0896100;TraesCS2A03G0753900;TraesCS2D03G1332500;TraesCS3B03G0745400;TraesCS3A03G0160300;TraesCS4D03G0620300;TraesCS5D03G1191300;TraesCS7B03G1201100;TraesCS5B03G0832300;TraesCS2B03G0190500;TraesCS4A03G0669100;TraesCS1A03G0691300;TraesCS6D03G0353300;TraesCS2B03G0072100;TraesCS3B03G1460700;TraesCS2A03G0999000;TraesCS3D03G0599700;TraesCS3A03G0631500;TraesCS5A03G0481000;TraesCS1B03G0545700;TraesCS6A03G0121100;TraesCS4B03G0989700;TraesCS1B03G0788200;TraesCS3A03G1022400;TraesCS1B03G0755500;TraesCS3A03G0453400;TraesCS7A03G0380000;TraesCS5D03G0447000;TraesCS7A03G0478300;TraesCS1A03G0739000;TraesCS1D03G0035700;TraesCS1D03G0626000;TraesCS7A03G0454100;TraesCSU03G0175500;TraesCS1A03G0172700;TraesCS2D03G1135100;TraesCS3D03G0122600;TraesCS7D03G0143500;TraesCS5D03G0436000;TraesCS5B03G1124100;TraesCS1A03G0881300;TraesCS6A03G0133300;TraesCS7A03G1223700;TraesCS7D03G1218900;TraesCS5A03G0799600;TraesCS1B03G0574000;TraesCS5D03G0323400;TraesCS6A03G0314000;TraesCS2B03G0237100;TraesCS2B03G1344800;TraesCS2B03G0887400;TraesCS7A03G0889900;TraesCS5D03G1090700;TraesCS4B03G0652800;TraesCS1D03G0185800;TraesCS2B03G1138900;TraesCS6B03G0636900;TraesCS2A03G0259600;TraesCS4A03G0218300;TraesCS4A03G0953600;TraesCS4B03G0211800;TraesCS4B03G0543100;TraesCS7D03G0753800;TraesCS2D03G1062300;TraesCS6B03G1204700;TraesCS5A03G1005300;TraesCS7A03G1243400;TraesCS5D03G0461300;TraesCS3B03G1362600;TraesCS6B03G0096700;TraesCS1B03G0540000;TraesCS3A03G0839100;TraesCS6D03G0287600;TraesCSU03G0011300;TraesCS6D03G0472300;TraesCS5D03G0952300;TraesCS5A03G0124500;TraesCS7B03G0319700;TraesCS4A03G0675700;TraesCS3D03G0026100;TraesCS2D03G0471300;TraesCS7A03G0815000;TraesCS5B03G0566500;TraesCS4D03G0293700;TraesCS5A03G0811400;TraesCS1D03G0103000;TraesCS6A03G0740800;TraesCS1D03G0726900;TraesCS2B03G0533800;TraesCS3A03G0698500;TraesCS1B03G1045900;TraesCS6B03G0095200;TraesCS1D03G0747700;TraesCS2B03G0867600;TraesCS1A03G0215100;TraesCS5B03G0554400;TraesCS3B03G0074800;TraesCS1D03G0486500;TraesCS5A03G1137900;TraesCS1D03G0035500;TraesCS2D03G0960200;TraesCS7B03G1272900;TraesCS2A03G1295800;TraesCS2B03G0387200;TraesCS7A03G0502200;TraesCS5D03G0687800;TraesCS3B03G1173100;TraesCS6B03G1030800;TraesCS5B03G1116800;TraesCS7B03G0277000;TraesCS3A03G0037500;TraesCS2B03G0072200;TraesCS5B03G1137700;TraesCS4B03G0129600;TraesCS6A03G0016400;TraesCS2B03G0969100;TraesCS6B03G1165200;TraesCS2D03G0168300;TraesCS5D03G0499700;TraesCS1A03G0672600;TraesCS1D03G0868000;TraesCS7A03G1278400;TraesCS3D03G0717600;TraesCS7A03G1224700;TraesCS2B03G0753800;TraesCS2B03G0540200;TraesCS5B03G1159600;TraesCS5B03G1216200;TraesCS4B03G0210400;TraesCS2B03G0586400;TraesCS6B03G0427800;TraesCS5B03G0756900;TraesCS2B03G0387300;TraesCS6A03G0575700;TraesCS1D03G0846000;TraesCS2B03G0180600</t>
  </si>
  <si>
    <t>567 (2.5%)</t>
  </si>
  <si>
    <t>TraesCS2B03G1042000;TraesCS5A03G0576900;TraesCS7B03G0802400;TraesCS6A03G0578400;TraesCS6A03G0861500;TraesCS4D03G0488700;TraesCS6A03G0350400;TraesCS2A03G0941300;TraesCS6B03G1030800;TraesCS4A03G0218300;TraesCS4B03G0554300;TraesCS5D03G0541400</t>
  </si>
  <si>
    <t>12 (13.95%)</t>
  </si>
  <si>
    <t>TraesCS5B03G0387100;TraesCS2A03G1079100;TraesCS3B03G0115900;TraesCS5A03G0031900;TraesCS7B03G0401300;TraesCS2A03G1085900;TraesCS3D03G0376300;TraesCS5D03G1211400;TraesCS2A03G0133300;TraesCS7A03G0455600;TraesCS2B03G0183000;TraesCS3A03G0222600;TraesCS3A03G1158600;TraesCS3B03G0374100;TraesCS1B03G0008600;TraesCS2B03G0189900;TraesCS3D03G0662300;TraesCS4A03G0573600;TraesCS4D03G0488700;TraesCS1D03G0881700;TraesCS4D03G0174000;TraesCS6A03G0782800;TraesCS5D03G0151600;TraesCS6B03G0777800;TraesCS1B03G0089700;TraesCS2D03G0176500;TraesCS2A03G1090000;TraesCS4A03G0584600;TraesCS1D03G0983500;TraesCS4A03G0123200;TraesCS2D03G0897400;TraesCS1A03G0872400;TraesCS1A03G1009900;TraesCS2D03G1028000;TraesCS7B03G1108300;TraesCS1B03G0041400;TraesCS4B03G0254000;TraesCS6A03G0313900;TraesCS2D03G0465800;TraesCS2B03G0144900;TraesCS6D03G0866300;TraesCS2A03G1175800;TraesCS2D03G0794500;TraesCS6B03G0808400;TraesCS2D03G0991800;TraesCS2D03G0131800;TraesCS3A03G0656300;TraesCS5D03G0837600;TraesCS3D03G0079400;TraesCS4A03G0067300;TraesCS7D03G0198400;TraesCS6A03G0861500;TraesCS6D03G0066600;TraesCS6D03G0521300;TraesCS5B03G1196000;TraesCS3D03G0121100;TraesCS2D03G0945600;TraesCS5B03G0812500;TraesCS2A03G0134400;TraesCS1B03G0764500;TraesCS3B03G0904700;TraesCS7A03G0456900;TraesCS1D03G0213300;TraesCS5B03G1281400;TraesCS5A03G0623600;TraesCS3A03G0097900;TraesCS1A03G0014900;TraesCS4B03G0095000;TraesCS2B03G1416200;TraesCSU03G0180200;TraesCS6A03G0215300;TraesCS2D03G0095200;TraesCS7A03G0201200;TraesCS7D03G0479000;TraesCS5B03G1146900;TraesCS3B03G1308200;TraesCS7B03G0807800;TraesCS6D03G0618800;TraesCS5D03G0447200;TraesCS2A03G0201500;TraesCS3B03G0962800;TraesCS4A03G0976800;TraesCS2D03G1180100;TraesCS5D03G0151400;TraesCS7D03G0450700;TraesCS5D03G1133900;TraesCS3D03G0950200;TraesCS2A03G0051200;TraesCS1D03G0739000;TraesCS2D03G0207000;TraesCS3A03G0263000;TraesCS3D03G0044700;TraesCS2A03G0955200;TraesCS4B03G0756100;TraesCS5B03G1281300;TraesCS7A03G1338000;TraesCS1D03G0294000;TraesCS2B03G0587100;TraesCS6D03G0607800;TraesCS1A03G0747900;TraesCS5B03G0541500;TraesCS7A03G0134700;TraesCS1D03G1014400;TraesCS4B03G0761800;TraesCS4D03G0782300;TraesCS6D03G0269300;TraesCS7A03G0935400;TraesCS6A03G0754000;TraesCS2B03G1222100;TraesCS1D03G0455400;TraesCS7B03G0897900;TraesCS2D03G1033400;TraesCS5B03G0554700;TraesCS2D03G0049200;TraesCS1A03G0903400;TraesCS1B03G0644100;TraesCS5D03G0151300;TraesCS4D03G0270300;TraesCS2D03G0396900;TraesCS2A03G0606900;TraesCS2D03G1123700;TraesCS4A03G0695000;TraesCS2D03G0289600;TraesCS2A03G0325000;TraesCS7A03G0248500;TraesCS3B03G1383600;TraesCS4B03G0554300;TraesCS5A03G0533200;TraesCS5D03G0041900;TraesCS2B03G0276600;TraesCS4D03G0481000;TraesCSU03G0030300;TraesCS1B03G0334900;TraesCS4B03G0504300;TraesCS1B03G0290200;TraesCS7B03G0720400;TraesCS2A03G1019200;TraesCS7B03G0399300;TraesCS2D03G1258600;TraesCS1B03G0235700;TraesCS7D03G0211400;TraesCS4B03G0947500;TraesCS6D03G0269600;TraesCS1D03G0237000;TraesCS2B03G0072900;TraesCS1B03G0807600;TraesCS7B03G1239600;TraesCS7D03G1162900;TraesCS7B03G1200800;TraesCS7B03G1143000;TraesCS4D03G0810400;TraesCS7A03G0814900;TraesCS3D03G0026700;TraesCS1A03G0454100;TraesCS5D03G0913400;TraesCS2A03G0220000;TraesCS7D03G1236900;TraesCS2B03G0452300;TraesCS7A03G0871600;TraesCS5D03G1051900;TraesCS1A03G0042900;TraesCS1B03G1046000;TraesCS3B03G0172400;TraesCS3B03G0287300;TraesCS4A03G0595000;TraesCS1D03G0725300;TraesCS1D03G0813600;TraesCS2B03G1527600;TraesCS3B03G0480000;TraesCS1D03G0867900;TraesCS7B03G0264800;TraesCS4A03G0008600;TraesCS4D03G0217200;TraesCS6D03G0537600;TraesCS3B03G0762200;TraesCS7B03G1242900;TraesCS1D03G0864400;TraesCS5A03G1069200;TraesCS3D03G0125000;TraesCS7A03G0495900;TraesCS7A03G1284300;TraesCS1A03G0041900;TraesCS1A03G1029800;TraesCS7D03G0725900;TraesCS1A03G0655800;TraesCS2B03G0944400;TraesCS3D03G0278800;TraesCS1B03G0293800;TraesCS7A03G1308000;TraesCS6B03G0076200;TraesCS5A03G0664200;TraesCS7D03G0929100;TraesCS1D03G0990200;TraesCS2A03G1137500;TraesCS6B03G0013900;TraesCS6D03G0666900;TraesCS5B03G0611500;TraesCS2A03G0077000;TraesCS5B03G0570400;TraesCS1D03G0167700;TraesCS3D03G0059700;TraesCS1D03G0867800;TraesCS6A03G0791600;TraesCS2A03G0386900;TraesCS6A03G0816500;TraesCS6A03G0149700;TraesCS4A03G0226500;TraesCS1B03G0108400;TraesCS6D03G0478400;TraesCS7B03G0741300;TraesCS2D03G1324000;TraesCS4B03G0082200;TraesCS1A03G0266000;TraesCS4B03G0133200;TraesCS6A03G0735900;TraesCS7A03G0929700;TraesCS6D03G0848100;TraesCS2A03G1242300;TraesCS3A03G1217300;TraesCS2B03G0504800;TraesCS6A03G0979900;TraesCS7D03G1242300;TraesCS2A03G0379000;TraesCS4D03G0050100;TraesCS3B03G0796000;TraesCS3D03G0639500;TraesCS2A03G1350900;TraesCS5D03G0561100;TraesCS7D03G0862700;TraesCS3A03G0309300;TraesCS5D03G1051700;TraesCS2D03G0583400;TraesCS2D03G1156900;TraesCS2B03G0182000;TraesCS4D03G0190300;TraesCS5A03G1049900;TraesCS3B03G0860600;TraesCS7A03G0800300;TraesCS5A03G0132900;TraesCS6A03G0053100;TraesCS3D03G0336300;TraesCS3A03G1098500;TraesCS3B03G0944900;TraesCS6D03G0352700;TraesCS2D03G1292700;TraesCS2B03G0584900;TraesCS2D03G0107300;TraesCS2B03G1233500;TraesCS2A03G0242200;TraesCS2A03G0334100;TraesCS4A03G0874000;TraesCS2B03G1042000;TraesCS5B03G1186500;TraesCS7D03G0066400;TraesCS5B03G0143600;TraesCS1D03G0625700;TraesCS1B03G0971700;TraesCS5A03G1172100;TraesCS1B03G0457500;TraesCS4A03G0227600;TraesCS7D03G1219400;TraesCS2D03G0945400;TraesCS3B03G0708400;TraesCS1D03G0971500;TraesCS5B03G1093500;TraesCS5A03G0596900;TraesCS5D03G1214400;TraesCS2D03G0176600;TraesCS2D03G0421300;TraesCS1D03G0867600;TraesCS6B03G0798100;TraesCS2B03G0182100;TraesCS7A03G0353100;TraesCS4A03G0553700;TraesCS3D03G1056500;TraesCS6D03G0589900;TraesCS7A03G1283700;TraesCS6A03G0416200;TraesCS4A03G0805400;TraesCS1A03G0772000;TraesCS5A03G0516700;TraesCS6B03G0081400;TraesCS5A03G1074600;TraesCS2B03G0699900;TraesCS5B03G0524900;TraesCS6D03G0494400;TraesCS3D03G0026300;TraesCS5D03G0376900;TraesCS2A03G0941300;TraesCS4A03G0793100;TraesCS3A03G0654900;TraesCS1D03G0990700;TraesCS2A03G0851600;TraesCS2A03G1088600;TraesCS5D03G0739500;TraesCS3D03G0578500;TraesCS4D03G0482600;TraesCS1D03G0002400;TraesCS3B03G1172900;TraesCS6B03G0951300;TraesCS3B03G0906100;TraesCS2B03G1370600;TraesCS1B03G0298200;TraesCS7B03G0725000;TraesCS2A03G0904100;TraesCS2D03G0111400;TraesCS7D03G0181500;TraesCS6B03G0962300;TraesCS4D03G0483600;TraesCS5A03G0780700;TraesCS1A03G0212200;TraesCS1D03G0244700;TraesCS3D03G0116200;TraesCS6A03G0725000;TraesCS3B03G0052700;TraesCS5B03G1264800;TraesCS7D03G0808200;TraesCS3A03G0442000;TraesCS7A03G1052600;TraesCS1A03G0017200;TraesCS3D03G0026400;TraesCS2D03G0131000;TraesCS7D03G1003900;TraesCS6D03G0678600;TraesCS4A03G0957800;TraesCS6B03G0928600;TraesCS3B03G0207200;TraesCS4A03G0953200;TraesCS4B03G0545000;TraesCS6A03G0696800;TraesCS5A03G0649100;TraesCS1A03G0018400;TraesCS3D03G1052100;TraesCS6B03G0813300;TraesCS6A03G0294800;TraesCS3A03G0137900;TraesCS5B03G1013900;TraesCS2B03G0180400;TraesCS5D03G0983900;TraesCS1B03G0842800;TraesCS7D03G0485000;TraesCS6A03G0005200;TraesCS6D03G0002800;TraesCS4B03G0626300;TraesCS2D03G1127500;TraesCS5D03G0541100;TraesCS3B03G0201700;TraesCS2B03G0586900;TraesCS5A03G0388500;TraesCS3A03G0685600;TraesCS7D03G1095900;TraesCS3D03G0026500;TraesCS7D03G0021900;TraesCS7A03G0289800;TraesCS4D03G0117700;TraesCS1B03G0044200;TraesCS6B03G0858400;TraesCS7A03G1238700;TraesCS5D03G0481900;TraesCS2D03G0741000;TraesCS3D03G0142700;TraesCS7B03G0754900;TraesCS2A03G0801300;TraesCS7A03G0466000;TraesCS7B03G0960400;TraesCS4B03G0228300;TraesCS5B03G0143300;TraesCS7A03G0298500;TraesCS1A03G0888500;TraesCS2B03G1344100;TraesCS1D03G0655500;TraesCS3A03G0787100;TraesCS5A03G0576700;TraesCS7B03G0292300;TraesCS1A03G0753800;TraesCS5D03G0859900;TraesCS1B03G1061300;TraesCS7D03G1058600;TraesCS6D03G0585400;TraesCS7B03G0229800;TraesCS2D03G0459600;TraesCS6B03G0079100;TraesCS6B03G0006000;TraesCS5D03G0507200;TraesCS1B03G0852700;TraesCS3B03G0126100;TraesCS1D03G0715700;TraesCS5D03G0155100;TraesCS6D03G0007000;TraesCS2A03G0463700;TraesCS6B03G0001900;TraesCS3B03G0175700;TraesCS3D03G0609500;TraesCS7A03G0560100;TraesCS6B03G0724400;TraesCS2D03G1136200;TraesCS3D03G0142600;TraesCS3A03G0291100;TraesCS1D03G0782600;TraesCS2B03G0583400;TraesCS2B03G0585700;TraesCS3D03G0769400;TraesCS2D03G1276400;TraesCS7B03G0654900;TraesCS7A03G0070100;TraesCS5D03G0318700;TraesCS1B03G1061200;TraesCS2B03G1206300;TraesCS4A03G0144900;TraesCS7D03G0183900;TraesCS4B03G0139500;TraesCS3A03G0187900;TraesCS4A03G0658200;TraesCS1B03G1206000;TraesCS7B03G0896100;TraesCS2A03G0753900;TraesCS2D03G1332500;TraesCS3B03G0745400;TraesCS3A03G0160300;TraesCS4D03G0620300;TraesCS5D03G1191300;TraesCS7B03G1201100;TraesCS5B03G0832300;TraesCS2B03G0190500;TraesCS4A03G0669100;TraesCS1A03G0691300;TraesCS6D03G0353300;TraesCS2B03G0072100;TraesCS3B03G1460700;TraesCS2A03G0999000;TraesCS3D03G0599700;TraesCS3A03G0631500;TraesCS5A03G0481000;TraesCS1B03G0545700;TraesCS6A03G0121100;TraesCS4B03G0989700;TraesCS1B03G0788200;TraesCS3A03G1022400;TraesCS1B03G0755500;TraesCS3A03G0453400;TraesCS7A03G0380000;TraesCS5D03G0447000;TraesCS7A03G0478300;TraesCS1A03G0739000;TraesCS1D03G0035700;TraesCS1D03G0626000;TraesCS7A03G0454100;TraesCSU03G0175500;TraesCS1A03G0172700;TraesCS2D03G1135100;TraesCS3D03G0122600;TraesCS7D03G0143500;TraesCS5B03G1124100;TraesCS1A03G0881300;TraesCS7A03G1223700;TraesCS7D03G1218900;TraesCS5A03G0799600;TraesCS5D03G0323400;TraesCS6A03G0314000;TraesCS2B03G0237100;TraesCS2B03G1344800;TraesCS2B03G0887400;TraesCS7A03G0889900;TraesCS5D03G1090700;TraesCS4B03G0652800;TraesCS1D03G0185800;TraesCS2B03G1138900;TraesCS6B03G0636900;TraesCS2A03G0259600;TraesCS4A03G0218300;TraesCS4A03G0953600;TraesCS4B03G0211800;TraesCS4B03G0543100;TraesCS7D03G0753800;TraesCS2D03G1062300;TraesCS6B03G1204700;TraesCS5A03G1005300;TraesCS7A03G1243400;TraesCS5D03G0461300;TraesCS3B03G1362600;TraesCS6B03G0096700;TraesCS1B03G0540000;TraesCS3A03G0839100;TraesCS6D03G0287600;TraesCSU03G0011300;TraesCS6D03G0472300;TraesCS5A03G0124500;TraesCS7B03G0319700;TraesCS4A03G0675700;TraesCS3D03G0026100;TraesCS2D03G0471300;TraesCS7A03G0815000;TraesCS5B03G0566500;TraesCS4D03G0293700;TraesCS1D03G0103000;TraesCS6A03G0740800;TraesCS1D03G0726900;TraesCS2B03G0533800;TraesCS3A03G0698500;TraesCS1B03G1045900;TraesCS6B03G0095200;TraesCS1D03G0747700;TraesCS1A03G0215100;TraesCS5B03G0554400;TraesCS3B03G0074800;TraesCS5A03G1137900;TraesCS1D03G0035500;TraesCS2D03G0960200;TraesCS7B03G1272900;TraesCS2A03G1295800;TraesCS2B03G0387200;TraesCS7A03G0502200;TraesCS5D03G0687800;TraesCS3B03G1173100;TraesCS6B03G1030800;TraesCS5B03G1116800;TraesCS7B03G0277000;TraesCS3A03G0037500;TraesCS2B03G0072200;TraesCS5B03G1137700;TraesCS4B03G0129600;TraesCS6A03G0016400;TraesCS2B03G0969100;TraesCS6B03G1165200;TraesCS2D03G0168300;TraesCS5D03G0499700;TraesCS1A03G0672600;TraesCS1D03G0868000;TraesCS3D03G0717600;TraesCS7A03G1224700;TraesCS2B03G0753800;TraesCS2B03G0540200;TraesCS5B03G1159600;TraesCS5B03G1216200;TraesCS4B03G0210400;TraesCS2B03G0586400;TraesCS6B03G0427800;TraesCS5B03G0756900;TraesCS2B03G0387300;TraesCS6A03G0575700;TraesCS1D03G0846000;TraesCS2B03G0180600</t>
  </si>
  <si>
    <t>542 (2.54%)</t>
  </si>
  <si>
    <t>TraesCS2B03G0504800;TraesCS3A03G0076900;TraesCS4A03G0573600;TraesCS3B03G0103500;TraesCS1B03G1001500;TraesCS2A03G0379000;TraesCS3B03G0858000;TraesCS4D03G0488700;TraesCS6A03G0350400;TraesCS4B03G0228300;TraesCS3D03G0691300;TraesCS6B03G1030800;TraesCS5D03G0913400;TraesCS3D03G0075200;TraesCS2D03G0421300;TraesCS6A03G0861500;TraesCS3A03G0230900;TraesCS3B03G1121500;TraesCS4D03G0190300;TraesCS7D03G0183900;TraesCS3B03G0860600;TraesCS3B03G0287300;TraesCS4A03G0218300;TraesCS4B03G0554300</t>
  </si>
  <si>
    <t>24 (7.77%)</t>
  </si>
  <si>
    <t>TraesCS3A03G0076900;TraesCS4A03G0573600;TraesCS3B03G0103500;TraesCS1B03G1001500;TraesCS3B03G0858000;TraesCS4D03G0488700;TraesCS4B03G0228300;TraesCS3D03G0691300;TraesCS6B03G1030800;TraesCS3D03G0075200;TraesCS2D03G0421300;TraesCS6A03G0861500;TraesCS4D03G0190300;TraesCS7D03G0183900;TraesCS3B03G0860600;TraesCS4A03G0218300;TraesCS4B03G0554300</t>
  </si>
  <si>
    <t>17 (10.76%)</t>
  </si>
  <si>
    <t>TraesCS3A03G0076900;TraesCS3D03G0075200;TraesCS4A03G0573600;TraesCS3B03G0103500;TraesCS4B03G0228300;TraesCS4D03G0190300</t>
  </si>
  <si>
    <t>6 (54.55%)</t>
  </si>
  <si>
    <t>TraesCS4A03G0573600;TraesCS3B03G0858000;TraesCS3A03G0230900;TraesCS4B03G0228300;TraesCS3D03G0691300;TraesCS4D03G0190300;TraesCS3B03G0287300</t>
  </si>
  <si>
    <t>7 (41.18%)</t>
  </si>
  <si>
    <t>TraesCS4A03G0573600;TraesCS6A03G0861500;TraesCS4B03G0228300;TraesCS4D03G0190300;TraesCS6B03G1030800</t>
  </si>
  <si>
    <t>5 (83.33%)</t>
  </si>
  <si>
    <t>TraesCS3A03G0076900;TraesCS2A03G0801300;TraesCS4A03G0573600;TraesCS3B03G0103500;TraesCS4D03G0488700;TraesCS4B03G0228300;TraesCS6B03G1030800;TraesCS3D03G0075200;TraesCS6A03G0861500;TraesCS2B03G0887400;TraesCS3A03G0894700;TraesCS4D03G0190300;TraesCS1D03G1014400;TraesCS2D03G0741000;TraesCS1A03G0655800;TraesCS4A03G0218300;TraesCS4B03G0554300</t>
  </si>
  <si>
    <t>17 (11.49%)</t>
  </si>
  <si>
    <t>6 (60%)</t>
  </si>
  <si>
    <t>TraesCS3A03G0076900;TraesCS1B03G0708800;TraesCS3B03G0103500;TraesCS3B03G0858000;TraesCS1A03G0268100;TraesCS6D03G0101500;TraesCS6B03G1030800;TraesCS5D03G0541400;TraesCS2B03G0699900;TraesCS2B03G1042000;TraesCS3D03G0075200;TraesCS6A03G0861500;TraesCS2A03G0941300;TraesCS4A03G0218300;TraesCS2B03G0504800;TraesCS1B03G0348200;TraesCS4A03G0573600;TraesCS1B03G1001500;TraesCS2A03G0379000;TraesCS4D03G0488700;TraesCS6A03G0350400;TraesCS4B03G0228300;TraesCS3D03G0691300;TraesCS5D03G0913400;TraesCS3B03G0906100;TraesCS5A03G0576900;TraesCS3A03G0787100;TraesCS2A03G0606900;TraesCS2D03G0421300;TraesCS3A03G0230900;TraesCS3B03G1121500;TraesCS4D03G0190300;TraesCS7D03G0183900;TraesCS3B03G0860600;TraesCS3B03G0287300;TraesCS4B03G0554300</t>
  </si>
  <si>
    <t>36 (6.21%)</t>
  </si>
  <si>
    <t>7 (46.67%)</t>
  </si>
  <si>
    <t>TraesCS5B03G0387100;TraesCS2A03G1079100;TraesCS3B03G0115900;TraesCS5A03G0031900;TraesCS3D03G0376300;TraesCS5D03G1211400;TraesCS2A03G0133300;TraesCS7A03G0455600;TraesCS2B03G0183000;TraesCS3A03G0222600;TraesCS3A03G1158600;TraesCS3B03G0374100;TraesCS1B03G0008600;TraesCS2B03G0189900;TraesCS3D03G0662300;TraesCS4D03G0488700;TraesCS1D03G0881700;TraesCS4D03G0174000;TraesCS5D03G0151600;TraesCS6B03G0777800;TraesCS1B03G0089700;TraesCS2D03G0176500;TraesCS2A03G1090000;TraesCS4A03G0584600;TraesCS1D03G0983500;TraesCS4A03G0123200;TraesCS1A03G0872400;TraesCS1B03G0041400;TraesCS4B03G0254000;TraesCS6A03G0313900;TraesCS2D03G0465800;TraesCS2B03G0144900;TraesCS6D03G0866300;TraesCS2A03G1175800;TraesCS2D03G0794500;TraesCS6B03G0808400;TraesCS2D03G0991800;TraesCS2D03G0131800;TraesCS3A03G0656300;TraesCS5D03G0837600;TraesCS3D03G0079400;TraesCS4A03G0067300;TraesCS7D03G0198400;TraesCS6D03G0066600;TraesCS6D03G0521300;TraesCS5B03G1196000;TraesCS3D03G0121100;TraesCS2D03G0945600;TraesCS5B03G0812500;TraesCS2A03G0134400;TraesCS1B03G0764500;TraesCS1D03G0213300;TraesCS5B03G1281400;TraesCS5A03G0623600;TraesCS3A03G0097900;TraesCS1A03G0014900;TraesCS2B03G1416200;TraesCSU03G0180200;TraesCS6A03G0215300;TraesCS2D03G0095200;TraesCS7A03G0201200;TraesCS7D03G0479000;TraesCS7B03G0807800;TraesCS6D03G0618800;TraesCS5D03G0447200;TraesCS2A03G0201500;TraesCS3B03G0962800;TraesCS4A03G0976800;TraesCS2D03G1180100;TraesCS5D03G0151400;TraesCS7D03G0450700;TraesCS5D03G1133900;TraesCS3D03G0950200;TraesCS2A03G0051200;TraesCS2D03G0207000;TraesCS3A03G0263000;TraesCS3D03G0044700;TraesCS5B03G1281300;TraesCS7A03G1338000;TraesCS2B03G0587100;TraesCS1A03G0747900;TraesCS5B03G0541500;TraesCS1D03G1014400;TraesCS4B03G0761800;TraesCS6D03G0269300;TraesCS6A03G0754000;TraesCS2B03G1222100;TraesCS1D03G0455400;TraesCS7B03G0897900;TraesCS2D03G1033400;TraesCS5B03G0554700;TraesCS2D03G0049200;TraesCS1A03G0903400;TraesCS5D03G0151300;TraesCS2D03G0396900;TraesCS2A03G0606900;TraesCS2D03G1123700;TraesCS4A03G0695000;TraesCS2D03G0289600;TraesCS7A03G0248500;TraesCS3B03G1383600;TraesCS4B03G0554300;TraesCS5A03G0533200;TraesCS5D03G0041900;TraesCS2B03G0276600;TraesCS4D03G0481000;TraesCSU03G0030300;TraesCS7B03G0720400;TraesCS2A03G1019200;TraesCS7B03G0399300;TraesCS2D03G1258600;TraesCS1B03G0235700;TraesCS7D03G0211400;TraesCS4B03G0947500;TraesCS6D03G0269600;TraesCS1D03G0237000;TraesCS2B03G0072900;TraesCS7B03G1239600;TraesCS7B03G1200800;TraesCS4D03G0810400;TraesCS3D03G0026700;TraesCS1A03G0454100;TraesCS2A03G0220000;TraesCS7D03G1236900;TraesCS7A03G0871600;TraesCS5D03G1051900;TraesCS1A03G0042900;TraesCS1B03G1046000;TraesCS3B03G0172400;TraesCS3B03G0287300;TraesCS4A03G0595000;TraesCS1D03G0725300;TraesCS1D03G0813600;TraesCS2B03G1527600;TraesCS3B03G0480000;TraesCS1D03G0867900;TraesCS7B03G0264800;TraesCS4A03G0008600;TraesCS4D03G0217200;TraesCS6D03G0537600;TraesCS3B03G0762200;TraesCS7B03G1242900;TraesCS5A03G1069200;TraesCS3D03G0125000;TraesCS7A03G0495900;TraesCS7A03G1284300;TraesCS1A03G0041900;TraesCS1A03G1029800;TraesCS2B03G0944400;TraesCS3D03G0278800;TraesCS1B03G0293800;TraesCS7A03G1308000;TraesCS6B03G0076200;TraesCS7D03G0929100;TraesCS1D03G0990200;TraesCS2A03G1137500;TraesCS6B03G0013900;TraesCS6D03G0666900;TraesCS5B03G0611500;TraesCS2A03G0077000;TraesCS5B03G0570400;TraesCS1D03G0167700;TraesCS1D03G0867800;TraesCS6A03G0791600;TraesCS2A03G0386900;TraesCS6A03G0816500;TraesCS6A03G0149700;TraesCS6D03G0478400;TraesCS7B03G0741300;TraesCS1A03G0266000;TraesCS4B03G0133200;TraesCS6A03G0735900;TraesCS6D03G0848100;TraesCS2A03G1242300;TraesCS2B03G0504800;TraesCS6A03G0979900;TraesCS7D03G1242300;TraesCS2A03G0379000;TraesCS4D03G0050100;TraesCS3B03G0796000;TraesCS3D03G0639500;TraesCS5D03G0561100;TraesCS7D03G0862700;TraesCS3A03G0309300;TraesCS5D03G1051700;TraesCS2D03G0583400;TraesCS2B03G0182000;TraesCS5A03G1049900;TraesCS3B03G0860600;TraesCS6A03G0053100;TraesCS3A03G1098500;TraesCS3B03G0944900;TraesCS6D03G0352700;TraesCS2D03G1292700;TraesCS2B03G0584900;TraesCS2D03G0107300;TraesCS2B03G1233500;TraesCS2A03G0242200;TraesCS4A03G0874000;TraesCS5B03G1186500;TraesCS7D03G0066400;TraesCS5B03G0143600;TraesCS1D03G0625700;TraesCS1B03G0971700;TraesCS5A03G1172100;TraesCS4A03G0227600;TraesCS7D03G1219400;TraesCS2D03G0945400;TraesCS3B03G0708400;TraesCS5A03G0596900;TraesCS2D03G0176600;TraesCS2D03G0421300;TraesCS1D03G0867600;TraesCS2B03G0182100;TraesCS7A03G0353100;TraesCS4A03G0553700;TraesCS6D03G0589900;TraesCS7A03G1283700;TraesCS6A03G0416200;TraesCS4A03G0805400;TraesCS5A03G0516700;TraesCS6B03G0081400;TraesCS2B03G0699900;TraesCS5B03G0524900;TraesCS6D03G0494400;TraesCS3D03G0026300;TraesCS5D03G0376900;TraesCS4A03G0793100;TraesCS3A03G0654900;TraesCS1D03G0990700;TraesCS2A03G0851600;TraesCS2A03G1088600;TraesCS5D03G0739500;TraesCS3D03G0578500;TraesCS1D03G0002400;TraesCS3B03G1172900;TraesCS3B03G0906100;TraesCS1B03G0298200;TraesCS7B03G0725000;TraesCS2A03G0904100;TraesCS2D03G0111400;TraesCS7D03G0181500;TraesCS6B03G0962300;TraesCS4D03G0483600;TraesCS5A03G0780700;TraesCS3D03G0116200;TraesCS3B03G0052700;TraesCS5B03G1264800;TraesCS7A03G1052600;TraesCS1A03G0017200;TraesCS3D03G0026400;TraesCS2D03G0131000;TraesCS7D03G1003900;TraesCS4A03G0957800;TraesCS3B03G0207200;TraesCS4A03G0953200;TraesCS6A03G0696800;TraesCS5A03G0649100;TraesCS1A03G0018400;TraesCS6B03G0813300;TraesCS6A03G0294800;TraesCS3A03G0137900;TraesCS5B03G1013900;TraesCS2B03G0180400;TraesCS1B03G0842800;TraesCS7D03G0485000;TraesCS6A03G0005200;TraesCS6D03G0002800;TraesCS4B03G0626300;TraesCS2D03G1127500;TraesCS5D03G0541100;TraesCS3B03G0201700;TraesCS2B03G0586900;TraesCS5A03G0388500;TraesCS3A03G0685600;TraesCS7D03G1095900;TraesCS3D03G0026500;TraesCS7A03G0289800;TraesCS4D03G0117700;TraesCS1B03G0044200;TraesCS7A03G1238700;TraesCS5D03G0481900;TraesCS2D03G0741000;TraesCS3D03G0142700;TraesCS7B03G0754900;TraesCS2A03G0801300;TraesCS7B03G0960400;TraesCS5B03G0143300;TraesCS7A03G0298500;TraesCS2B03G1344100;TraesCS1D03G0655500;TraesCS3A03G0787100;TraesCS5A03G0576700;TraesCS1B03G1061300;TraesCS7D03G1058600;TraesCS6D03G0585400;TraesCS7B03G0229800;TraesCS6B03G0079100;TraesCS6B03G0006000;TraesCS1B03G0852700;TraesCS3B03G0126100;TraesCS1D03G0715700;TraesCS6D03G0007000;TraesCS2A03G0463700;TraesCS6B03G0001900;TraesCS3B03G0175700;TraesCS3D03G0609500;TraesCS6B03G0724400;TraesCS2D03G1136200;TraesCS3D03G0142600;TraesCS3A03G0291100;TraesCS1D03G0782600;TraesCS2B03G0583400;TraesCS2B03G0585700;TraesCS3D03G0769400;TraesCS2D03G1276400;TraesCS7B03G0654900;TraesCS7A03G0070100;TraesCS5D03G0318700;TraesCS1B03G1061200;TraesCS2B03G1206300;TraesCS4A03G0144900;TraesCS7D03G0183900;TraesCS4B03G0139500;TraesCS3A03G0187900;TraesCS4A03G0658200;TraesCS1B03G1206000;TraesCS7B03G0896100;TraesCS2A03G0753900;TraesCS2D03G1332500;TraesCS3B03G0745400;TraesCS3A03G0160300;TraesCS5D03G1191300;TraesCS7B03G1201100;TraesCS5B03G0832300;TraesCS2B03G0190500;TraesCS4A03G0669100;TraesCS1A03G0691300;TraesCS6D03G0353300;TraesCS2B03G0072100;TraesCS2A03G0999000;TraesCS3D03G0599700;TraesCS3A03G0631500;TraesCS1B03G0545700;TraesCS6A03G0121100;TraesCS4B03G0989700;TraesCS1B03G0788200;TraesCS3A03G1022400;TraesCS1B03G0755500;TraesCS3A03G0453400;TraesCS7A03G0380000;TraesCS5D03G0447000;TraesCS1A03G0739000;TraesCS1D03G0035700;TraesCS1D03G0626000;TraesCS7A03G0454100;TraesCSU03G0175500;TraesCS1A03G0172700;TraesCS2D03G1135100;TraesCS3D03G0122600;TraesCS5B03G1124100;TraesCS1A03G0881300;TraesCS7D03G1218900;TraesCS5A03G0799600;TraesCS6A03G0314000;TraesCS2B03G0237100;TraesCS2B03G1344800;TraesCS2B03G0887400;TraesCS7A03G0889900;TraesCS5D03G1090700;TraesCS4B03G0652800;TraesCS2B03G1138900;TraesCS6B03G0636900;TraesCS2A03G0259600;TraesCS4A03G0218300;TraesCS4A03G0953600;TraesCS4B03G0211800;TraesCS4B03G0543100;TraesCS2D03G1062300;TraesCS6B03G1204700;TraesCS5A03G1005300;TraesCS5D03G0461300;TraesCS6B03G0096700;TraesCS3A03G0839100;TraesCS6D03G0287600;TraesCSU03G0011300;TraesCS6D03G0472300;TraesCS5A03G0124500;TraesCS7B03G0319700;TraesCS4A03G0675700;TraesCS3D03G0026100;TraesCS2D03G0471300;TraesCS7A03G0815000;TraesCS5B03G0566500;TraesCS1D03G0103000;TraesCS6A03G0740800;TraesCS1D03G0726900;TraesCS2B03G0533800;TraesCS3A03G0698500;TraesCS1B03G1045900;TraesCS6B03G0095200;TraesCS1D03G0747700;TraesCS5B03G0554400;TraesCS3B03G0074800;TraesCS5A03G1137900;TraesCS1D03G0035500;TraesCS2D03G0960200;TraesCS7B03G1272900;TraesCS2A03G1295800;TraesCS2B03G0387200;TraesCS7A03G0502200;TraesCS3B03G1173100;TraesCS5B03G1116800;TraesCS7B03G0277000;TraesCS3A03G0037500;TraesCS2B03G0072200;TraesCS4B03G0129600;TraesCS6A03G0016400;TraesCS2B03G0969100;TraesCS6B03G1165200;TraesCS2D03G0168300;TraesCS5D03G0499700;TraesCS1A03G0672600;TraesCS1D03G0868000;TraesCS3D03G0717600;TraesCS2B03G0753800;TraesCS5B03G1159600;TraesCS5B03G1216200;TraesCS4B03G0210400;TraesCS2B03G0586400;TraesCS6B03G0427800;TraesCS5B03G0756900;TraesCS2B03G0387300;TraesCS6A03G0575700;TraesCS1D03G0846000;TraesCS2B03G0180600</t>
  </si>
  <si>
    <t>436 (2.69%)</t>
  </si>
  <si>
    <t>TraesCS2D03G0662000;TraesCS4A03G0573600;TraesCS3B03G0858000;TraesCS3A03G0230900;TraesCS4B03G0228300;TraesCS3D03G0691300;TraesCS4D03G0190300;TraesCS3B03G0287300</t>
  </si>
  <si>
    <t>8 (38.1%)</t>
  </si>
  <si>
    <t>7 (50%)</t>
  </si>
  <si>
    <t>TraesCS2A03G0801300;TraesCS3A03G0309300;TraesCS4A03G0573600;TraesCS3B03G0858000;TraesCS2B03G0887400;TraesCS3A03G0230900;TraesCS4B03G0228300;TraesCS3D03G0691300;TraesCS4D03G0190300;TraesCS3B03G0374100;TraesCS2D03G0741000;TraesCS3B03G0287300</t>
  </si>
  <si>
    <t>12 (20.34%)</t>
  </si>
  <si>
    <t>TraesCS3A03G0076900;TraesCS2A03G0801300;TraesCS3D03G0075200;TraesCS4A03G0573600;TraesCS3B03G0103500;TraesCS6A03G0861500;TraesCS2B03G0887400;TraesCS4B03G0228300;TraesCS4D03G0190300;TraesCS6B03G1030800;TraesCS2D03G0741000</t>
  </si>
  <si>
    <t>11 (23.4%)</t>
  </si>
  <si>
    <t>7 (53.85%)</t>
  </si>
  <si>
    <t>TraesCS4D03G0305700;TraesCS7D03G1218400;TraesCS2D03G0432100;TraesCS5A03G0919100;TraesCS1A03G0268100;TraesCS1D03G0351700;TraesCS2D03G0667000;TraesCS2D03G1200500;TraesCS7A03G1017300;TraesCS2D03G1200300;TraesCS2A03G1245100;TraesCS2D03G1200600;TraesCS4B03G0689300;TraesCS2B03G0699900;TraesCS3A03G1035900;TraesCS6A03G0229000;TraesCS2A03G1244900;TraesCS2B03G1425700;TraesCS7B03G0858100;TraesCS2B03G1425800;TraesCS2A03G1244500;TraesCS3D03G0761800;TraesCS3B03G1191300;TraesCS2B03G0799700;TraesCS6A03G0775300;TraesCS2D03G1199800;TraesCS2A03G0723800;TraesCS1B03G0348200;TraesCS2B03G0172800;TraesCS2A03G0415000;TraesCS1B03G0453200;TraesCS6B03G0318000;TraesCS2B03G1425900;TraesCS2A03G1176600;TraesCS2D03G0125300;TraesCS2A03G0606900;TraesCS6D03G0656800;TraesCS1B03G0766500;TraesCS2A03G0128600;TraesCS4D03G0638100;TraesCS2A03G0816900;TraesCS2B03G1426100;TraesCS2B03G1338500</t>
  </si>
  <si>
    <t>43 (5.9%)</t>
  </si>
  <si>
    <t>TraesCS5A03G0576900;TraesCS7B03G0802400;TraesCS4D03G0488700;TraesCS6A03G0350400;TraesCS4A03G0218300;TraesCS4B03G0554300;TraesCS5D03G0541400</t>
  </si>
  <si>
    <t>7 (58.33%)</t>
  </si>
  <si>
    <t>11 (25.58%)</t>
  </si>
  <si>
    <t>TraesCS3A03G0076900;TraesCS1B03G0708800;TraesCS3B03G0103500;TraesCS3B03G0858000;TraesCS1A03G0268100;TraesCS6D03G0101500;TraesCS6B03G1030800;TraesCS5D03G0541400;TraesCS3D03G0075200;TraesCS6A03G0861500;TraesCS4A03G0218300;TraesCS2B03G0504800;TraesCS1B03G0348200;TraesCS4A03G0573600;TraesCS1B03G1001500;TraesCS2A03G0379000;TraesCS4D03G0488700;TraesCS6A03G0350400;TraesCS4B03G0228300;TraesCS3D03G0691300;TraesCS5D03G0913400;TraesCS3B03G0906100;TraesCS5A03G0576900;TraesCS3A03G0787100;TraesCS2D03G0421300;TraesCS3A03G0230900;TraesCS3B03G1121500;TraesCS4D03G0190300;TraesCS7D03G0183900;TraesCS3B03G0860600;TraesCS3B03G0287300;TraesCS4B03G0554300</t>
  </si>
  <si>
    <t>32 (7.49%)</t>
  </si>
  <si>
    <t>11 (26.19%)</t>
  </si>
  <si>
    <t>8 (50%)</t>
  </si>
  <si>
    <t>TraesCS5B03G0387100;TraesCS2A03G1079100;TraesCS3B03G0115900;TraesCS5A03G0031900;TraesCS3D03G0376300;TraesCS5D03G1211400;TraesCS1A03G0502000;TraesCS2A03G0133300;TraesCS7A03G0455600;TraesCS2B03G0183000;TraesCS3A03G0222600;TraesCS3A03G1158600;TraesCS3B03G0374100;TraesCS1B03G0008600;TraesCS2B03G0189900;TraesCS3D03G0662300;TraesCS4D03G0488700;TraesCS1D03G0881700;TraesCS4D03G0174000;TraesCS6A03G0782800;TraesCS5D03G0151600;TraesCS6B03G0777800;TraesCS1B03G0089700;TraesCS2D03G0176500;TraesCS2A03G1090000;TraesCS4A03G0584600;TraesCS4A03G0123200;TraesCS5D03G0966800;TraesCS2D03G0897400;TraesCS1A03G0872400;TraesCS1B03G0041400;TraesCS4B03G0254000;TraesCS6A03G0313900;TraesCS2D03G0465800;TraesCS5B03G1359300;TraesCS2B03G0144900;TraesCS6D03G0866300;TraesCS2A03G1175800;TraesCS2D03G0794500;TraesCS6B03G0808400;TraesCS2D03G0991800;TraesCS2D03G0131800;TraesCS3A03G0656300;TraesCS5D03G0837600;TraesCS3D03G0079400;TraesCS4A03G0067300;TraesCS7D03G0198400;TraesCS6D03G0066600;TraesCS6D03G0521300;TraesCS5B03G1196000;TraesCS3D03G0121100;TraesCS2D03G0945600;TraesCS5B03G0812500;TraesCS2A03G0134400;TraesCS3B03G0904700;TraesCS3B03G1345200;TraesCS1D03G0213300;TraesCS5B03G1281400;TraesCS5A03G0623600;TraesCS3A03G0097900;TraesCS1A03G0014900;TraesCS2B03G1416200;TraesCS1D03G0486100;TraesCSU03G0180200;TraesCS6A03G0215300;TraesCS2D03G0095200;TraesCS7A03G0201200;TraesCS7D03G0479000;TraesCS5B03G1146900;TraesCS3B03G1308200;TraesCS7B03G0807800;TraesCS6D03G0618800;TraesCS5D03G0447200;TraesCS2A03G0201500;TraesCS3B03G0962800;TraesCS4A03G0976800;TraesCS2D03G1180100;TraesCS5D03G0151400;TraesCS7D03G0450700;TraesCS5D03G1133900;TraesCS3D03G0950200;TraesCS3D03G1068100;TraesCS2A03G0051200;TraesCS2D03G0207000;TraesCS5A03G0398600;TraesCS3A03G0263000;TraesCS3D03G0044700;TraesCS2A03G0955200;TraesCS5B03G1281300;TraesCS7A03G1338000;TraesCS1D03G0294000;TraesCS2B03G0587100;TraesCS1A03G0747900;TraesCS5B03G0541500;TraesCS7A03G0134700;TraesCS1D03G1014400;TraesCS4A03G0866100;TraesCS4B03G0761800;TraesCS6D03G0269300;TraesCS7A03G0935400;TraesCS6A03G0754000;TraesCS2B03G1222100;TraesCS1D03G0455400;TraesCS7B03G0897900;TraesCS2D03G1033400;TraesCS2A03G0826800;TraesCS5B03G0554700;TraesCS2D03G0049200;TraesCS1A03G0903400;TraesCS1B03G0644100;TraesCS5D03G0151300;TraesCS2D03G0396900;TraesCS2A03G0606900;TraesCS2D03G1123700;TraesCS4A03G0695000;TraesCS2D03G0289600;TraesCS7A03G0248500;TraesCS3B03G1383600;TraesCS4B03G0554300;TraesCS5A03G0533200;TraesCS5D03G0041900;TraesCS2B03G0276600;TraesCS4D03G0481000;TraesCSU03G0030300;TraesCS1B03G0334900;TraesCS7B03G0720400;TraesCS2A03G1019200;TraesCS7B03G0399300;TraesCS2D03G1258600;TraesCS1B03G0235700;TraesCS7D03G0211400;TraesCS4B03G0947500;TraesCS6D03G0269600;TraesCS1D03G0237000;TraesCS2B03G0072900;TraesCS7B03G1239600;TraesCS7B03G1200800;TraesCS7B03G1143000;TraesCS4D03G0810400;TraesCS3D03G0026700;TraesCS1A03G0454100;TraesCS2A03G0220000;TraesCS7D03G1236900;TraesCS2B03G0452300;TraesCS7A03G0871600;TraesCS5D03G1051900;TraesCS1A03G0042900;TraesCS1B03G1046000;TraesCS3B03G0172400;TraesCS3B03G0287300;TraesCS4A03G0595000;TraesCS1D03G0725300;TraesCS1D03G0813600;TraesCS2B03G1527600;TraesCS3B03G0480000;TraesCS1D03G0867900;TraesCS7B03G0264800;TraesCS4A03G0008600;TraesCS4D03G0217200;TraesCS6D03G0537600;TraesCS3B03G0762200;TraesCS7B03G1242900;TraesCS1D03G0864400;TraesCS5A03G1069200;TraesCS3D03G0125000;TraesCS7A03G0495900;TraesCS7A03G1284300;TraesCS1A03G0041900;TraesCS1A03G1029800;TraesCS2B03G0944400;TraesCS3D03G0278800;TraesCS1B03G0293800;TraesCS7A03G1308000;TraesCS6B03G0076200;TraesCS5A03G0664200;TraesCS7D03G0929100;TraesCS1D03G0990200;TraesCS2A03G1137500;TraesCS6B03G0013900;TraesCS6D03G0666900;TraesCS5B03G0611500;TraesCS5B03G0570400;TraesCS1D03G0167700;TraesCS1D03G0867800;TraesCS6A03G0791600;TraesCS2A03G0386900;TraesCS6A03G0816500;TraesCS6A03G0149700;TraesCS1B03G0108400;TraesCS6D03G0478400;TraesCS7B03G0741300;TraesCS2D03G1324000;TraesCS1A03G0266000;TraesCS3D03G0361800;TraesCS4B03G0133200;TraesCS6A03G0735900;TraesCS6D03G0848100;TraesCS2A03G1242300;TraesCS2B03G0504800;TraesCS6A03G0979900;TraesCS7D03G1242300;TraesCS2A03G0379000;TraesCS4D03G0050100;TraesCS3B03G0796000;TraesCS3D03G0639500;TraesCS5D03G0561100;TraesCS7D03G0862700;TraesCS3A03G0309300;TraesCS5D03G1051700;TraesCS2D03G0583400;TraesCS2D03G1156900;TraesCS2B03G0182000;TraesCS5A03G1049900;TraesCS3B03G0860600;TraesCS6A03G0053100;TraesCS3D03G0336300;TraesCS3A03G1098500;TraesCS3B03G0944900;TraesCS6D03G0352700;TraesCS2D03G1292700;TraesCS2B03G0584900;TraesCS2D03G0107300;TraesCS2B03G1233500;TraesCS2A03G0242200;TraesCS2A03G0334100;TraesCS4A03G0874000;TraesCS2B03G1042000;TraesCS5B03G1186500;TraesCS5B03G0143600;TraesCS1D03G0625700;TraesCS7D03G0180100;TraesCS1B03G0971700;TraesCS5A03G1172100;TraesCS1B03G0457500;TraesCS4A03G0227600;TraesCS7D03G1219400;TraesCS2D03G0945400;TraesCS5B03G1093500;TraesCS5A03G0596900;TraesCS2D03G0176600;TraesCS2D03G0421300;TraesCS1D03G0867600;TraesCS6B03G0798100;TraesCS2B03G0182100;TraesCS7A03G0353100;TraesCS4A03G0553700;TraesCS6D03G0589900;TraesCS7A03G1283700;TraesCS6A03G0416200;TraesCS4A03G0805400;TraesCS5A03G0516700;TraesCS6B03G0081400;TraesCS5A03G1074600;TraesCS2B03G0699900;TraesCS5B03G0524900;TraesCS6D03G0494400;TraesCS3D03G0026300;TraesCS5D03G0376900;TraesCS2A03G0941300;TraesCS4A03G0793100;TraesCS1A03G0502800;TraesCS3A03G0654900;TraesCS1D03G0990700;TraesCS2A03G0851600;TraesCS2A03G1088600;TraesCS5D03G0739500;TraesCS1D03G0002400;TraesCS3B03G1172900;TraesCS3B03G0906100;TraesCS2B03G1370600;TraesCS1B03G0298200;TraesCS7B03G0725000;TraesCS2A03G0904100;TraesCS2D03G0111400;TraesCS7D03G0181500;TraesCS6B03G0962300;TraesCS4D03G0483600;TraesCS5A03G0780700;TraesCS1D03G0244700;TraesCS3D03G0116200;TraesCS3B03G0052700;TraesCS5B03G1264800;TraesCS7D03G0808200;TraesCS7A03G1052600;TraesCS1A03G0017200;TraesCS3D03G0026400;TraesCS2D03G0131000;TraesCS7D03G1003900;TraesCS4A03G0957800;TraesCS6B03G0928600;TraesCS3B03G0207200;TraesCS4A03G0953200;TraesCS5B03G1052000;TraesCS6A03G0696800;TraesCS5A03G0649100;TraesCS1A03G0018400;TraesCS3D03G0946800;TraesCS6B03G0813300;TraesCS6A03G0294800;TraesCS3A03G0137900;TraesCS5B03G1013900;TraesCS2B03G0180400;TraesCS5D03G0983900;TraesCS1B03G0842800;TraesCS7D03G0485000;TraesCS6A03G0005200;TraesCS6D03G0002800;TraesCS4B03G0626300;TraesCS2D03G1127500;TraesCS5D03G0541100;TraesCS3B03G0201700;TraesCS2B03G0586900;TraesCS5A03G0388500;TraesCS3A03G0685600;TraesCS7D03G1095900;TraesCS3D03G0026500;TraesCS7A03G0289800;TraesCS4D03G0117700;TraesCS1B03G0044200;TraesCS7A03G1238700;TraesCS5D03G0481900;TraesCS2D03G0741000;TraesCS3D03G0142700;TraesCS7B03G0754900;TraesCS2A03G0801300;TraesCS7B03G0960400;TraesCS5B03G0143300;TraesCS7A03G0298500;TraesCS1A03G0888500;TraesCS2B03G1344100;TraesCS1D03G0655500;TraesCS3A03G0787100;TraesCS5A03G0576700;TraesCS5A03G1005400;TraesCS1B03G1061300;TraesCS7D03G1058600;TraesCS6D03G0585400;TraesCS7B03G0229800;TraesCS2D03G0459600;TraesCS6B03G0079100;TraesCS6B03G0006000;TraesCS5D03G0507200;TraesCS1B03G0852700;TraesCS3B03G0126100;TraesCS1D03G0715700;TraesCS6D03G0007000;TraesCS2A03G0463700;TraesCS6B03G0001900;TraesCS3B03G0175700;TraesCS3D03G0609500;TraesCS6B03G0724400;TraesCS2D03G1136200;TraesCS3D03G0142600;TraesCS3A03G0291100;TraesCS1D03G0782600;TraesCS3D03G0150100;TraesCS2B03G0583400;TraesCS2B03G0585700;TraesCS3D03G0769400;TraesCS2D03G1276400;TraesCS7B03G0654900;TraesCS5D03G0318700;TraesCS1B03G1061200;TraesCS2B03G1206300;TraesCS4A03G0144900;TraesCS7D03G0183900;TraesCS4B03G0139500;TraesCS3A03G0187900;TraesCS4A03G0658200;TraesCS7B03G0896100;TraesCS2A03G0753900;TraesCS2D03G1332500;TraesCS3B03G0745400;TraesCS3A03G0160300;TraesCS5D03G1191300;TraesCS7B03G1201100;TraesCS5B03G0832300;TraesCS2B03G0190500;TraesCS4A03G0669100;TraesCS1A03G0691300;TraesCS6D03G0353300;TraesCS2B03G0072100;TraesCS2A03G0999000;TraesCS3D03G0599700;TraesCS1B03G0545700;TraesCS6A03G0121100;TraesCS4B03G0989700;TraesCS1B03G0788200;TraesCS3A03G1022400;TraesCS1B03G0755500;TraesCS3A03G0453400;TraesCS7A03G0380000;TraesCS5D03G0447000;TraesCS1A03G0739000;TraesCS1D03G0035700;TraesCS1D03G0626000;TraesCS7A03G0454100;TraesCSU03G0175500;TraesCS1A03G0172700;TraesCS2D03G1135100;TraesCS3D03G0122600;TraesCS7D03G0143500;TraesCS5D03G0436000;TraesCS5B03G1124100;TraesCS1A03G0881300;TraesCS6A03G0133300;TraesCS7D03G1218900;TraesCS5A03G0799600;TraesCS1B03G0574000;TraesCS6A03G0314000;TraesCS2B03G0237100;TraesCS2B03G1344800;TraesCS2B03G0887400;TraesCS7A03G0889900;TraesCS5D03G1090700;TraesCS4B03G0652800;TraesCS2B03G1138900;TraesCS6B03G0636900;TraesCS2A03G0259600;TraesCS4A03G0218300;TraesCS4A03G0953600;TraesCS4B03G0211800;TraesCS4B03G0543100;TraesCS7D03G0753800;TraesCS2D03G1062300;TraesCS6B03G1204700;TraesCS5A03G1005300;TraesCS7A03G1243400;TraesCS5D03G0461300;TraesCS3B03G1362600;TraesCS6B03G0096700;TraesCS3A03G0839100;TraesCS6D03G0287600;TraesCSU03G0011300;TraesCS6D03G0472300;TraesCS5D03G0952300;TraesCS5A03G0124500;TraesCS7B03G0319700;TraesCS4A03G0675700;TraesCS3D03G0026100;TraesCS2D03G0471300;TraesCS7A03G0815000;TraesCS5B03G0566500;TraesCS5A03G0811400;TraesCS1D03G0103000;TraesCS6A03G0740800;TraesCS1D03G0726900;TraesCS2B03G0533800;TraesCS3A03G0698500;TraesCS1B03G1045900;TraesCS6B03G0095200;TraesCS1D03G0747700;TraesCS5B03G0554400;TraesCS6D03G0532400;TraesCS3B03G0074800;TraesCS1D03G0486500;TraesCS5A03G1137900;TraesCS1D03G0035500;TraesCS2D03G0960200;TraesCS7B03G1272900;TraesCS2A03G1295800;TraesCS2B03G0387200;TraesCS7A03G0502200;TraesCS3B03G1173100;TraesCS5B03G1116800;TraesCS7B03G0277000;TraesCS3A03G0037500;TraesCS2B03G0072200;TraesCS5B03G1137700;TraesCS4B03G0129600;TraesCS6A03G0016400;TraesCS2B03G0969100;TraesCS6B03G1165200;TraesCS2D03G0168300;TraesCS5D03G0499700;TraesCS1D03G0868000;TraesCS7A03G1278400;TraesCS3D03G0717600;TraesCS2B03G0753800;TraesCS2B03G0540200;TraesCS5B03G1159600;TraesCS5B03G1216200;TraesCS4B03G0210400;TraesCS2B03G0586400;TraesCS6B03G0427800;TraesCS5B03G0756900;TraesCS2B03G0387300;TraesCS6A03G0575700;TraesCS1D03G0846000;TraesCS2B03G0180600</t>
  </si>
  <si>
    <t>490 (2.69%)</t>
  </si>
  <si>
    <t>TraesCS3A03G0076900;TraesCS4A03G0573600;TraesCS3B03G0103500;TraesCS1B03G1001500;TraesCS3B03G0858000;TraesCS4D03G0488700;TraesCS6A03G0350400;TraesCS4B03G0228300;TraesCS6D03G0101500;TraesCS3D03G0691300;TraesCS6B03G1030800;TraesCS5D03G0541400;TraesCS5A03G0576900;TraesCS3D03G0075200;TraesCS2D03G0421300;TraesCS6A03G0861500;TraesCS4D03G0190300;TraesCS7D03G0183900;TraesCS3B03G0860600;TraesCS4A03G0218300;TraesCS4B03G0554300</t>
  </si>
  <si>
    <t>21 (11.86%)</t>
  </si>
  <si>
    <t>TraesCS3A03G0787100;TraesCS4A03G0573600;TraesCS6A03G0861500;TraesCS4B03G0228300;TraesCS4D03G0190300;TraesCS6B03G1030800;TraesCS3B03G0906100</t>
  </si>
  <si>
    <t>7 (77.78%)</t>
  </si>
  <si>
    <t>TraesCS3A03G0076900;TraesCS5A03G0576900;TraesCS3D03G0075200;TraesCS4A03G0573600;TraesCS3B03G0103500;TraesCS4B03G0228300;TraesCS4D03G0190300;TraesCS5D03G0541400</t>
  </si>
  <si>
    <t>8 (61.54%)</t>
  </si>
  <si>
    <t>TraesCS2A03G0801300;TraesCS4A03G0573600;TraesCS3B03G0858000;TraesCS6A03G0350400;TraesCS4B03G0228300;TraesCS3D03G0691300;TraesCS6B03G1030800;TraesCS3B03G0906100;TraesCS5D03G0541400;TraesCS5A03G0576900;TraesCS3A03G0787100;TraesCS3A03G0309300;TraesCS6A03G0861500;TraesCS2B03G0887400;TraesCS3A03G0230900;TraesCS4D03G0190300;TraesCS3B03G0374100;TraesCS2D03G0741000;TraesCS3B03G0287300</t>
  </si>
  <si>
    <t>19 (16.24%)</t>
  </si>
  <si>
    <t>32 (9.2%)</t>
  </si>
  <si>
    <t>TraesCS4A03G0573600;TraesCS3B03G0858000;TraesCS6A03G0350400;TraesCS4B03G0228300;TraesCS3D03G0691300;TraesCS6B03G1030800;TraesCS3B03G0906100;TraesCS5D03G0541400;TraesCS5A03G0576900;TraesCS3A03G0787100;TraesCS6A03G0861500;TraesCS3A03G0230900;TraesCS4D03G0190300;TraesCS3B03G0287300</t>
  </si>
  <si>
    <t>14 (25.93%)</t>
  </si>
  <si>
    <t>TraesCS1D03G0572400;TraesCS3A03G0076900;TraesCS3A03G0086600;TraesCS1A03G0603400;TraesCS3D03G0067900;TraesCS3D03G0075200;TraesCS3A03G0086900;TraesCS3B03G0103500;TraesCS1D03G0572300;TraesCS1A03G0603300;TraesCS1B03G0695700;TraesCS3B03G0092900</t>
  </si>
  <si>
    <t>12 (50%)</t>
  </si>
  <si>
    <t>TraesCS5B03G0387100;TraesCS2A03G1079100;TraesCS3B03G0115900;TraesCS5A03G0031900;TraesCS3D03G0376300;TraesCS5D03G1211400;TraesCS2A03G0133300;TraesCS2B03G0183000;TraesCS3A03G0222600;TraesCS3A03G1158600;TraesCS3B03G0374100;TraesCS1B03G0008600;TraesCS2B03G0189900;TraesCS4D03G0488700;TraesCS1D03G0881700;TraesCS4D03G0174000;TraesCS5D03G0151600;TraesCS6B03G0777800;TraesCS1B03G0089700;TraesCS2D03G0176500;TraesCS2A03G1090000;TraesCS1D03G0983500;TraesCS4A03G0123200;TraesCS1A03G0872400;TraesCS1B03G0041400;TraesCS4B03G0254000;TraesCS6A03G0313900;TraesCS2D03G0465800;TraesCS2B03G0144900;TraesCS6D03G0866300;TraesCS2A03G1175800;TraesCS2D03G0794500;TraesCS6B03G0808400;TraesCS2D03G0991800;TraesCS2D03G0131800;TraesCS3A03G0656300;TraesCS5D03G0837600;TraesCS3D03G0079400;TraesCS4A03G0067300;TraesCS7D03G0198400;TraesCS6D03G0521300;TraesCS5B03G1196000;TraesCS3D03G0121100;TraesCS2D03G0945600;TraesCS2A03G0134400;TraesCS1D03G0213300;TraesCS5B03G1281400;TraesCS5A03G0623600;TraesCS3A03G0097900;TraesCS1A03G0014900;TraesCS2B03G1416200;TraesCS6A03G0215300;TraesCS2D03G0095200;TraesCS7A03G0201200;TraesCS7D03G0479000;TraesCS7B03G0807800;TraesCS6D03G0618800;TraesCS5D03G0447200;TraesCS2A03G0201500;TraesCS4A03G0976800;TraesCS2D03G1180100;TraesCS5D03G0151400;TraesCS7D03G0450700;TraesCS5D03G1133900;TraesCS3D03G0950200;TraesCS2A03G0051200;TraesCS2D03G0207000;TraesCS3A03G0263000;TraesCS3D03G0044700;TraesCS5B03G1281300;TraesCS7A03G1338000;TraesCS2B03G0587100;TraesCS1A03G0747900;TraesCS5B03G0541500;TraesCS1D03G1014400;TraesCS4B03G0761800;TraesCS6D03G0269300;TraesCS2B03G1222100;TraesCS7B03G0897900;TraesCS2D03G1033400;TraesCS5B03G0554700;TraesCS2D03G0049200;TraesCS1A03G0903400;TraesCS5D03G0151300;TraesCS2D03G0396900;TraesCS2A03G0606900;TraesCS2D03G1123700;TraesCS4A03G0695000;TraesCS2D03G0289600;TraesCS7A03G0248500;TraesCS3B03G1383600;TraesCS4B03G0554300;TraesCS5A03G0533200;TraesCS5D03G0041900;TraesCS2B03G0276600;TraesCS4D03G0481000;TraesCSU03G0030300;TraesCS7B03G0720400;TraesCS2A03G1019200;TraesCS7B03G0399300;TraesCS2D03G1258600;TraesCS1B03G0235700;TraesCS7D03G0211400;TraesCS4B03G0947500;TraesCS6D03G0269600;TraesCS1D03G0237000;TraesCS2B03G0072900;TraesCS7B03G1239600;TraesCS3D03G0026700;TraesCS2A03G0220000;TraesCS7A03G0871600;TraesCS5D03G1051900;TraesCS1A03G0042900;TraesCS1B03G1046000;TraesCS3B03G0172400;TraesCS3B03G0287300;TraesCS4A03G0595000;TraesCS1D03G0725300;TraesCS1D03G0813600;TraesCS2B03G1527600;TraesCS3B03G0480000;TraesCS1D03G0867900;TraesCS4A03G0008600;TraesCS4D03G0217200;TraesCS6D03G0537600;TraesCS3B03G0762200;TraesCS7B03G1242900;TraesCS5A03G1069200;TraesCS3D03G0125000;TraesCS7A03G0495900;TraesCS1A03G0041900;TraesCS1A03G1029800;TraesCS2B03G0944400;TraesCS3D03G0278800;TraesCS1B03G0293800;TraesCS6B03G0076200;TraesCS7D03G0929100;TraesCS1D03G0990200;TraesCS2A03G1137500;TraesCS6B03G0013900;TraesCS6D03G0666900;TraesCS5B03G0611500;TraesCS2A03G0077000;TraesCS5B03G0570400;TraesCS1D03G0167700;TraesCS1D03G0867800;TraesCS6A03G0791600;TraesCS2A03G0386900;TraesCS6A03G0816500;TraesCS6D03G0478400;TraesCS7B03G0741300;TraesCS1A03G0266000;TraesCS6A03G0735900;TraesCS6D03G0848100;TraesCS2A03G1242300;TraesCS2B03G0504800;TraesCS6A03G0979900;TraesCS7D03G1242300;TraesCS2A03G0379000;TraesCS4D03G0050100;TraesCS3B03G0796000;TraesCS3D03G0639500;TraesCS5D03G0561100;TraesCS7D03G0862700;TraesCS3A03G0309300;TraesCS5D03G1051700;TraesCS2D03G0583400;TraesCS2B03G0182000;TraesCS5A03G1049900;TraesCS3B03G0860600;TraesCS6A03G0053100;TraesCS3A03G1098500;TraesCS3B03G0944900;TraesCS6D03G0352700;TraesCS2D03G1292700;TraesCS2B03G0584900;TraesCS2D03G0107300;TraesCS2B03G1233500;TraesCS2A03G0242200;TraesCS4A03G0874000;TraesCS7D03G0066400;TraesCS5B03G0143600;TraesCS1D03G0625700;TraesCS1B03G0971700;TraesCS5A03G1172100;TraesCS4A03G0227600;TraesCS2D03G0945400;TraesCS3B03G0708400;TraesCS5A03G0596900;TraesCS2D03G0176600;TraesCS2D03G0421300;TraesCS1D03G0867600;TraesCS2B03G0182100;TraesCS4A03G0553700;TraesCS6D03G0589900;TraesCS6A03G0416200;TraesCS4A03G0805400;TraesCS5A03G0516700;TraesCS6B03G0081400;TraesCS2B03G0699900;TraesCS5B03G0524900;TraesCS6D03G0494400;TraesCS3D03G0026300;TraesCS5D03G0376900;TraesCS4A03G0793100;TraesCS3A03G0654900;TraesCS1D03G0990700;TraesCS2A03G0851600;TraesCS2A03G1088600;TraesCS3D03G0578500;TraesCS1D03G0002400;TraesCS3B03G1172900;TraesCS3B03G0906100;TraesCS1B03G0298200;TraesCS7B03G0725000;TraesCS2A03G0904100;TraesCS2D03G0111400;TraesCS7D03G0181500;TraesCS4D03G0483600;TraesCS3D03G0116200;TraesCS3B03G0052700;TraesCS5B03G1264800;TraesCS7A03G1052600;TraesCS1A03G0017200;TraesCS3D03G0026400;TraesCS2D03G0131000;TraesCS7D03G1003900;TraesCS4A03G0957800;TraesCS3B03G0207200;TraesCS4A03G0953200;TraesCS6A03G0696800;TraesCS5A03G0649100;TraesCS1A03G0018400;TraesCS6B03G0813300;TraesCS6A03G0294800;TraesCS3A03G0137900;TraesCS5B03G1013900;TraesCS2B03G0180400;TraesCS1B03G0842800;TraesCS7D03G0485000;TraesCS6A03G0005200;TraesCS6D03G0002800;TraesCS4B03G0626300;TraesCS2D03G1127500;TraesCS5D03G0541100;TraesCS3B03G0201700;TraesCS2B03G0586900;TraesCS5A03G0388500;TraesCS3A03G0685600;TraesCS7D03G1095900;TraesCS3D03G0026500;TraesCS7A03G0289800;TraesCS1B03G0044200;TraesCS5D03G0481900;TraesCS2D03G0741000;TraesCS3D03G0142700;TraesCS7B03G0754900;TraesCS2A03G0801300;TraesCS7B03G0960400;TraesCS5B03G0143300;TraesCS7A03G0298500;TraesCS2B03G1344100;TraesCS1D03G0655500;TraesCS3A03G0787100;TraesCS5A03G0576700;TraesCS1B03G1061300;TraesCS7D03G1058600;TraesCS6D03G0585400;TraesCS7B03G0229800;TraesCS6B03G0079100;TraesCS6B03G0006000;TraesCS1B03G0852700;TraesCS3B03G0126100;TraesCS1D03G0715700;TraesCS6D03G0007000;TraesCS2A03G0463700;TraesCS6B03G0001900;TraesCS3B03G0175700;TraesCS3D03G0609500;TraesCS6B03G0724400;TraesCS2D03G1136200;TraesCS3D03G0142600;TraesCS3A03G0291100;TraesCS1D03G0782600;TraesCS2B03G0583400;TraesCS2B03G0585700;TraesCS3D03G0769400;TraesCS2D03G1276400;TraesCS7B03G0654900;TraesCS7A03G0070100;TraesCS5D03G0318700;TraesCS1B03G1061200;TraesCS2B03G1206300;TraesCS4A03G0144900;TraesCS7D03G0183900;TraesCS3A03G0187900;TraesCS1B03G1206000;TraesCS7B03G0896100;TraesCS2D03G1332500;TraesCS3B03G0745400;TraesCS3A03G0160300;TraesCS5D03G1191300;TraesCS5B03G0832300;TraesCS2B03G0190500;TraesCS4A03G0669100;TraesCS1A03G0691300;TraesCS6D03G0353300;TraesCS2B03G0072100;TraesCS2A03G0999000;TraesCS3D03G0599700;TraesCS3A03G0631500;TraesCS6A03G0121100;TraesCS4B03G0989700;TraesCS1B03G0788200;TraesCS3A03G1022400;TraesCS1B03G0755500;TraesCS7A03G0380000;TraesCS5D03G0447000;TraesCS1A03G0739000;TraesCS1D03G0035700;TraesCS1D03G0626000;TraesCS7A03G0454100;TraesCSU03G0175500;TraesCS1A03G0172700;TraesCS2D03G1135100;TraesCS3D03G0122600;TraesCS5B03G1124100;TraesCS1A03G0881300;TraesCS5A03G0799600;TraesCS6A03G0314000;TraesCS2B03G0237100;TraesCS2B03G1344800;TraesCS2B03G0887400;TraesCS7A03G0889900;TraesCS5D03G1090700;TraesCS4B03G0652800;TraesCS2B03G1138900;TraesCS6B03G0636900;TraesCS2A03G0259600;TraesCS4A03G0218300;TraesCS4A03G0953600;TraesCS4B03G0211800;TraesCS4B03G0543100;TraesCS2D03G1062300;TraesCS6B03G1204700;TraesCS5A03G1005300;TraesCS5D03G0461300;TraesCS6D03G0287600;TraesCSU03G0011300;TraesCS6D03G0472300;TraesCS5A03G0124500;TraesCS7B03G0319700;TraesCS4A03G0675700;TraesCS3D03G0026100;TraesCS2D03G0471300;TraesCS7A03G0815000;TraesCS5B03G0566500;TraesCS1D03G0103000;TraesCS6A03G0740800;TraesCS1D03G0726900;TraesCS2B03G0533800;TraesCS3A03G0698500;TraesCS1B03G1045900;TraesCS6B03G0095200;TraesCS1D03G0747700;TraesCS5B03G0554400;TraesCS3B03G0074800;TraesCS5A03G1137900;TraesCS1D03G0035500;TraesCS2D03G0960200;TraesCS7B03G1272900;TraesCS2A03G1295800;TraesCS2B03G0387200;TraesCS7A03G0502200;TraesCS3B03G1173100;TraesCS5B03G1116800;TraesCS7B03G0277000;TraesCS3A03G0037500;TraesCS2B03G0072200;TraesCS4B03G0129600;TraesCS6A03G0016400;TraesCS2B03G0969100;TraesCS6B03G1165200;TraesCS2D03G0168300;TraesCS5D03G0499700;TraesCS1D03G0868000;TraesCS3D03G0717600;TraesCS2B03G0753800;TraesCS5B03G1159600;TraesCS5B03G1216200;TraesCS4B03G0210400;TraesCS2B03G0586400;TraesCS6B03G0427800;TraesCS5B03G0756900;TraesCS2B03G0387300;TraesCS6A03G0575700;TraesCS1D03G0846000;TraesCS2B03G0180600</t>
  </si>
  <si>
    <t>398 (3.06%)</t>
  </si>
  <si>
    <t>TraesCS3A03G0076900;TraesCS3D03G0067900;TraesCS3B03G0103500;TraesCS2A03G0416100;TraesCS3B03G0858000;TraesCS4B03G0481100;TraesCS6B03G1030800;TraesCS3B03G0092900;TraesCS5D03G0541400;TraesCS3A03G0086600;TraesCS3A03G0830700;TraesCS3D03G0075200;TraesCS3A03G0086900;TraesCS6A03G0861500;TraesCS2B03G0887400;TraesCS3D03G0761900;TraesCS4A03G0289200;TraesCS1D03G1014400;TraesCS2D03G0741000;TraesCS1A03G0655800;TraesCS3B03G0951200;TraesCS3D03G0754000;TraesCS4A03G0218300;TraesCS1A03G0603400;TraesCS2A03G0801300;TraesCS4A03G0573600;TraesCS4D03G0488700;TraesCS6A03G0350400;TraesCS4B03G0228300;TraesCS3D03G0691300;TraesCS1A03G0603300;TraesCS3B03G0906100;TraesCS2D03G0662000;TraesCS1D03G0572400;TraesCS5A03G0576900;TraesCS3A03G0787100;TraesCS1D03G0572300;TraesCS3A03G0230900;TraesCS3A03G0894700;TraesCS4D03G0190300;TraesCS3A03G0818000;TraesCS1B03G0695700;TraesCS3D03G0535800;TraesCS3B03G0287300;TraesCS4B03G0554300</t>
  </si>
  <si>
    <t>45 (10.27%)</t>
  </si>
  <si>
    <t>TraesCS3A03G0076900;TraesCS3D03G0067900;TraesCS3B03G0103500;TraesCS4B03G0481100;TraesCS6B03G1030800;TraesCS3B03G0092900;TraesCS5D03G0541400;TraesCS3A03G0086600;TraesCS3D03G0075200;TraesCS3A03G0086900;TraesCS6A03G0861500;TraesCS2B03G0887400;TraesCS4A03G0289200;TraesCS2D03G0741000;TraesCS3D03G0754000;TraesCS4A03G0218300;TraesCS1A03G0603400;TraesCS2A03G0801300;TraesCS4A03G0573600;TraesCS4D03G0488700;TraesCS6A03G0350400;TraesCS4B03G0228300;TraesCS1A03G0603300;TraesCS3B03G0906100;TraesCS2D03G0662000;TraesCS1D03G0572400;TraesCS5A03G0576900;TraesCS3A03G0787100;TraesCS1D03G0572300;TraesCS3A03G0894700;TraesCS4D03G0190300;TraesCS3A03G0818000;TraesCS1B03G0695700;TraesCS3D03G0535800;TraesCS4B03G0554300</t>
  </si>
  <si>
    <t>35 (16.28%)</t>
  </si>
  <si>
    <t>TraesCS3A03G0076900;TraesCS3D03G0067900;TraesCS3B03G0103500;TraesCS4B03G0481100;TraesCS6B03G1030800;TraesCS3B03G0092900;TraesCS5D03G0541400;TraesCS3A03G0086600;TraesCS3D03G0075200;TraesCS3A03G0086900;TraesCS6A03G0861500;TraesCS2B03G0887400;TraesCS4A03G0289200;TraesCS2D03G0741000;TraesCS3D03G0754000;TraesCS1A03G0603400;TraesCS2A03G0801300;TraesCS4A03G0573600;TraesCS4B03G0228300;TraesCS1A03G0603300;TraesCS3B03G0906100;TraesCS1D03G0572400;TraesCS5A03G0576900;TraesCS3A03G0787100;TraesCS1D03G0572300;TraesCS4D03G0190300;TraesCS3A03G0818000;TraesCS1B03G0695700;TraesCS3D03G0535800</t>
  </si>
  <si>
    <t>29 (23.58%)</t>
  </si>
  <si>
    <t>29 (24.58%)</t>
  </si>
  <si>
    <t>TraesCS3A03G0076900;TraesCS3D03G0067900;TraesCS3B03G0103500;TraesCS4B03G0481100;TraesCS6B03G1030800;TraesCS3B03G0092900;TraesCS5D03G0541400;TraesCS3A03G0086600;TraesCS3D03G0075200;TraesCS3A03G0086900;TraesCS6A03G0861500;TraesCS2B03G0887400;TraesCS4A03G0289200;TraesCS2D03G0741000;TraesCS3D03G0754000;TraesCS1A03G0603400;TraesCS2A03G0801300;TraesCS4A03G0573600;TraesCS6A03G0350400;TraesCS4B03G0228300;TraesCS1A03G0603300;TraesCS3B03G0906100;TraesCS2D03G0662000;TraesCS1D03G0572400;TraesCS5A03G0576900;TraesCS3A03G0787100;TraesCS1D03G0572300;TraesCS4D03G0190300;TraesCS3A03G0818000;TraesCS1B03G0695700;TraesCS3D03G0535800</t>
  </si>
  <si>
    <t>31 (22.46%)</t>
  </si>
  <si>
    <t>TraesCS5B03G0387100;TraesCS2A03G1079100;TraesCS3B03G0115900;TraesCS5A03G0031900;TraesCS3D03G0376300;TraesCS1A03G0502000;TraesCS2A03G0133300;TraesCS7A03G0455600;TraesCS2B03G0183000;TraesCS3A03G0222600;TraesCS3A03G1158600;TraesCS1B03G0008600;TraesCS2B03G0189900;TraesCS3D03G0662300;TraesCS4D03G0488700;TraesCS4D03G0174000;TraesCS6A03G0782800;TraesCS5D03G0151600;TraesCS6B03G0777800;TraesCS1B03G0089700;TraesCS2D03G0176500;TraesCS2A03G1090000;TraesCS4A03G0584600;TraesCS4A03G0123200;TraesCS5D03G0966800;TraesCS2D03G0897400;TraesCS1A03G0872400;TraesCS1B03G0041400;TraesCS4B03G0254000;TraesCS6A03G0313900;TraesCS2D03G0465800;TraesCS5B03G1359300;TraesCS2B03G0144900;TraesCS6D03G0866300;TraesCS2A03G1175800;TraesCS2D03G0794500;TraesCS6B03G0808400;TraesCS2D03G0991800;TraesCS2D03G0131800;TraesCS3A03G0656300;TraesCS5D03G0837600;TraesCS3D03G0079400;TraesCS7D03G0198400;TraesCS6D03G0066600;TraesCS6D03G0521300;TraesCS5B03G1196000;TraesCS3D03G0121100;TraesCS2D03G0945600;TraesCS5B03G0812500;TraesCS2A03G0134400;TraesCS3B03G0904700;TraesCS3B03G1345200;TraesCS1D03G0213300;TraesCS5B03G1281400;TraesCS5A03G0623600;TraesCS3A03G0097900;TraesCS1A03G0014900;TraesCS2B03G1416200;TraesCS1D03G0486100;TraesCSU03G0180200;TraesCS6A03G0215300;TraesCS2D03G0095200;TraesCS7A03G0201200;TraesCS7D03G0479000;TraesCS5B03G1146900;TraesCS3B03G1308200;TraesCS7B03G0807800;TraesCS6D03G0618800;TraesCS5D03G0447200;TraesCS2A03G0201500;TraesCS3B03G0962800;TraesCS4A03G0976800;TraesCS2D03G1180100;TraesCS5D03G0151400;TraesCS7D03G0450700;TraesCS5D03G1133900;TraesCS3D03G0950200;TraesCS3D03G1068100;TraesCS2A03G0051200;TraesCS2D03G0207000;TraesCS5A03G0398600;TraesCS3A03G0263000;TraesCS3D03G0044700;TraesCS2A03G0955200;TraesCS5B03G1281300;TraesCS7A03G1338000;TraesCS1D03G0294000;TraesCS2B03G0587100;TraesCS1A03G0747900;TraesCS5B03G0541500;TraesCS7A03G0134700;TraesCS1D03G1014400;TraesCS4A03G0866100;TraesCS4B03G0761800;TraesCS6D03G0269300;TraesCS7A03G0935400;TraesCS6A03G0754000;TraesCS2B03G1222100;TraesCS1D03G0455400;TraesCS7B03G0897900;TraesCS2D03G1033400;TraesCS2A03G0826800;TraesCS5B03G0554700;TraesCS2D03G0049200;TraesCS1B03G0644100;TraesCS5D03G0151300;TraesCS2D03G0396900;TraesCS2A03G0606900;TraesCS2D03G1123700;TraesCS4A03G0695000;TraesCS2D03G0289600;TraesCS7A03G0248500;TraesCS3B03G1383600;TraesCS4B03G0554300;TraesCS5A03G0533200;TraesCS5D03G0041900;TraesCS2B03G0276600;TraesCS4D03G0481000;TraesCSU03G0030300;TraesCS1B03G0334900;TraesCS7B03G0720400;TraesCS7B03G0399300;TraesCS2D03G1258600;TraesCS1B03G0235700;TraesCS7D03G0211400;TraesCS4B03G0947500;TraesCS6D03G0269600;TraesCS1D03G0237000;TraesCS2B03G0072900;TraesCS7B03G1239600;TraesCS7B03G1200800;TraesCS7B03G1143000;TraesCS4D03G0810400;TraesCS3D03G0026700;TraesCS1A03G0454100;TraesCS2A03G0220000;TraesCS7D03G1236900;TraesCS2B03G0452300;TraesCS7A03G0871600;TraesCS5D03G1051900;TraesCS1A03G0042900;TraesCS1B03G1046000;TraesCS3B03G0172400;TraesCS3B03G0287300;TraesCS4A03G0595000;TraesCS1D03G0725300;TraesCS1D03G0813600;TraesCS2B03G1527600;TraesCS3B03G0480000;TraesCS1D03G0867900;TraesCS7B03G0264800;TraesCS4D03G0217200;TraesCS6D03G0537600;TraesCS3B03G0762200;TraesCS7B03G1242900;TraesCS1D03G0864400;TraesCS5A03G1069200;TraesCS3D03G0125000;TraesCS7A03G0495900;TraesCS7A03G1284300;TraesCS1A03G0041900;TraesCS1A03G1029800;TraesCS2B03G0944400;TraesCS3D03G0278800;TraesCS1B03G0293800;TraesCS7A03G1308000;TraesCS6B03G0076200;TraesCS5A03G0664200;TraesCS7D03G0929100;TraesCS1D03G0990200;TraesCS2A03G1137500;TraesCS6B03G0013900;TraesCS6D03G0666900;TraesCS5B03G0611500;TraesCS5B03G0570400;TraesCS1D03G0167700;TraesCS1D03G0867800;TraesCS6A03G0791600;TraesCS2A03G0386900;TraesCS6A03G0816500;TraesCS1B03G0108400;TraesCS6D03G0478400;TraesCS7B03G0741300;TraesCS2D03G1324000;TraesCS1A03G0266000;TraesCS3D03G0361800;TraesCS4B03G0133200;TraesCS6A03G0735900;TraesCS6D03G0848100;TraesCS2A03G1242300;TraesCS2B03G0504800;TraesCS6A03G0979900;TraesCS7D03G1242300;TraesCS2A03G0379000;TraesCS4D03G0050100;TraesCS3B03G0796000;TraesCS3D03G0639500;TraesCS5D03G0561100;TraesCS7D03G0862700;TraesCS5D03G1051700;TraesCS2D03G0583400;TraesCS2D03G1156900;TraesCS2B03G0182000;TraesCS5A03G1049900;TraesCS3B03G0860600;TraesCS6A03G0053100;TraesCS3D03G0336300;TraesCS3A03G1098500;TraesCS3B03G0944900;TraesCS6D03G0352700;TraesCS2D03G1292700;TraesCS2B03G0584900;TraesCS2D03G0107300;TraesCS2B03G1233500;TraesCS2A03G0242200;TraesCS2A03G0334100;TraesCS4A03G0874000;TraesCS2B03G1042000;TraesCS5B03G1186500;TraesCS5B03G0143600;TraesCS1D03G0625700;TraesCS7D03G0180100;TraesCS1B03G0971700;TraesCS5A03G1172100;TraesCS1B03G0457500;TraesCS4A03G0227600;TraesCS7D03G1219400;TraesCS2D03G0945400;TraesCS5B03G1093500;TraesCS5A03G0596900;TraesCS2D03G0176600;TraesCS2D03G0421300;TraesCS1D03G0867600;TraesCS6B03G0798100;TraesCS2B03G0182100;TraesCS7A03G0353100;TraesCS4A03G0553700;TraesCS6D03G0589900;TraesCS7A03G1283700;TraesCS6A03G0416200;TraesCS4A03G0805400;TraesCS5A03G0516700;TraesCS6B03G0081400;TraesCS5A03G1074600;TraesCS2B03G0699900;TraesCS5B03G0524900;TraesCS6D03G0494400;TraesCS3D03G0026300;TraesCS5D03G0376900;TraesCS2A03G0941300;TraesCS4A03G0793100;TraesCS1A03G0502800;TraesCS3A03G0654900;TraesCS1D03G0990700;TraesCS2A03G0851600;TraesCS2A03G1088600;TraesCS5D03G0739500;TraesCS1D03G0002400;TraesCS3B03G1172900;TraesCS2B03G1370600;TraesCS1B03G0298200;TraesCS7B03G0725000;TraesCS2A03G0904100;TraesCS2D03G0111400;TraesCS7D03G0181500;TraesCS6B03G0962300;TraesCS4D03G0483600;TraesCS5A03G0780700;TraesCS1D03G0244700;TraesCS3D03G0116200;TraesCS3B03G0052700;TraesCS5B03G1264800;TraesCS7D03G0808200;TraesCS7A03G1052600;TraesCS1A03G0017200;TraesCS3D03G0026400;TraesCS2D03G0131000;TraesCS7D03G1003900;TraesCS4A03G0957800;TraesCS6B03G0928600;TraesCS3B03G0207200;TraesCS4A03G0953200;TraesCS5B03G1052000;TraesCS6A03G0696800;TraesCS5A03G0649100;TraesCS1A03G0018400;TraesCS3D03G0946800;TraesCS6A03G0294800;TraesCS3A03G0137900;TraesCS5B03G1013900;TraesCS2B03G0180400;TraesCS5D03G0983900;TraesCS1B03G0842800;TraesCS7D03G0485000;TraesCS6A03G0005200;TraesCS6D03G0002800;TraesCS4B03G0626300;TraesCS2D03G1127500;TraesCS5D03G0541100;TraesCS3B03G0201700;TraesCS2B03G0586900;TraesCS5A03G0388500;TraesCS3A03G0685600;TraesCS7D03G1095900;TraesCS3D03G0026500;TraesCS7A03G0289800;TraesCS4D03G0117700;TraesCS1B03G0044200;TraesCS7A03G1238700;TraesCS5D03G0481900;TraesCS2D03G0741000;TraesCS3D03G0142700;TraesCS7B03G0754900;TraesCS2A03G0801300;TraesCS7B03G0960400;TraesCS5B03G0143300;TraesCS7A03G0298500;TraesCS1A03G0888500;TraesCS2B03G1344100;TraesCS1D03G0655500;TraesCS5A03G0576700;TraesCS5A03G1005400;TraesCS7D03G1058600;TraesCS6D03G0585400;TraesCS2D03G0459600;TraesCS6B03G0079100;TraesCS6B03G0006000;TraesCS5D03G0507200;TraesCS1B03G0852700;TraesCS3B03G0126100;TraesCS1D03G0715700;TraesCS6D03G0007000;TraesCS2A03G0463700;TraesCS6B03G0001900;TraesCS3B03G0175700;TraesCS3D03G0609500;TraesCS6B03G0724400;TraesCS2D03G1136200;TraesCS3D03G0142600;TraesCS3A03G0291100;TraesCS1D03G0782600;TraesCS3D03G0150100;TraesCS2B03G0583400;TraesCS2B03G0585700;TraesCS3D03G0769400;TraesCS7B03G0654900;TraesCS5D03G0318700;TraesCS2B03G1206300;TraesCS4A03G0144900;TraesCS7D03G0183900;TraesCS4B03G0139500;TraesCS3A03G0187900;TraesCS4A03G0658200;TraesCS7B03G0896100;TraesCS2A03G0753900;TraesCS2D03G1332500;TraesCS3B03G0745400;TraesCS3A03G0160300;TraesCS5D03G1191300;TraesCS7B03G1201100;TraesCS5B03G0832300;TraesCS2B03G0190500;TraesCS4A03G0669100;TraesCS1A03G0691300;TraesCS6D03G0353300;TraesCS2B03G0072100;TraesCS3D03G0599700;TraesCS1B03G0545700;TraesCS6A03G0121100;TraesCS4B03G0989700;TraesCS1B03G0788200;TraesCS3A03G1022400;TraesCS1B03G0755500;TraesCS3A03G0453400;TraesCS5D03G0447000;TraesCS1A03G0739000;TraesCS1D03G0035700;TraesCS1D03G0626000;TraesCS7A03G0454100;TraesCSU03G0175500;TraesCS1A03G0172700;TraesCS2D03G1135100;TraesCS3D03G0122600;TraesCS7D03G0143500;TraesCS5D03G0436000;TraesCS5B03G1124100;TraesCS1A03G0881300;TraesCS6A03G0133300;TraesCS7D03G1218900;TraesCS5A03G0799600;TraesCS1B03G0574000;TraesCS6A03G0314000;TraesCS2B03G0237100;TraesCS2B03G1344800;TraesCS2B03G0887400;TraesCS7A03G0889900;TraesCS5D03G1090700;TraesCS4B03G0652800;TraesCS6B03G0636900;TraesCS2A03G0259600;TraesCS4A03G0218300;TraesCS4A03G0953600;TraesCS4B03G0211800;TraesCS4B03G0543100;TraesCS7D03G0753800;TraesCS2D03G1062300;TraesCS6B03G1204700;TraesCS7A03G1243400;TraesCS5D03G0461300;TraesCS3B03G1362600;TraesCS6B03G0096700;TraesCS3A03G0839100;TraesCS6D03G0287600;TraesCSU03G0011300;TraesCS6D03G0472300;TraesCS5D03G0952300;TraesCS5A03G0124500;TraesCS7B03G0319700;TraesCS4A03G0675700;TraesCS3D03G0026100;TraesCS2D03G0471300;TraesCS7A03G0815000;TraesCS5B03G0566500;TraesCS5A03G0811400;TraesCS1D03G0103000;TraesCS6A03G0740800;TraesCS1D03G0726900;TraesCS2B03G0533800;TraesCS3A03G0698500;TraesCS1B03G1045900;TraesCS6B03G0095200;TraesCS5B03G0554400;TraesCS3B03G0074800;TraesCS1D03G0486500;TraesCS5A03G1137900;TraesCS1D03G0035500;TraesCS7B03G1272900;TraesCS2A03G1295800;TraesCS2B03G0387200;TraesCS7A03G0502200;TraesCS3B03G1173100;TraesCS5B03G1116800;TraesCS7B03G0277000;TraesCS3A03G0037500;TraesCS2B03G0072200;TraesCS5B03G1137700;TraesCS4B03G0129600;TraesCS6A03G0016400;TraesCS2B03G0969100;TraesCS6B03G1165200;TraesCS2D03G0168300;TraesCS5D03G0499700;TraesCS1D03G0868000;TraesCS7A03G1278400;TraesCS3D03G0717600;TraesCS2B03G0753800;TraesCS2B03G0540200;TraesCS5B03G1159600;TraesCS5B03G1216200;TraesCS4B03G0210400;TraesCS2B03G0586400;TraesCS6B03G0427800;TraesCS5B03G0756900;TraesCS2B03G0387300;TraesCS6A03G0575700;TraesCS1D03G0846000;TraesCS2B03G0180600</t>
  </si>
  <si>
    <t>467 (3.31%)</t>
  </si>
  <si>
    <t>TraesCS5B03G0387100;TraesCS2A03G1079100;TraesCS3B03G0115900;TraesCS5A03G0031900;TraesCS3D03G0376300;TraesCS2A03G0133300;TraesCS7A03G0455600;TraesCS2B03G0183000;TraesCS3A03G0222600;TraesCS3A03G1158600;TraesCS1B03G0008600;TraesCS2B03G0189900;TraesCS3D03G0662300;TraesCS4D03G0488700;TraesCS4D03G0174000;TraesCS5D03G0151600;TraesCS6B03G0777800;TraesCS1B03G0089700;TraesCS2D03G0176500;TraesCS2A03G1090000;TraesCS4A03G0584600;TraesCS4A03G0123200;TraesCS1A03G0872400;TraesCS1B03G0041400;TraesCS4B03G0254000;TraesCS6A03G0313900;TraesCS2D03G0465800;TraesCS2B03G0144900;TraesCS6D03G0866300;TraesCS2A03G1175800;TraesCS2D03G0794500;TraesCS6B03G0808400;TraesCS2D03G0991800;TraesCS2D03G0131800;TraesCS3A03G0656300;TraesCS5D03G0837600;TraesCS3D03G0079400;TraesCS7D03G0198400;TraesCS6D03G0066600;TraesCS6D03G0521300;TraesCS5B03G1196000;TraesCS3D03G0121100;TraesCS2D03G0945600;TraesCS5B03G0812500;TraesCS2A03G0134400;TraesCS1D03G0213300;TraesCS5B03G1281400;TraesCS5A03G0623600;TraesCS3A03G0097900;TraesCS1A03G0014900;TraesCS2B03G1416200;TraesCSU03G0180200;TraesCS6A03G0215300;TraesCS2D03G0095200;TraesCS7A03G0201200;TraesCS7D03G0479000;TraesCS7B03G0807800;TraesCS6D03G0618800;TraesCS5D03G0447200;TraesCS2A03G0201500;TraesCS3B03G0962800;TraesCS4A03G0976800;TraesCS2D03G1180100;TraesCS5D03G0151400;TraesCS7D03G0450700;TraesCS5D03G1133900;TraesCS3D03G0950200;TraesCS2A03G0051200;TraesCS2D03G0207000;TraesCS3A03G0263000;TraesCS3D03G0044700;TraesCS5B03G1281300;TraesCS7A03G1338000;TraesCS2B03G0587100;TraesCS1A03G0747900;TraesCS5B03G0541500;TraesCS1D03G1014400;TraesCS4B03G0761800;TraesCS6D03G0269300;TraesCS6A03G0754000;TraesCS2B03G1222100;TraesCS1D03G0455400;TraesCS7B03G0897900;TraesCS2D03G1033400;TraesCS5B03G0554700;TraesCS2D03G0049200;TraesCS5D03G0151300;TraesCS2D03G0396900;TraesCS2A03G0606900;TraesCS2D03G1123700;TraesCS4A03G0695000;TraesCS2D03G0289600;TraesCS7A03G0248500;TraesCS3B03G1383600;TraesCS4B03G0554300;TraesCS5A03G0533200;TraesCS5D03G0041900;TraesCS2B03G0276600;TraesCS4D03G0481000;TraesCSU03G0030300;TraesCS7B03G0720400;TraesCS7B03G0399300;TraesCS2D03G1258600;TraesCS1B03G0235700;TraesCS7D03G0211400;TraesCS4B03G0947500;TraesCS6D03G0269600;TraesCS1D03G0237000;TraesCS2B03G0072900;TraesCS7B03G1239600;TraesCS7B03G1200800;TraesCS4D03G0810400;TraesCS3D03G0026700;TraesCS1A03G0454100;TraesCS2A03G0220000;TraesCS7D03G1236900;TraesCS7A03G0871600;TraesCS5D03G1051900;TraesCS1A03G0042900;TraesCS1B03G1046000;TraesCS3B03G0172400;TraesCS3B03G0287300;TraesCS4A03G0595000;TraesCS1D03G0725300;TraesCS1D03G0813600;TraesCS2B03G1527600;TraesCS3B03G0480000;TraesCS1D03G0867900;TraesCS7B03G0264800;TraesCS4D03G0217200;TraesCS6D03G0537600;TraesCS3B03G0762200;TraesCS7B03G1242900;TraesCS5A03G1069200;TraesCS3D03G0125000;TraesCS7A03G0495900;TraesCS7A03G1284300;TraesCS1A03G0041900;TraesCS1A03G1029800;TraesCS2B03G0944400;TraesCS3D03G0278800;TraesCS1B03G0293800;TraesCS7A03G1308000;TraesCS6B03G0076200;TraesCS7D03G0929100;TraesCS1D03G0990200;TraesCS2A03G1137500;TraesCS6B03G0013900;TraesCS6D03G0666900;TraesCS5B03G0611500;TraesCS5B03G0570400;TraesCS1D03G0167700;TraesCS1D03G0867800;TraesCS6A03G0791600;TraesCS2A03G0386900;TraesCS6A03G0816500;TraesCS6D03G0478400;TraesCS7B03G0741300;TraesCS1A03G0266000;TraesCS4B03G0133200;TraesCS6A03G0735900;TraesCS6D03G0848100;TraesCS2A03G1242300;TraesCS2B03G0504800;TraesCS6A03G0979900;TraesCS7D03G1242300;TraesCS2A03G0379000;TraesCS4D03G0050100;TraesCS3B03G0796000;TraesCS3D03G0639500;TraesCS5D03G0561100;TraesCS7D03G0862700;TraesCS5D03G1051700;TraesCS2D03G0583400;TraesCS2B03G0182000;TraesCS5A03G1049900;TraesCS3B03G0860600;TraesCS6A03G0053100;TraesCS3A03G1098500;TraesCS3B03G0944900;TraesCS6D03G0352700;TraesCS2D03G1292700;TraesCS2B03G0584900;TraesCS2D03G0107300;TraesCS2B03G1233500;TraesCS2A03G0242200;TraesCS4A03G0874000;TraesCS5B03G1186500;TraesCS5B03G0143600;TraesCS1D03G0625700;TraesCS1B03G0971700;TraesCS5A03G1172100;TraesCS4A03G0227600;TraesCS7D03G1219400;TraesCS2D03G0945400;TraesCS5A03G0596900;TraesCS2D03G0176600;TraesCS2D03G0421300;TraesCS1D03G0867600;TraesCS2B03G0182100;TraesCS7A03G0353100;TraesCS4A03G0553700;TraesCS6D03G0589900;TraesCS7A03G1283700;TraesCS6A03G0416200;TraesCS4A03G0805400;TraesCS5A03G0516700;TraesCS6B03G0081400;TraesCS2B03G0699900;TraesCS5B03G0524900;TraesCS3D03G0026300;TraesCS5D03G0376900;TraesCS4A03G0793100;TraesCS3A03G0654900;TraesCS1D03G0990700;TraesCS2A03G0851600;TraesCS2A03G1088600;TraesCS5D03G0739500;TraesCS1D03G0002400;TraesCS3B03G1172900;TraesCS1B03G0298200;TraesCS7B03G0725000;TraesCS2A03G0904100;TraesCS2D03G0111400;TraesCS7D03G0181500;TraesCS6B03G0962300;TraesCS4D03G0483600;TraesCS5A03G0780700;TraesCS3D03G0116200;TraesCS3B03G0052700;TraesCS5B03G1264800;TraesCS7A03G1052600;TraesCS1A03G0017200;TraesCS3D03G0026400;TraesCS2D03G0131000;TraesCS7D03G1003900;TraesCS4A03G0957800;TraesCS3B03G0207200;TraesCS4A03G0953200;TraesCS6A03G0696800;TraesCS5A03G0649100;TraesCS1A03G0018400;TraesCS6A03G0294800;TraesCS3A03G0137900;TraesCS5B03G1013900;TraesCS2B03G0180400;TraesCS1B03G0842800;TraesCS7D03G0485000;TraesCS6A03G0005200;TraesCS6D03G0002800;TraesCS4B03G0626300;TraesCS2D03G1127500;TraesCS5D03G0541100;TraesCS3B03G0201700;TraesCS2B03G0586900;TraesCS5A03G0388500;TraesCS3A03G0685600;TraesCS7D03G1095900;TraesCS3D03G0026500;TraesCS7A03G0289800;TraesCS4D03G0117700;TraesCS1B03G0044200;TraesCS7A03G1238700;TraesCS5D03G0481900;TraesCS2D03G0741000;TraesCS3D03G0142700;TraesCS7B03G0754900;TraesCS2A03G0801300;TraesCS7B03G0960400;TraesCS5B03G0143300;TraesCS7A03G0298500;TraesCS2B03G1344100;TraesCS1D03G0655500;TraesCS5A03G0576700;TraesCS7D03G1058600;TraesCS6D03G0585400;TraesCS6B03G0079100;TraesCS6B03G0006000;TraesCS1B03G0852700;TraesCS3B03G0126100;TraesCS1D03G0715700;TraesCS6D03G0007000;TraesCS2A03G0463700;TraesCS6B03G0001900;TraesCS3B03G0175700;TraesCS3D03G0609500;TraesCS2D03G1136200;TraesCS3D03G0142600;TraesCS3A03G0291100;TraesCS1D03G0782600;TraesCS2B03G0583400;TraesCS2B03G0585700;TraesCS3D03G0769400;TraesCS7B03G0654900;TraesCS5D03G0318700;TraesCS2B03G1206300;TraesCS4A03G0144900;TraesCS7D03G0183900;TraesCS4B03G0139500;TraesCS3A03G0187900;TraesCS4A03G0658200;TraesCS7B03G0896100;TraesCS2A03G0753900;TraesCS2D03G1332500;TraesCS3B03G0745400;TraesCS3A03G0160300;TraesCS5D03G1191300;TraesCS7B03G1201100;TraesCS5B03G0832300;TraesCS2B03G0190500;TraesCS4A03G0669100;TraesCS1A03G0691300;TraesCS6D03G0353300;TraesCS2B03G0072100;TraesCS3D03G0599700;TraesCS1B03G0545700;TraesCS6A03G0121100;TraesCS4B03G0989700;TraesCS1B03G0788200;TraesCS3A03G1022400;TraesCS1B03G0755500;TraesCS3A03G0453400;TraesCS5D03G0447000;TraesCS1A03G0739000;TraesCS1D03G0035700;TraesCS1D03G0626000;TraesCS7A03G0454100;TraesCSU03G0175500;TraesCS1A03G0172700;TraesCS2D03G1135100;TraesCS3D03G0122600;TraesCS5B03G1124100;TraesCS1A03G0881300;TraesCS7D03G1218900;TraesCS5A03G0799600;TraesCS6A03G0314000;TraesCS2B03G0237100;TraesCS2B03G1344800;TraesCS2B03G0887400;TraesCS7A03G0889900;TraesCS5D03G1090700;TraesCS4B03G0652800;TraesCS6B03G0636900;TraesCS2A03G0259600;TraesCS4A03G0218300;TraesCS4A03G0953600;TraesCS4B03G0211800;TraesCS4B03G0543100;TraesCS2D03G1062300;TraesCS6B03G1204700;TraesCS5D03G0461300;TraesCS6B03G0096700;TraesCS3A03G0839100;TraesCS6D03G0287600;TraesCSU03G0011300;TraesCS6D03G0472300;TraesCS5A03G0124500;TraesCS7B03G0319700;TraesCS4A03G0675700;TraesCS3D03G0026100;TraesCS2D03G0471300;TraesCS7A03G0815000;TraesCS5B03G0566500;TraesCS1D03G0103000;TraesCS6A03G0740800;TraesCS1D03G0726900;TraesCS2B03G0533800;TraesCS3A03G0698500;TraesCS1B03G1045900;TraesCS6B03G0095200;TraesCS5B03G0554400;TraesCS3B03G0074800;TraesCS5A03G1137900;TraesCS1D03G0035500;TraesCS7B03G1272900;TraesCS2A03G1295800;TraesCS2B03G0387200;TraesCS7A03G0502200;TraesCS3B03G1173100;TraesCS5B03G1116800;TraesCS7B03G0277000;TraesCS3A03G0037500;TraesCS2B03G0072200;TraesCS4B03G0129600;TraesCS6A03G0016400;TraesCS2B03G0969100;TraesCS6B03G1165200;TraesCS2D03G0168300;TraesCS5D03G0499700;TraesCS1D03G0868000;TraesCS3D03G0717600;TraesCS2B03G0753800;TraesCS5B03G1159600;TraesCS5B03G1216200;TraesCS4B03G0210400;TraesCS2B03G0586400;TraesCS6B03G0427800;TraesCS5B03G0756900;TraesCS2B03G0387300;TraesCS6A03G0575700;TraesCS1D03G0846000;TraesCS2B03G0180600</t>
  </si>
  <si>
    <t>402 (3.5%)</t>
  </si>
  <si>
    <t>TraesCS5B03G0387100;TraesCS6D03G0589900;TraesCS2A03G1079100;TraesCS6A03G0416200;TraesCS3B03G0115900;TraesCS4A03G0805400;TraesCS5A03G0031900;TraesCS5A03G0516700;TraesCS6B03G0081400;TraesCS3D03G0376300;TraesCS2B03G0699900;TraesCS5B03G0524900;TraesCS2A03G0133300;TraesCS3D03G0026300;TraesCS5D03G0376900;TraesCS4A03G0793100;TraesCS2B03G0183000;TraesCS3A03G0222600;TraesCS3A03G1158600;TraesCS3A03G0654900;TraesCS1B03G0008600;TraesCS2B03G0189900;TraesCS1D03G0990700;TraesCS2A03G0851600;TraesCS2A03G1088600;TraesCS4D03G0488700;TraesCS1D03G0002400;TraesCS3B03G1172900;TraesCS4D03G0174000;TraesCS5D03G0151600;TraesCS6B03G0777800;TraesCS1B03G0089700;TraesCS2D03G0176500;TraesCS1B03G0298200;TraesCS2A03G1090000;TraesCS7B03G0725000;TraesCS4A03G0123200;TraesCS2A03G0904100;TraesCS1A03G0872400;TraesCS1B03G0041400;TraesCS2D03G0111400;TraesCS7D03G0181500;TraesCS4B03G0254000;TraesCS6A03G0313900;TraesCS4D03G0483600;TraesCS2D03G0465800;TraesCS2B03G0144900;TraesCS3D03G0116200;TraesCS6D03G0866300;TraesCS2A03G1175800;TraesCS3B03G0052700;TraesCS5B03G1264800;TraesCS2D03G0794500;TraesCS6B03G0808400;TraesCS2D03G0991800;TraesCS2D03G0131800;TraesCS3A03G0656300;TraesCS5D03G0837600;TraesCS7A03G1052600;TraesCS3D03G0079400;TraesCS7D03G0198400;TraesCS1A03G0017200;TraesCS3D03G0026400;TraesCS2D03G0131000;TraesCS7D03G1003900;TraesCS6D03G0521300;TraesCS5B03G1196000;TraesCS3D03G0121100;TraesCS4A03G0957800;TraesCS3B03G0207200;TraesCS4A03G0953200;TraesCS2D03G0945600;TraesCS6A03G0696800;TraesCS2A03G0134400;TraesCS5A03G0649100;TraesCS1A03G0018400;TraesCS1D03G0213300;TraesCS6A03G0294800;TraesCS3A03G0137900;TraesCS5B03G1013900;TraesCS2B03G0180400;TraesCS1B03G0842800;TraesCS7D03G0485000;TraesCS5B03G1281400;TraesCS6A03G0005200;TraesCS6D03G0002800;TraesCS5A03G0623600;TraesCS4B03G0626300;TraesCS3A03G0097900;TraesCS1A03G0014900;TraesCS2D03G1127500;TraesCS5D03G0541100;TraesCS2B03G1416200;TraesCS3B03G0201700;TraesCS2B03G0586900;TraesCS5A03G0388500;TraesCS3A03G0685600;TraesCS7D03G1095900;TraesCS3D03G0026500;TraesCS6A03G0215300;TraesCS7A03G0289800;TraesCS2D03G0095200;TraesCS7A03G0201200;TraesCS7D03G0479000;TraesCS1B03G0044200;TraesCS5D03G0481900;TraesCS2D03G0741000;TraesCS3D03G0142700;TraesCS7B03G0754900;TraesCS2A03G0801300;TraesCS7B03G0960400;TraesCS7B03G0807800;TraesCS6D03G0618800;TraesCS5B03G0143300;TraesCS5D03G0447200;TraesCS2A03G0201500;TraesCS7A03G0298500;TraesCS4A03G0976800;TraesCS2B03G1344100;TraesCS2D03G1180100;TraesCS5D03G0151400;TraesCS7D03G0450700;TraesCS1D03G0655500;TraesCS5D03G1133900;TraesCS3D03G0950200;TraesCS5A03G0576700;TraesCS2A03G0051200;TraesCS7D03G1058600;TraesCS2D03G0207000;TraesCS6D03G0585400;TraesCS3A03G0263000;TraesCS3D03G0044700;TraesCS5B03G1281300;TraesCS6B03G0079100;TraesCS6B03G0006000;TraesCS7A03G1338000;TraesCS1B03G0852700;TraesCS3B03G0126100;TraesCS1D03G0715700;TraesCS6D03G0007000;TraesCS2A03G0463700;TraesCS2B03G0587100;TraesCS1A03G0747900;TraesCS6B03G0001900;TraesCS3B03G0175700;TraesCS3D03G0609500;TraesCS5B03G0541500;TraesCS1D03G1014400;TraesCS2D03G1136200;TraesCS4B03G0761800;TraesCS6D03G0269300;TraesCS3D03G0142600;TraesCS2B03G1222100;TraesCS3A03G0291100;TraesCS1D03G0782600;TraesCS7B03G0897900;TraesCS2D03G1033400;TraesCS5B03G0554700;TraesCS2D03G0049200;TraesCS2B03G0583400;TraesCS5D03G0151300;TraesCS2B03G0585700;TraesCS3D03G0769400;TraesCS2D03G0396900;TraesCS7B03G0654900;TraesCS2A03G0606900;TraesCS2D03G1123700;TraesCS4A03G0695000;TraesCS5D03G0318700;TraesCS2D03G0289600;TraesCS2B03G1206300;TraesCS4A03G0144900;TraesCS7A03G0248500;TraesCS7D03G0183900;TraesCS3B03G1383600;TraesCS4B03G0554300;TraesCS5A03G0533200;TraesCS5D03G0041900;TraesCS2B03G0276600;TraesCS3A03G0187900;TraesCS4D03G0481000;TraesCS7B03G0896100;TraesCSU03G0030300;TraesCS2D03G1332500;TraesCS3B03G0745400;TraesCS3A03G0160300;TraesCS5D03G1191300;TraesCS5B03G0832300;TraesCS2B03G0190500;TraesCS7B03G0720400;TraesCS7B03G0399300;TraesCS2D03G1258600;TraesCS4A03G0669100;TraesCS1A03G0691300;TraesCS6D03G0353300;TraesCS2B03G0072100;TraesCS1B03G0235700;TraesCS7D03G0211400;TraesCS3D03G0599700;TraesCS4B03G0947500;TraesCS6D03G0269600;TraesCS1D03G0237000;TraesCS6A03G0121100;TraesCS4B03G0989700;TraesCS2B03G0072900;TraesCS1B03G0788200;TraesCS7B03G1239600;TraesCS3A03G1022400;TraesCS1B03G0755500;TraesCS3D03G0026700;TraesCS5D03G0447000;TraesCS1A03G0739000;TraesCS2A03G0220000;TraesCS1D03G0035700;TraesCS1D03G0626000;TraesCS7A03G0454100;TraesCS7A03G0871600;TraesCSU03G0175500;TraesCS5D03G1051900;TraesCS1A03G0042900;TraesCS1A03G0172700;TraesCS1B03G1046000;TraesCS2D03G1135100;TraesCS3D03G0122600;TraesCS3B03G0172400;TraesCS3B03G0287300;TraesCS4A03G0595000;TraesCS1D03G0725300;TraesCS1D03G0813600;TraesCS2B03G1527600;TraesCS5B03G1124100;TraesCS3B03G0480000;TraesCS1D03G0867900;TraesCS1A03G0881300;TraesCS4D03G0217200;TraesCS5A03G0799600;TraesCS6D03G0537600;TraesCS6A03G0314000;TraesCS2B03G0237100;TraesCS3B03G0762200;TraesCS7B03G1242900;TraesCS2B03G1344800;TraesCS2B03G0887400;TraesCS7A03G0889900;TraesCS5A03G1069200;TraesCS5D03G1090700;TraesCS4B03G0652800;TraesCS3D03G0125000;TraesCS7A03G0495900;TraesCS6B03G0636900;TraesCS1A03G0041900;TraesCS1A03G1029800;TraesCS2A03G0259600;TraesCS2B03G0944400;TraesCS3D03G0278800;TraesCS4A03G0218300;TraesCS1B03G0293800;TraesCS6B03G0076200;TraesCS7D03G0929100;TraesCS1D03G0990200;TraesCS2A03G1137500;TraesCS6B03G0013900;TraesCS6D03G0666900;TraesCS4A03G0953600;TraesCS5B03G0611500;TraesCS4B03G0211800;TraesCS4B03G0543100;TraesCS2D03G1062300;TraesCS5B03G0570400;TraesCS6B03G1204700;TraesCS1D03G0167700;TraesCS1D03G0867800;TraesCS5D03G0461300;TraesCS6A03G0791600;TraesCS2A03G0386900;TraesCS6A03G0816500;TraesCS6D03G0287600;TraesCS6D03G0478400;TraesCS7B03G0741300;TraesCSU03G0011300;TraesCS1A03G0266000;TraesCS6D03G0472300;TraesCS6A03G0735900;TraesCS5A03G0124500;TraesCS7B03G0319700;TraesCS4A03G0675700;TraesCS3D03G0026100;TraesCS6D03G0848100;TraesCS2D03G0471300;TraesCS2A03G1242300;TraesCS7A03G0815000;TraesCS5B03G0566500;TraesCS2B03G0504800;TraesCS6A03G0979900;TraesCS7D03G1242300;TraesCS1D03G0103000;TraesCS6A03G0740800;TraesCS1D03G0726900;TraesCS2A03G0379000;TraesCS2B03G0533800;TraesCS3A03G0698500;TraesCS1B03G1045900;TraesCS4D03G0050100;TraesCS6B03G0095200;TraesCS5B03G0554400;TraesCS3B03G0796000;TraesCS3B03G0074800;TraesCS3D03G0639500;TraesCS5D03G0561100;TraesCS7D03G0862700;TraesCS5A03G1137900;TraesCS1D03G0035500;TraesCS5D03G1051700;TraesCS2D03G0583400;TraesCS7B03G1272900;TraesCS2A03G1295800;TraesCS2B03G0387200;TraesCS2B03G0182000;TraesCS5A03G1049900;TraesCS7A03G0502200;TraesCS3B03G0860600;TraesCS6A03G0053100;TraesCS3B03G1173100;TraesCS3B03G0944900;TraesCS6D03G0352700;TraesCS2D03G1292700;TraesCS2B03G0584900;TraesCS2D03G0107300;TraesCS2B03G1233500;TraesCS2A03G0242200;TraesCS4A03G0874000;TraesCS5B03G1116800;TraesCS7B03G0277000;TraesCS3A03G0037500;TraesCS2B03G0072200;TraesCS4B03G0129600;TraesCS6A03G0016400;TraesCS2B03G0969100;TraesCS5B03G0143600;TraesCS6B03G1165200;TraesCS2D03G0168300;TraesCS5D03G0499700;TraesCS1D03G0625700;TraesCS1B03G0971700;TraesCS1D03G0868000;TraesCS5A03G1172100;TraesCS4A03G0227600;TraesCS3D03G0717600;TraesCS2D03G0945400;TraesCS2B03G0753800;TraesCS5A03G0596900;TraesCS2D03G0176600;TraesCS5B03G1159600;TraesCS5B03G1216200;TraesCS4B03G0210400;TraesCS2B03G0586400;TraesCS6B03G0427800;TraesCS2D03G0421300;TraesCS1D03G0867600;TraesCS5B03G0756900;TraesCS2B03G0387300;TraesCS2B03G0182100;TraesCS6A03G0575700;TraesCS1D03G0846000;TraesCS2B03G0180600;TraesCS4A03G0553700</t>
  </si>
  <si>
    <t>366 (3.77%)</t>
  </si>
  <si>
    <t>TraesCS5B03G0387100;TraesCS6D03G0589900;TraesCS2A03G1079100;TraesCS6A03G0416200;TraesCS3B03G0115900;TraesCS4A03G0805400;TraesCS5A03G0031900;TraesCS5A03G0516700;TraesCS6B03G0081400;TraesCS3D03G0376300;TraesCS2B03G0699900;TraesCS5B03G0524900;TraesCS2A03G0133300;TraesCS3D03G0026300;TraesCS5D03G0376900;TraesCS4A03G0793100;TraesCS2B03G0183000;TraesCS3A03G0222600;TraesCS3A03G1158600;TraesCS3A03G0654900;TraesCS1B03G0008600;TraesCS2B03G0189900;TraesCS1D03G0990700;TraesCS2A03G0851600;TraesCS2A03G1088600;TraesCS4D03G0488700;TraesCS1D03G0002400;TraesCS3B03G1172900;TraesCS4D03G0174000;TraesCS5D03G0151600;TraesCS6B03G0777800;TraesCS1B03G0089700;TraesCS2D03G0176500;TraesCS1B03G0298200;TraesCS2A03G1090000;TraesCS7B03G0725000;TraesCS4A03G0123200;TraesCS2A03G0904100;TraesCS1A03G0872400;TraesCS1B03G0041400;TraesCS2D03G0111400;TraesCS7D03G0181500;TraesCS4B03G0254000;TraesCS6A03G0313900;TraesCS4D03G0483600;TraesCS2D03G0465800;TraesCS2B03G0144900;TraesCS3D03G0116200;TraesCS6D03G0866300;TraesCS2A03G1175800;TraesCS3B03G0052700;TraesCS5B03G1264800;TraesCS2D03G0794500;TraesCS6B03G0808400;TraesCS2D03G0991800;TraesCS2D03G0131800;TraesCS3A03G0656300;TraesCS5D03G0837600;TraesCS7A03G1052600;TraesCS3D03G0079400;TraesCS7D03G0198400;TraesCS1A03G0017200;TraesCS3D03G0026400;TraesCS2D03G0131000;TraesCS7D03G1003900;TraesCS6D03G0521300;TraesCS5B03G1196000;TraesCS3D03G0121100;TraesCS4A03G0957800;TraesCS3B03G0207200;TraesCS4A03G0953200;TraesCS2D03G0945600;TraesCS6A03G0696800;TraesCS2A03G0134400;TraesCS5A03G0649100;TraesCS1A03G0018400;TraesCS1D03G0213300;TraesCS6A03G0294800;TraesCS3A03G0137900;TraesCS5B03G1013900;TraesCS2B03G0180400;TraesCS1B03G0842800;TraesCS7D03G0485000;TraesCS5B03G1281400;TraesCS6A03G0005200;TraesCS6D03G0002800;TraesCS5A03G0623600;TraesCS4B03G0626300;TraesCS3A03G0097900;TraesCS1A03G0014900;TraesCS2D03G1127500;TraesCS5D03G0541100;TraesCS2B03G1416200;TraesCS3B03G0201700;TraesCS2B03G0586900;TraesCS5A03G0388500;TraesCS3A03G0685600;TraesCS7D03G1095900;TraesCS3D03G0026500;TraesCS6A03G0215300;TraesCS7A03G0289800;TraesCS2D03G0095200;TraesCS7A03G0201200;TraesCS7D03G0479000;TraesCS1B03G0044200;TraesCS5D03G0481900;TraesCS2D03G0741000;TraesCS3D03G0142700;TraesCS7B03G0754900;TraesCS2A03G0801300;TraesCS7B03G0960400;TraesCS7B03G0807800;TraesCS6D03G0618800;TraesCS5B03G0143300;TraesCS5D03G0447200;TraesCS2A03G0201500;TraesCS7A03G0298500;TraesCS4A03G0976800;TraesCS2B03G1344100;TraesCS2D03G1180100;TraesCS5D03G0151400;TraesCS7D03G0450700;TraesCS1D03G0655500;TraesCS5D03G1133900;TraesCS3D03G0950200;TraesCS5A03G0576700;TraesCS2A03G0051200;TraesCS7D03G1058600;TraesCS2D03G0207000;TraesCS6D03G0585400;TraesCS3D03G0044700;TraesCS5B03G1281300;TraesCS6B03G0079100;TraesCS6B03G0006000;TraesCS7A03G1338000;TraesCS1B03G0852700;TraesCS3B03G0126100;TraesCS1D03G0715700;TraesCS6D03G0007000;TraesCS2A03G0463700;TraesCS2B03G0587100;TraesCS1A03G0747900;TraesCS6B03G0001900;TraesCS3B03G0175700;TraesCS3D03G0609500;TraesCS5B03G0541500;TraesCS1D03G1014400;TraesCS2D03G1136200;TraesCS4B03G0761800;TraesCS6D03G0269300;TraesCS3D03G0142600;TraesCS2B03G1222100;TraesCS3A03G0291100;TraesCS1D03G0782600;TraesCS7B03G0897900;TraesCS2D03G1033400;TraesCS5B03G0554700;TraesCS2D03G0049200;TraesCS2B03G0583400;TraesCS5D03G0151300;TraesCS2B03G0585700;TraesCS3D03G0769400;TraesCS2D03G0396900;TraesCS7B03G0654900;TraesCS2A03G0606900;TraesCS2D03G1123700;TraesCS4A03G0695000;TraesCS5D03G0318700;TraesCS2D03G0289600;TraesCS2B03G1206300;TraesCS4A03G0144900;TraesCS7A03G0248500;TraesCS7D03G0183900;TraesCS3B03G1383600;TraesCS4B03G0554300;TraesCS5A03G0533200;TraesCS5D03G0041900;TraesCS2B03G0276600;TraesCS4D03G0481000;TraesCS7B03G0896100;TraesCSU03G0030300;TraesCS2D03G1332500;TraesCS3B03G0745400;TraesCS3A03G0160300;TraesCS5D03G1191300;TraesCS5B03G0832300;TraesCS2B03G0190500;TraesCS7B03G0720400;TraesCS7B03G0399300;TraesCS2D03G1258600;TraesCS4A03G0669100;TraesCS1A03G0691300;TraesCS6D03G0353300;TraesCS2B03G0072100;TraesCS1B03G0235700;TraesCS7D03G0211400;TraesCS3D03G0599700;TraesCS4B03G0947500;TraesCS6D03G0269600;TraesCS1D03G0237000;TraesCS6A03G0121100;TraesCS4B03G0989700;TraesCS2B03G0072900;TraesCS1B03G0788200;TraesCS7B03G1239600;TraesCS3A03G1022400;TraesCS1B03G0755500;TraesCS3D03G0026700;TraesCS5D03G0447000;TraesCS1A03G0739000;TraesCS2A03G0220000;TraesCS1D03G0035700;TraesCS1D03G0626000;TraesCS7A03G0454100;TraesCS7A03G0871600;TraesCSU03G0175500;TraesCS5D03G1051900;TraesCS1A03G0042900;TraesCS1A03G0172700;TraesCS1B03G1046000;TraesCS2D03G1135100;TraesCS3D03G0122600;TraesCS3B03G0172400;TraesCS3B03G0287300;TraesCS4A03G0595000;TraesCS1D03G0725300;TraesCS1D03G0813600;TraesCS2B03G1527600;TraesCS5B03G1124100;TraesCS3B03G0480000;TraesCS1D03G0867900;TraesCS1A03G0881300;TraesCS4D03G0217200;TraesCS5A03G0799600;TraesCS6D03G0537600;TraesCS6A03G0314000;TraesCS2B03G0237100;TraesCS3B03G0762200;TraesCS7B03G1242900;TraesCS2B03G1344800;TraesCS2B03G0887400;TraesCS7A03G0889900;TraesCS5A03G1069200;TraesCS5D03G1090700;TraesCS4B03G0652800;TraesCS3D03G0125000;TraesCS7A03G0495900;TraesCS6B03G0636900;TraesCS1A03G0041900;TraesCS1A03G1029800;TraesCS2A03G0259600;TraesCS2B03G0944400;TraesCS3D03G0278800;TraesCS4A03G0218300;TraesCS1B03G0293800;TraesCS6B03G0076200;TraesCS7D03G0929100;TraesCS1D03G0990200;TraesCS2A03G1137500;TraesCS6B03G0013900;TraesCS6D03G0666900;TraesCS4A03G0953600;TraesCS5B03G0611500;TraesCS4B03G0211800;TraesCS4B03G0543100;TraesCS2D03G1062300;TraesCS5B03G0570400;TraesCS6B03G1204700;TraesCS1D03G0167700;TraesCS1D03G0867800;TraesCS5D03G0461300;TraesCS6A03G0791600;TraesCS2A03G0386900;TraesCS6A03G0816500;TraesCS6D03G0287600;TraesCS6D03G0478400;TraesCS7B03G0741300;TraesCSU03G0011300;TraesCS1A03G0266000;TraesCS6D03G0472300;TraesCS6A03G0735900;TraesCS5A03G0124500;TraesCS7B03G0319700;TraesCS4A03G0675700;TraesCS3D03G0026100;TraesCS6D03G0848100;TraesCS2D03G0471300;TraesCS2A03G1242300;TraesCS7A03G0815000;TraesCS5B03G0566500;TraesCS2B03G0504800;TraesCS6A03G0979900;TraesCS7D03G1242300;TraesCS1D03G0103000;TraesCS6A03G0740800;TraesCS1D03G0726900;TraesCS2A03G0379000;TraesCS2B03G0533800;TraesCS3A03G0698500;TraesCS1B03G1045900;TraesCS4D03G0050100;TraesCS6B03G0095200;TraesCS5B03G0554400;TraesCS3B03G0796000;TraesCS3B03G0074800;TraesCS3D03G0639500;TraesCS5D03G0561100;TraesCS7D03G0862700;TraesCS5A03G1137900;TraesCS1D03G0035500;TraesCS5D03G1051700;TraesCS2D03G0583400;TraesCS7B03G1272900;TraesCS2A03G1295800;TraesCS2B03G0387200;TraesCS2B03G0182000;TraesCS5A03G1049900;TraesCS7A03G0502200;TraesCS3B03G0860600;TraesCS6A03G0053100;TraesCS3B03G1173100;TraesCS3B03G0944900;TraesCS6D03G0352700;TraesCS2D03G1292700;TraesCS2B03G0584900;TraesCS2D03G0107300;TraesCS2B03G1233500;TraesCS2A03G0242200;TraesCS4A03G0874000;TraesCS5B03G1116800;TraesCS7B03G0277000;TraesCS3A03G0037500;TraesCS2B03G0072200;TraesCS4B03G0129600;TraesCS6A03G0016400;TraesCS2B03G0969100;TraesCS5B03G0143600;TraesCS6B03G1165200;TraesCS2D03G0168300;TraesCS5D03G0499700;TraesCS1D03G0625700;TraesCS1B03G0971700;TraesCS1D03G0868000;TraesCS5A03G1172100;TraesCS4A03G0227600;TraesCS3D03G0717600;TraesCS2D03G0945400;TraesCS2B03G0753800;TraesCS5A03G0596900;TraesCS2D03G0176600;TraesCS5B03G1159600;TraesCS5B03G1216200;TraesCS4B03G0210400;TraesCS2B03G0586400;TraesCS6B03G0427800;TraesCS2D03G0421300;TraesCS1D03G0867600;TraesCS5B03G0756900;TraesCS2B03G0387300;TraesCS2B03G0182100;TraesCS6A03G0575700;TraesCS1D03G0846000;TraesCS2B03G0180600;TraesCS4A03G0553700</t>
  </si>
  <si>
    <t>364 (4.65%)</t>
  </si>
  <si>
    <t>TraesCS5B03G0387100;TraesCS6D03G0589900;TraesCS2A03G1079100;TraesCS6A03G0416200;TraesCS3B03G0115900;TraesCS4A03G0805400;TraesCS5A03G0031900;TraesCS6B03G0081400;TraesCS3D03G0376300;TraesCS2B03G0699900;TraesCS2A03G0133300;TraesCS3D03G0026300;TraesCS5D03G0376900;TraesCS4A03G0793100;TraesCS2B03G0183000;TraesCS3A03G1158600;TraesCS3A03G0654900;TraesCS1B03G0008600;TraesCS2B03G0189900;TraesCS1D03G0990700;TraesCS2A03G0851600;TraesCS2A03G1088600;TraesCS4D03G0488700;TraesCS1D03G0002400;TraesCS3B03G1172900;TraesCS4D03G0174000;TraesCS5D03G0151600;TraesCS6B03G0777800;TraesCS1B03G0089700;TraesCS2D03G0176500;TraesCS1B03G0298200;TraesCS2A03G1090000;TraesCS7B03G0725000;TraesCS4A03G0123200;TraesCS2A03G0904100;TraesCS1A03G0872400;TraesCS1B03G0041400;TraesCS2D03G0111400;TraesCS7D03G0181500;TraesCS4B03G0254000;TraesCS6A03G0313900;TraesCS4D03G0483600;TraesCS2D03G0465800;TraesCS2B03G0144900;TraesCS3D03G0116200;TraesCS6D03G0866300;TraesCS2A03G1175800;TraesCS5B03G1264800;TraesCS2D03G0794500;TraesCS6B03G0808400;TraesCS2D03G0991800;TraesCS2D03G0131800;TraesCS3A03G0656300;TraesCS5D03G0837600;TraesCS7A03G1052600;TraesCS3D03G0079400;TraesCS7D03G0198400;TraesCS1A03G0017200;TraesCS3D03G0026400;TraesCS2D03G0131000;TraesCS7D03G1003900;TraesCS6D03G0521300;TraesCS5B03G1196000;TraesCS3D03G0121100;TraesCS4A03G0957800;TraesCS4A03G0953200;TraesCS2D03G0945600;TraesCS6A03G0696800;TraesCS2A03G0134400;TraesCS5A03G0649100;TraesCS1A03G0018400;TraesCS1D03G0213300;TraesCS6A03G0294800;TraesCS3A03G0137900;TraesCS5B03G1013900;TraesCS2B03G0180400;TraesCS1B03G0842800;TraesCS7D03G0485000;TraesCS5B03G1281400;TraesCS6A03G0005200;TraesCS6D03G0002800;TraesCS5A03G0623600;TraesCS3A03G0097900;TraesCS1A03G0014900;TraesCS2D03G1127500;TraesCS5D03G0541100;TraesCS2B03G1416200;TraesCS3B03G0201700;TraesCS2B03G0586900;TraesCS5A03G0388500;TraesCS3A03G0685600;TraesCS7D03G1095900;TraesCS3D03G0026500;TraesCS2D03G0095200;TraesCS7A03G0201200;TraesCS7D03G0479000;TraesCS1B03G0044200;TraesCS2D03G0741000;TraesCS3D03G0142700;TraesCS3B03G1308200;TraesCS7B03G0754900;TraesCS2A03G0801300;TraesCS7B03G0960400;TraesCS7B03G0807800;TraesCS6D03G0618800;TraesCS5B03G0143300;TraesCS5D03G0447200;TraesCS2A03G0201500;TraesCS7A03G0298500;TraesCS4A03G0976800;TraesCS1A03G0888500;TraesCS2B03G1344100;TraesCS5D03G0151400;TraesCS1D03G0655500;TraesCS5D03G1133900;TraesCS3D03G0950200;TraesCS5A03G0576700;TraesCS2A03G0051200;TraesCS7D03G1058600;TraesCS2D03G0207000;TraesCS6D03G0585400;TraesCS3D03G0044700;TraesCS5B03G1281300;TraesCS6B03G0079100;TraesCS6B03G0006000;TraesCS7A03G1338000;TraesCS5D03G0507200;TraesCS3B03G0126100;TraesCS1D03G0294000;TraesCS6D03G0007000;TraesCS2A03G0463700;TraesCS2B03G0587100;TraesCS6B03G0001900;TraesCS3B03G0175700;TraesCS3D03G0609500;TraesCS5B03G0541500;TraesCS1D03G1014400;TraesCS2D03G1136200;TraesCS4B03G0761800;TraesCS6D03G0269300;TraesCS3D03G0142600;TraesCS2B03G1222100;TraesCS3A03G0291100;TraesCS1D03G0782600;TraesCS7B03G0897900;TraesCS2D03G1033400;TraesCS5B03G0554700;TraesCS2D03G0049200;TraesCS2B03G0583400;TraesCS5D03G0151300;TraesCS2B03G0585700;TraesCS3D03G0769400;TraesCS2D03G0396900;TraesCS7B03G0654900;TraesCS2A03G0606900;TraesCS2D03G1123700;TraesCS4A03G0695000;TraesCS5D03G0318700;TraesCS2D03G0289600;TraesCS2B03G1206300;TraesCS4A03G0144900;TraesCS7A03G0248500;TraesCS7D03G0183900;TraesCS3B03G1383600;TraesCS4B03G0554300;TraesCS5A03G0533200;TraesCS5D03G0041900;TraesCS2B03G0276600;TraesCS4D03G0481000;TraesCS7B03G0896100;TraesCSU03G0030300;TraesCS2D03G1332500;TraesCS3B03G0745400;TraesCS3A03G0160300;TraesCS5D03G1191300;TraesCS5B03G0832300;TraesCS2B03G0190500;TraesCS7B03G0720400;TraesCS2D03G1258600;TraesCS4A03G0669100;TraesCS1A03G0691300;TraesCS6D03G0353300;TraesCS2B03G0072100;TraesCS1B03G0235700;TraesCS7D03G0211400;TraesCS3D03G0599700;TraesCS4B03G0947500;TraesCS6D03G0269600;TraesCS1D03G0237000;TraesCS6A03G0121100;TraesCS4B03G0989700;TraesCS2B03G0072900;TraesCS1B03G0788200;TraesCS7B03G1239600;TraesCS3A03G1022400;TraesCS1B03G0755500;TraesCS7A03G0814900;TraesCS3D03G0026700;TraesCS5D03G0447000;TraesCS1A03G0739000;TraesCS2A03G0220000;TraesCS1D03G0035700;TraesCS1D03G0626000;TraesCS2B03G0452300;TraesCS7A03G0871600;TraesCSU03G0175500;TraesCS5D03G1051900;TraesCS1A03G0042900;TraesCS1A03G0172700;TraesCS1B03G1046000;TraesCS2D03G1135100;TraesCS3D03G0122600;TraesCS3B03G0172400;TraesCS3B03G0287300;TraesCS4A03G0595000;TraesCS1D03G0725300;TraesCS1D03G0813600;TraesCS2B03G1527600;TraesCS5B03G1124100;TraesCS3B03G0480000;TraesCS1D03G0867900;TraesCS4D03G0217200;TraesCS5A03G0799600;TraesCS6D03G0537600;TraesCS6A03G0314000;TraesCS2B03G0237100;TraesCS3B03G0762200;TraesCS7B03G1242900;TraesCS2B03G1344800;TraesCS2B03G0887400;TraesCS7A03G0889900;TraesCS1D03G0864400;TraesCS5D03G1090700;TraesCS4B03G0652800;TraesCS3D03G0125000;TraesCS7A03G0495900;TraesCS6B03G0636900;TraesCS1A03G0041900;TraesCS1A03G1029800;TraesCS2A03G0259600;TraesCS2B03G0944400;TraesCS3D03G0278800;TraesCS4A03G0218300;TraesCS1B03G0293800;TraesCS6B03G0076200;TraesCS5A03G0664200;TraesCS7D03G0929100;TraesCS1D03G0990200;TraesCS2A03G1137500;TraesCS6B03G0013900;TraesCS6D03G0666900;TraesCS4A03G0953600;TraesCS4B03G0211800;TraesCS4B03G0543100;TraesCS2D03G1062300;TraesCS6B03G1204700;TraesCS1D03G0167700;TraesCS1D03G0655000;TraesCS1D03G0867800;TraesCS5D03G0461300;TraesCS3B03G1362600;TraesCS6A03G0791600;TraesCS2A03G0386900;TraesCS6D03G0287600;TraesCS7B03G0741300;TraesCS2D03G1324000;TraesCSU03G0011300;TraesCS1A03G0266000;TraesCS6D03G0472300;TraesCS6A03G0735900;TraesCS5A03G0124500;TraesCS7B03G0319700;TraesCS4A03G0675700;TraesCS3D03G0026100;TraesCS2D03G0471300;TraesCS2A03G1242300;TraesCS3B03G1510300;TraesCS2B03G0504800;TraesCS6A03G0979900;TraesCS7D03G1242300;TraesCS1D03G0103000;TraesCS6A03G0740800;TraesCS2A03G0379000;TraesCS2B03G0533800;TraesCS3A03G0698500;TraesCS1B03G1045900;TraesCS6B03G0095200;TraesCS5B03G0554400;TraesCS3B03G0796000;TraesCS3B03G0074800;TraesCS3D03G0639500;TraesCS7D03G0862700;TraesCS5A03G1137900;TraesCS1D03G0035500;TraesCS2D03G0583400;TraesCS7B03G1272900;TraesCS2A03G1295800;TraesCS2B03G0387200;TraesCS2B03G0182000;TraesCS5A03G1049900;TraesCS7A03G0502200;TraesCS3B03G0860600;TraesCS6A03G0053100;TraesCS3B03G1173100;TraesCS3B03G0944900;TraesCS6D03G0352700;TraesCS2D03G1292700;TraesCS2B03G0584900;TraesCS2D03G0107300;TraesCS2B03G1233500;TraesCS2A03G0242200;TraesCS2A03G0334100;TraesCS4A03G0874000;TraesCS5B03G1116800;TraesCS3A03G0037500;TraesCS2B03G0072200;TraesCS4B03G0129600;TraesCS6A03G0016400;TraesCS2B03G0969100;TraesCS5B03G0143600;TraesCS1A03G0691200;TraesCS6B03G1165200;TraesCS2D03G0168300;TraesCS5D03G0499700;TraesCS1D03G0625700;TraesCS1B03G0971700;TraesCS1D03G0868000;TraesCS5A03G1172100;TraesCS4A03G0227600;TraesCS3D03G0717600;TraesCS2D03G0945400;TraesCS2B03G0753800;TraesCS2D03G0176600;TraesCS5B03G1159600;TraesCS5B03G1216200;TraesCS4B03G0210400;TraesCS2B03G0586400;TraesCS6B03G0427800;TraesCS2D03G0421300;TraesCS1D03G0867600;TraesCS5B03G0756900;TraesCS2B03G0387300;TraesCS2B03G0182100;TraesCS1D03G0846000;TraesCS2B03G0180600;TraesCS4A03G0553700</t>
  </si>
  <si>
    <t>346 (4.94%)</t>
  </si>
  <si>
    <t>346 (4.95%)</t>
  </si>
  <si>
    <t>364 (4.9%)</t>
  </si>
  <si>
    <t>TraesCS5B03G0387100;TraesCS6D03G0589900;TraesCS2A03G1079100;TraesCS6A03G0416200;TraesCS3B03G0115900;TraesCS4A03G0805400;TraesCS5A03G0031900;TraesCS6B03G0081400;TraesCS3D03G0376300;TraesCS2B03G0699900;TraesCS2A03G0133300;TraesCS3D03G0026300;TraesCS5D03G0376900;TraesCS4A03G0793100;TraesCS2B03G0183000;TraesCS3A03G1158600;TraesCS3A03G0654900;TraesCS1B03G0008600;TraesCS2B03G0189900;TraesCS1D03G0990700;TraesCS2A03G0851600;TraesCS2A03G1088600;TraesCS4D03G0488700;TraesCS1D03G0002400;TraesCS3B03G1172900;TraesCS4D03G0174000;TraesCS5D03G0151600;TraesCS6B03G0777800;TraesCS1B03G0089700;TraesCS2D03G0176500;TraesCS1B03G0298200;TraesCS2A03G1090000;TraesCS7B03G0725000;TraesCS4A03G0123200;TraesCS2A03G0904100;TraesCS1A03G0872400;TraesCS1B03G0041400;TraesCS2D03G0111400;TraesCS7D03G0181500;TraesCS4B03G0254000;TraesCS6A03G0313900;TraesCS4D03G0483600;TraesCS2D03G0465800;TraesCS2B03G0144900;TraesCS3D03G0116200;TraesCS6D03G0866300;TraesCS2A03G1175800;TraesCS5B03G1264800;TraesCS2D03G0794500;TraesCS6B03G0808400;TraesCS2D03G0991800;TraesCS2D03G0131800;TraesCS3A03G0656300;TraesCS5D03G0837600;TraesCS7A03G1052600;TraesCS3D03G0079400;TraesCS7D03G0198400;TraesCS1A03G0017200;TraesCS3D03G0026400;TraesCS2D03G0131000;TraesCS7D03G1003900;TraesCS6D03G0521300;TraesCS3D03G0121100;TraesCS4A03G0957800;TraesCS4A03G0953200;TraesCS2D03G0945600;TraesCS6A03G0696800;TraesCS2A03G0134400;TraesCS5A03G0649100;TraesCS1A03G0018400;TraesCS1D03G0213300;TraesCS6A03G0294800;TraesCS3A03G0137900;TraesCS5B03G1013900;TraesCS2B03G0180400;TraesCS1B03G0842800;TraesCS7D03G0485000;TraesCS5B03G1281400;TraesCS6A03G0005200;TraesCS6D03G0002800;TraesCS5A03G0623600;TraesCS3A03G0097900;TraesCS1A03G0014900;TraesCS2D03G1127500;TraesCS5D03G0541100;TraesCS2B03G1416200;TraesCS3B03G0201700;TraesCS2B03G0586900;TraesCS5A03G0388500;TraesCS3A03G0685600;TraesCS7D03G1095900;TraesCS3D03G0026500;TraesCS2D03G0095200;TraesCS7A03G0201200;TraesCS7D03G0479000;TraesCS1B03G0044200;TraesCS2D03G0741000;TraesCS3D03G0142700;TraesCS3B03G1308200;TraesCS7B03G0754900;TraesCS2A03G0801300;TraesCS7B03G0960400;TraesCS7B03G0807800;TraesCS6D03G0618800;TraesCS5B03G0143300;TraesCS5D03G0447200;TraesCS2A03G0201500;TraesCS7A03G0298500;TraesCS4A03G0976800;TraesCS2B03G1344100;TraesCS5D03G0151400;TraesCS1D03G0655500;TraesCS5D03G1133900;TraesCS3D03G0950200;TraesCS5A03G0576700;TraesCS2A03G0051200;TraesCS7D03G1058600;TraesCS2D03G0207000;TraesCS6D03G0585400;TraesCS3D03G0044700;TraesCS5B03G1281300;TraesCS6B03G0079100;TraesCS6B03G0006000;TraesCS7A03G1338000;TraesCS3B03G0126100;TraesCS1D03G0294000;TraesCS6D03G0007000;TraesCS2A03G0463700;TraesCS2B03G0587100;TraesCS6B03G0001900;TraesCS3B03G0175700;TraesCS3D03G0609500;TraesCS5B03G0541500;TraesCS1D03G1014400;TraesCS2D03G1136200;TraesCS4B03G0761800;TraesCS6D03G0269300;TraesCS3D03G0142600;TraesCS2B03G1222100;TraesCS3A03G0291100;TraesCS1D03G0782600;TraesCS7B03G0897900;TraesCS2D03G1033400;TraesCS5B03G0554700;TraesCS2D03G0049200;TraesCS2B03G0583400;TraesCS5D03G0151300;TraesCS2B03G0585700;TraesCS3D03G0769400;TraesCS2D03G0396900;TraesCS7B03G0654900;TraesCS2A03G0606900;TraesCS2D03G1123700;TraesCS4A03G0695000;TraesCS5D03G0318700;TraesCS2D03G0289600;TraesCS2B03G1206300;TraesCS4A03G0144900;TraesCS7A03G0248500;TraesCS7D03G0183900;TraesCS3B03G1383600;TraesCS4B03G0554300;TraesCS5A03G0533200;TraesCS5D03G0041900;TraesCS2B03G0276600;TraesCS7B03G0896100;TraesCSU03G0030300;TraesCS2D03G1332500;TraesCS3B03G0745400;TraesCS3A03G0160300;TraesCS5D03G1191300;TraesCS5B03G0832300;TraesCS2B03G0190500;TraesCS7B03G0720400;TraesCS2D03G1258600;TraesCS4A03G0669100;TraesCS1A03G0691300;TraesCS6D03G0353300;TraesCS2B03G0072100;TraesCS1B03G0235700;TraesCS7D03G0211400;TraesCS3D03G0599700;TraesCS4B03G0947500;TraesCS6D03G0269600;TraesCS1D03G0237000;TraesCS6A03G0121100;TraesCS4B03G0989700;TraesCS2B03G0072900;TraesCS1B03G0788200;TraesCS7B03G1239600;TraesCS3A03G1022400;TraesCS1B03G0755500;TraesCS3D03G0026700;TraesCS5D03G0447000;TraesCS1A03G0739000;TraesCS2A03G0220000;TraesCS1D03G0035700;TraesCS1D03G0626000;TraesCS2B03G0452300;TraesCS7A03G0871600;TraesCSU03G0175500;TraesCS5D03G1051900;TraesCS1A03G0042900;TraesCS1A03G0172700;TraesCS1B03G1046000;TraesCS2D03G1135100;TraesCS3D03G0122600;TraesCS3B03G0172400;TraesCS3B03G0287300;TraesCS4A03G0595000;TraesCS1D03G0725300;TraesCS1D03G0813600;TraesCS2B03G1527600;TraesCS5B03G1124100;TraesCS3B03G0480000;TraesCS1D03G0867900;TraesCS4D03G0217200;TraesCS5A03G0799600;TraesCS6D03G0537600;TraesCS6A03G0314000;TraesCS3B03G0762200;TraesCS7B03G1242900;TraesCS2B03G1344800;TraesCS2B03G0887400;TraesCS7A03G0889900;TraesCS5D03G1090700;TraesCS4B03G0652800;TraesCS3D03G0125000;TraesCS7A03G0495900;TraesCS6B03G0636900;TraesCS1A03G0041900;TraesCS1A03G1029800;TraesCS2A03G0259600;TraesCS2B03G0944400;TraesCS3D03G0278800;TraesCS4A03G0218300;TraesCS1B03G0293800;TraesCS6B03G0076200;TraesCS7D03G0929100;TraesCS1D03G0990200;TraesCS2A03G1137500;TraesCS6B03G0013900;TraesCS6D03G0666900;TraesCS4A03G0953600;TraesCS4B03G0211800;TraesCS2D03G1062300;TraesCS6B03G1204700;TraesCS1D03G0167700;TraesCS1D03G0867800;TraesCS5D03G0461300;TraesCS6A03G0791600;TraesCS2A03G0386900;TraesCS6D03G0287600;TraesCS7B03G0741300;TraesCSU03G0011300;TraesCS1A03G0266000;TraesCS6D03G0472300;TraesCS6A03G0735900;TraesCS5A03G0124500;TraesCS7B03G0319700;TraesCS4A03G0675700;TraesCS3D03G0026100;TraesCS2D03G0471300;TraesCS2A03G1242300;TraesCS2B03G0504800;TraesCS6A03G0979900;TraesCS7D03G1242300;TraesCS1D03G0103000;TraesCS6A03G0740800;TraesCS2A03G0379000;TraesCS2B03G0533800;TraesCS3A03G0698500;TraesCS1B03G1045900;TraesCS6B03G0095200;TraesCS5B03G0554400;TraesCS3B03G0796000;TraesCS3B03G0074800;TraesCS3D03G0639500;TraesCS7D03G0862700;TraesCS5A03G1137900;TraesCS1D03G0035500;TraesCS2D03G0583400;TraesCS7B03G1272900;TraesCS2A03G1295800;TraesCS2B03G0387200;TraesCS2B03G0182000;TraesCS5A03G1049900;TraesCS7A03G0502200;TraesCS3B03G0860600;TraesCS6A03G0053100;TraesCS3B03G1173100;TraesCS3B03G0944900;TraesCS6D03G0352700;TraesCS2D03G1292700;TraesCS2B03G0584900;TraesCS2D03G0107300;TraesCS2B03G1233500;TraesCS2A03G0242200;TraesCS2A03G0334100;TraesCS4A03G0874000;TraesCS5B03G1116800;TraesCS3A03G0037500;TraesCS2B03G0072200;TraesCS4B03G0129600;TraesCS6A03G0016400;TraesCS2B03G0969100;TraesCS5B03G0143600;TraesCS6B03G1165200;TraesCS5D03G0499700;TraesCS1D03G0625700;TraesCS1B03G0971700;TraesCS1D03G0868000;TraesCS5A03G1172100;TraesCS3D03G0717600;TraesCS2D03G0945400;TraesCS2B03G0753800;TraesCS2D03G0176600;TraesCS5B03G1159600;TraesCS5B03G1216200;TraesCS4B03G0210400;TraesCS2B03G0586400;TraesCS6B03G0427800;TraesCS2D03G0421300;TraesCS1D03G0867600;TraesCS5B03G0756900;TraesCS2B03G0387300;TraesCS2B03G0182100;TraesCS1D03G0846000;TraesCS2B03G0180600;TraesCS4A03G0553700</t>
  </si>
  <si>
    <t>330 (5.92%)</t>
  </si>
  <si>
    <t>TraesCS5B03G0387100;TraesCS6D03G0589900;TraesCS2A03G1079100;TraesCS6A03G0416200;TraesCS3B03G0115900;TraesCS4A03G0805400;TraesCS5A03G0031900;TraesCS6B03G0081400;TraesCS3D03G0376300;TraesCS2B03G0699900;TraesCS2A03G0133300;TraesCS3D03G0026300;TraesCS5D03G0376900;TraesCS4A03G0793100;TraesCS2B03G0183000;TraesCS3A03G1158600;TraesCS3A03G0654900;TraesCS1B03G0008600;TraesCS2B03G0189900;TraesCS1D03G0990700;TraesCS2A03G0851600;TraesCS2A03G1088600;TraesCS4D03G0488700;TraesCS1D03G0002400;TraesCS3B03G1172900;TraesCS4D03G0174000;TraesCS5D03G0151600;TraesCS6B03G0777800;TraesCS1B03G0089700;TraesCS2D03G0176500;TraesCS1B03G0298200;TraesCS2A03G1090000;TraesCS7B03G0725000;TraesCS4A03G0123200;TraesCS2A03G0904100;TraesCS1A03G0872400;TraesCS1B03G0041400;TraesCS2D03G0111400;TraesCS7D03G0181500;TraesCS4B03G0254000;TraesCS6A03G0313900;TraesCS4D03G0483600;TraesCS2D03G0465800;TraesCS2B03G0144900;TraesCS3D03G0116200;TraesCS6D03G0866300;TraesCS2A03G1175800;TraesCS5B03G1264800;TraesCS2D03G0794500;TraesCS6B03G0808400;TraesCS2D03G0991800;TraesCS2D03G0131800;TraesCS3A03G0656300;TraesCS5D03G0837600;TraesCS7A03G1052600;TraesCS3D03G0079400;TraesCS7D03G0198400;TraesCS1A03G0017200;TraesCS3D03G0026400;TraesCS2D03G0131000;TraesCS7D03G1003900;TraesCS6D03G0521300;TraesCS3D03G0121100;TraesCS4A03G0957800;TraesCS4A03G0953200;TraesCS2D03G0945600;TraesCS6A03G0696800;TraesCS2A03G0134400;TraesCS5A03G0649100;TraesCS1A03G0018400;TraesCS1D03G0213300;TraesCS6A03G0294800;TraesCS3A03G0137900;TraesCS5B03G1013900;TraesCS2B03G0180400;TraesCS1B03G0842800;TraesCS7D03G0485000;TraesCS5B03G1281400;TraesCS6A03G0005200;TraesCS6D03G0002800;TraesCS5A03G0623600;TraesCS3A03G0097900;TraesCS1A03G0014900;TraesCS2D03G1127500;TraesCS5D03G0541100;TraesCS2B03G1416200;TraesCS3B03G0201700;TraesCS2B03G0586900;TraesCS5A03G0388500;TraesCS3A03G0685600;TraesCS7D03G1095900;TraesCS3D03G0026500;TraesCS2D03G0095200;TraesCS7A03G0201200;TraesCS7D03G0479000;TraesCS1B03G0044200;TraesCS2D03G0741000;TraesCS3D03G0142700;TraesCS7B03G0754900;TraesCS2A03G0801300;TraesCS7B03G0960400;TraesCS7B03G0807800;TraesCS6D03G0618800;TraesCS5B03G0143300;TraesCS5D03G0447200;TraesCS2A03G0201500;TraesCS7A03G0298500;TraesCS4A03G0976800;TraesCS2B03G1344100;TraesCS5D03G0151400;TraesCS1D03G0655500;TraesCS5D03G1133900;TraesCS3D03G0950200;TraesCS5A03G0576700;TraesCS2A03G0051200;TraesCS7D03G1058600;TraesCS2D03G0207000;TraesCS6D03G0585400;TraesCS3D03G0044700;TraesCS5B03G1281300;TraesCS6B03G0079100;TraesCS6B03G0006000;TraesCS7A03G1338000;TraesCS3B03G0126100;TraesCS6D03G0007000;TraesCS2A03G0463700;TraesCS2B03G0587100;TraesCS6B03G0001900;TraesCS3B03G0175700;TraesCS3D03G0609500;TraesCS5B03G0541500;TraesCS1D03G1014400;TraesCS2D03G1136200;TraesCS4B03G0761800;TraesCS6D03G0269300;TraesCS3D03G0142600;TraesCS2B03G1222100;TraesCS3A03G0291100;TraesCS1D03G0782600;TraesCS7B03G0897900;TraesCS2D03G1033400;TraesCS5B03G0554700;TraesCS2D03G0049200;TraesCS2B03G0583400;TraesCS5D03G0151300;TraesCS2B03G0585700;TraesCS3D03G0769400;TraesCS2D03G0396900;TraesCS7B03G0654900;TraesCS2A03G0606900;TraesCS2D03G1123700;TraesCS4A03G0695000;TraesCS5D03G0318700;TraesCS2D03G0289600;TraesCS2B03G1206300;TraesCS4A03G0144900;TraesCS7A03G0248500;TraesCS7D03G0183900;TraesCS3B03G1383600;TraesCS4B03G0554300;TraesCS5A03G0533200;TraesCS5D03G0041900;TraesCS2B03G0276600;TraesCS7B03G0896100;TraesCSU03G0030300;TraesCS2D03G1332500;TraesCS3B03G0745400;TraesCS3A03G0160300;TraesCS5D03G1191300;TraesCS5B03G0832300;TraesCS2B03G0190500;TraesCS7B03G0720400;TraesCS2D03G1258600;TraesCS4A03G0669100;TraesCS1A03G0691300;TraesCS6D03G0353300;TraesCS2B03G0072100;TraesCS1B03G0235700;TraesCS7D03G0211400;TraesCS3D03G0599700;TraesCS4B03G0947500;TraesCS6D03G0269600;TraesCS1D03G0237000;TraesCS6A03G0121100;TraesCS4B03G0989700;TraesCS2B03G0072900;TraesCS1B03G0788200;TraesCS7B03G1239600;TraesCS3A03G1022400;TraesCS1B03G0755500;TraesCS3D03G0026700;TraesCS5D03G0447000;TraesCS1A03G0739000;TraesCS2A03G0220000;TraesCS1D03G0035700;TraesCS1D03G0626000;TraesCS7A03G0871600;TraesCSU03G0175500;TraesCS5D03G1051900;TraesCS1A03G0042900;TraesCS1A03G0172700;TraesCS1B03G1046000;TraesCS2D03G1135100;TraesCS3D03G0122600;TraesCS3B03G0172400;TraesCS3B03G0287300;TraesCS4A03G0595000;TraesCS1D03G0725300;TraesCS1D03G0813600;TraesCS2B03G1527600;TraesCS5B03G1124100;TraesCS3B03G0480000;TraesCS1D03G0867900;TraesCS4D03G0217200;TraesCS5A03G0799600;TraesCS6D03G0537600;TraesCS6A03G0314000;TraesCS3B03G0762200;TraesCS7B03G1242900;TraesCS2B03G1344800;TraesCS2B03G0887400;TraesCS7A03G0889900;TraesCS5D03G1090700;TraesCS4B03G0652800;TraesCS3D03G0125000;TraesCS7A03G0495900;TraesCS6B03G0636900;TraesCS1A03G0041900;TraesCS1A03G1029800;TraesCS2A03G0259600;TraesCS2B03G0944400;TraesCS3D03G0278800;TraesCS4A03G0218300;TraesCS1B03G0293800;TraesCS6B03G0076200;TraesCS7D03G0929100;TraesCS1D03G0990200;TraesCS2A03G1137500;TraesCS6B03G0013900;TraesCS6D03G0666900;TraesCS4A03G0953600;TraesCS4B03G0211800;TraesCS2D03G1062300;TraesCS6B03G1204700;TraesCS1D03G0167700;TraesCS1D03G0867800;TraesCS5D03G0461300;TraesCS6A03G0791600;TraesCS2A03G0386900;TraesCS6D03G0287600;TraesCS7B03G0741300;TraesCSU03G0011300;TraesCS1A03G0266000;TraesCS6D03G0472300;TraesCS6A03G0735900;TraesCS5A03G0124500;TraesCS7B03G0319700;TraesCS4A03G0675700;TraesCS3D03G0026100;TraesCS2D03G0471300;TraesCS2A03G1242300;TraesCS2B03G0504800;TraesCS6A03G0979900;TraesCS7D03G1242300;TraesCS1D03G0103000;TraesCS6A03G0740800;TraesCS2A03G0379000;TraesCS2B03G0533800;TraesCS3A03G0698500;TraesCS1B03G1045900;TraesCS6B03G0095200;TraesCS5B03G0554400;TraesCS3B03G0796000;TraesCS3B03G0074800;TraesCS3D03G0639500;TraesCS7D03G0862700;TraesCS5A03G1137900;TraesCS1D03G0035500;TraesCS2D03G0583400;TraesCS7B03G1272900;TraesCS2A03G1295800;TraesCS2B03G0387200;TraesCS2B03G0182000;TraesCS5A03G1049900;TraesCS7A03G0502200;TraesCS3B03G0860600;TraesCS6A03G0053100;TraesCS3B03G1173100;TraesCS3B03G0944900;TraesCS6D03G0352700;TraesCS2D03G1292700;TraesCS2B03G0584900;TraesCS2D03G0107300;TraesCS2B03G1233500;TraesCS2A03G0242200;TraesCS4A03G0874000;TraesCS5B03G1116800;TraesCS3A03G0037500;TraesCS2B03G0072200;TraesCS4B03G0129600;TraesCS6A03G0016400;TraesCS2B03G0969100;TraesCS5B03G0143600;TraesCS6B03G1165200;TraesCS5D03G0499700;TraesCS1D03G0625700;TraesCS1B03G0971700;TraesCS1D03G0868000;TraesCS5A03G1172100;TraesCS3D03G0717600;TraesCS2D03G0945400;TraesCS2B03G0753800;TraesCS2D03G0176600;TraesCS5B03G1159600;TraesCS5B03G1216200;TraesCS4B03G0210400;TraesCS2B03G0586400;TraesCS6B03G0427800;TraesCS2D03G0421300;TraesCS1D03G0867600;TraesCS5B03G0756900;TraesCS2B03G0387300;TraesCS2B03G0182100;TraesCS1D03G0846000;TraesCS2B03G0180600;TraesCS4A03G0553700</t>
  </si>
  <si>
    <t>326 (6.2%)</t>
  </si>
  <si>
    <t>TraesCS7D03G0558500;TraesCS7B03G0380600</t>
  </si>
  <si>
    <t>TraesCS7D03G0141900;TraesCS6D03G0889800;TraesCS7A03G0154300;TraesCS6B03G1245200</t>
  </si>
  <si>
    <t>4 (2.7%)</t>
  </si>
  <si>
    <t>TraesCS6B03G0509800;TraesCS6A03G0420200;TraesCS7D03G1148000</t>
  </si>
  <si>
    <t>TraesCS5B03G0664600;TraesCS5A03G0639300</t>
  </si>
  <si>
    <t>TraesCS4B03G0662400;TraesCS7D03G0199700</t>
  </si>
  <si>
    <t>TraesCS4A03G0456500;TraesCSU03G0295800</t>
  </si>
  <si>
    <t>TraesCS3A03G0717500;TraesCS3B03G0932400;TraesCS3B03G0822900</t>
  </si>
  <si>
    <t>TraesCS3D03G0068800;TraesCS3A03G0085500;TraesCS3B03G0095000;TraesCS5B03G1092400;TraesCS5D03G1101600</t>
  </si>
  <si>
    <t>5 (2.34%)</t>
  </si>
  <si>
    <t>TraesCS3A03G0788000;TraesCS2B03G1021700;TraesCS2D03G0174000;TraesCS2D03G0869000</t>
  </si>
  <si>
    <t>4 (2.72%)</t>
  </si>
  <si>
    <t>TraesCS2A03G1095300;TraesCS7B03G1217900;TraesCS2A03G0378800;TraesCS2D03G0977900;TraesCS2B03G1157700;TraesCS3B03G0647600;TraesCS7A03G1299900</t>
  </si>
  <si>
    <t>7 (1.97%)</t>
  </si>
  <si>
    <t>TraesCS1B03G0649800;TraesCS1A03G0070900;TraesCS1A03G0556700</t>
  </si>
  <si>
    <t>3 (3.41%)</t>
  </si>
  <si>
    <t>TraesCS5B03G0460200</t>
  </si>
  <si>
    <t>TraesCS5A03G0549100;TraesCS5D03G0512700;TraesCS4D03G0257500</t>
  </si>
  <si>
    <t>3 (3.49%)</t>
  </si>
  <si>
    <t>TraesCS4A03G0712500;TraesCS7B03G0810500;TraesCS4B03G0960100</t>
  </si>
  <si>
    <t>3 (3.61%)</t>
  </si>
  <si>
    <t>3 (3.57%)</t>
  </si>
  <si>
    <t>TraesCS3B03G0992200;TraesCS3D03G0795800;TraesCS3A03G0869200</t>
  </si>
  <si>
    <t>3 (3.53%)</t>
  </si>
  <si>
    <t>TraesCS4D03G0073100;TraesCS4A03G0652000;TraesCS4A03G0712500;TraesCS2D03G0019300;TraesCS3A03G1066800;TraesCS7D03G0887100;TraesCS4B03G0960100</t>
  </si>
  <si>
    <t>7 (2.01%)</t>
  </si>
  <si>
    <t>TraesCS2B03G0852800</t>
  </si>
  <si>
    <t>TraesCS1B03G0812500</t>
  </si>
  <si>
    <t>TraesCS1B03G0134900;TraesCS7A03G0643600</t>
  </si>
  <si>
    <t>2 (5.41%)</t>
  </si>
  <si>
    <t>TraesCS7B03G0698500</t>
  </si>
  <si>
    <t>TraesCS7A03G0097100</t>
  </si>
  <si>
    <t>2 (7.14%)</t>
  </si>
  <si>
    <t>TraesCS3B03G0932400</t>
  </si>
  <si>
    <t>TraesCS3B03G0380300</t>
  </si>
  <si>
    <t>TraesCS3B03G0095000;TraesCS5D03G1101600</t>
  </si>
  <si>
    <t>2 (6.67%)</t>
  </si>
  <si>
    <t>TraesCS3A03G0788000;TraesCS5D03G0234500</t>
  </si>
  <si>
    <t>3 (3.85%)</t>
  </si>
  <si>
    <t>3 (4%)</t>
  </si>
  <si>
    <t>3 (4.05%)</t>
  </si>
  <si>
    <t>TraesCS3D03G0068800;TraesCS3A03G0085500;TraesCS3B03G0095000;TraesCS5B03G1092400;TraesCS5D03G1101600;TraesCS4D03G0667600</t>
  </si>
  <si>
    <t>6 (2.45%)</t>
  </si>
  <si>
    <t>7 (2.16%)</t>
  </si>
  <si>
    <t>TraesCS2B03G0823400</t>
  </si>
  <si>
    <t>TraesCS2D03G0603200;TraesCS2B03G0725100</t>
  </si>
  <si>
    <t>2 (6.45%)</t>
  </si>
  <si>
    <t>TraesCS2A03G1166300;TraesCS2D03G1115800;TraesCS2B03G1322200</t>
  </si>
  <si>
    <t>3 (4.11%)</t>
  </si>
  <si>
    <t>TraesCS2A03G0130000;TraesCS2D03G0860000</t>
  </si>
  <si>
    <t>2 (7.41%)</t>
  </si>
  <si>
    <t>TraesCS1B03G1247100;TraesCS1D03G1012800;TraesCS2A03G0327100</t>
  </si>
  <si>
    <t>3 (4.17%)</t>
  </si>
  <si>
    <t>TraesCS6A03G0152600;TraesCS7B03G0253000;TraesCS1B03G0134900;TraesCS6B03G0216500;TraesCS7A03G0643600;TraesCS7D03G0114600;TraesCS2D03G0740600;TraesCS6D03G0136800;TraesCS2B03G1334300</t>
  </si>
  <si>
    <t>9 (1.94%)</t>
  </si>
  <si>
    <t>TraesCS2A03G1166300;TraesCS5B03G0460200;TraesCS3A03G0788000;TraesCS2D03G1115800;TraesCS1A03G0765700;TraesCS2B03G1322200</t>
  </si>
  <si>
    <t>6 (2.41%)</t>
  </si>
  <si>
    <t>TraesCS5B03G0460200;TraesCS5B03G0893500;TraesCS3A03G0788000;TraesCS6B03G0199900;TraesCS7B03G0698500;TraesCS1A03G0765700;TraesCS1A03G0737200</t>
  </si>
  <si>
    <t>7 (2.24%)</t>
  </si>
  <si>
    <t>TraesCS5A03G0855000;TraesCS7D03G0141900;TraesCS6D03G0889800;TraesCS7A03G0154300;TraesCS6B03G1245200</t>
  </si>
  <si>
    <t>5 (2.84%)</t>
  </si>
  <si>
    <t>TraesCS6B03G1278500;TraesCS6D03G0910500;TraesCS6A03G1030700;TraesCS4B03G0662400;TraesCS7D03G0199700</t>
  </si>
  <si>
    <t>5 (3.18%)</t>
  </si>
  <si>
    <t>5 (2.99%)</t>
  </si>
  <si>
    <t>5 (3.09%)</t>
  </si>
  <si>
    <t>TraesCS7D03G1284700;TraesCS2D03G0752600</t>
  </si>
  <si>
    <t>2 (7.69%)</t>
  </si>
  <si>
    <t>TraesCS2D03G0752600</t>
  </si>
  <si>
    <t>TraesCS5B03G0460200;TraesCS4B03G0780900;TraesCS2D03G0858100;TraesCS2B03G1007000;TraesCS4B03G0837800</t>
  </si>
  <si>
    <t>5 (3.11%)</t>
  </si>
  <si>
    <t>3 (4.76%)</t>
  </si>
  <si>
    <t>6 (2.76%)</t>
  </si>
  <si>
    <t>7 (2.27%)</t>
  </si>
  <si>
    <t>TraesCS7B03G1062800;TraesCS5B03G1102900;TraesCS1A03G0737200;TraesCS5D03G0991900;TraesCS5B03G0893500;TraesCS3A03G0788000;TraesCS6B03G0199900;TraesCS5A03G0926200;TraesCS5B03G1099900;TraesCS3B03G0805500;TraesCS5D03G0234500;TraesCS2D03G0899800;TraesCS5A03G1047100;TraesCS5D03G0989900;TraesCS5A03G1045500</t>
  </si>
  <si>
    <t>15 (1.64%)</t>
  </si>
  <si>
    <t>TraesCS5B03G0893500;TraesCS7B03G1062800;TraesCS6B03G0199900;TraesCS5B03G1102900;TraesCS5B03G1099900;TraesCS2D03G0899800;TraesCS5A03G1047100;TraesCS5D03G0989900;TraesCS5A03G1045500;TraesCS1A03G0737200;TraesCS5D03G0991900</t>
  </si>
  <si>
    <t>11 (1.86%)</t>
  </si>
  <si>
    <t>TraesCS1A03G0706000;TraesCS5B03G0904300</t>
  </si>
  <si>
    <t>TraesCS3B03G1318800;TraesCS7D03G0848600;TraesCS3B03G1196500;TraesCS5B03G0387400;TraesCS5B03G0664600;TraesCS5A03G0101700;TraesCS5D03G0658800;TraesCS5A03G0927500;TraesCS1A03G0142800;TraesCS6D03G0533400;TraesCS4A03G0099900;TraesCS5B03G0980800;TraesCS1D03G1012800;TraesCS2D03G0019300;TraesCS7B03G0378500;TraesCS3D03G1055100;TraesCS1D03G0130600;TraesCS5A03G0691300;TraesCS2D03G0223800;TraesCS3B03G0672700;TraesCS4A03G0059700;TraesCS2D03G0129300;TraesCS3A03G0086100;TraesCS5B03G0628000;TraesCS4D03G0606000;TraesCS1B03G1247100;TraesCS5D03G0886200;TraesCS1B03G0194400;TraesCS3B03G1320000;TraesCS6A03G0361300;TraesCS3A03G0592000;TraesCS5A03G0639300;TraesCS7A03G0097100;TraesCS2A03G0327100;TraesCS3B03G0004300;TraesCS4B03G0837800</t>
  </si>
  <si>
    <t>36 (1.34%)</t>
  </si>
  <si>
    <t>TraesCS7B03G0698500;TraesCS6B03G0509800;TraesCS6A03G0420200;TraesCS7D03G1148000</t>
  </si>
  <si>
    <t>5 (3.4%)</t>
  </si>
  <si>
    <t>TraesCS3D03G0404000;TraesCS5D03G0345600</t>
  </si>
  <si>
    <t>TraesCS3D03G0317900;TraesCS3A03G0316700;TraesCS7A03G0847000;TraesCS3B03G0401400</t>
  </si>
  <si>
    <t>4 (3.96%)</t>
  </si>
  <si>
    <t>TraesCS3A03G0788000;TraesCS2B03G1021700;TraesCS2D03G0430200;TraesCSU03G0295800;TraesCS2D03G0869000</t>
  </si>
  <si>
    <t>5 (3.52%)</t>
  </si>
  <si>
    <t>TraesCS1B03G1247100;TraesCS1D03G1012800;TraesCS7A03G0097100;TraesCS2A03G0327100</t>
  </si>
  <si>
    <t>4 (4%)</t>
  </si>
  <si>
    <t>7 (2.55%)</t>
  </si>
  <si>
    <t>15 (1.78%)</t>
  </si>
  <si>
    <t>TraesCS7B03G1062800;TraesCS5B03G1102900;TraesCSU03G0295800;TraesCS1A03G0737200;TraesCS5D03G0991900;TraesCS5B03G0893500;TraesCS3A03G0788000;TraesCS6B03G0199900;TraesCS5A03G0926200;TraesCS5B03G1099900;TraesCS4A03G0456500;TraesCS3B03G0805500;TraesCS5D03G0234500;TraesCS2D03G0899800;TraesCS5A03G1047100;TraesCS5D03G0989900;TraesCS5A03G1045500</t>
  </si>
  <si>
    <t>17 (1.69%)</t>
  </si>
  <si>
    <t>TraesCS1B03G0650600;TraesCS2D03G0603200;TraesCS1A03G0407200;TraesCS2D03G1002600;TraesCS1D03G0376300;TraesCS2B03G0677200;TraesCS2D03G0571800;TraesCS5D03G0823700;TraesCS2A03G1095300;TraesCS2A03G0378800;TraesCS3D03G0838400;TraesCS5B03G0904300;TraesCS2B03G0725100;TraesCS2A03G0590900</t>
  </si>
  <si>
    <t>14 (1.81%)</t>
  </si>
  <si>
    <t>3 (6.25%)</t>
  </si>
  <si>
    <t>TraesCS5A03G0549100;TraesCS5D03G0512700</t>
  </si>
  <si>
    <t>TraesCS5B03G0904300</t>
  </si>
  <si>
    <t>TraesCS6B03G1261000;TraesCS3B03G0745800;TraesCS3A03G0656700</t>
  </si>
  <si>
    <t>TraesCS2A03G1166300;TraesCS2D03G1115800;TraesCS2B03G1322200;TraesCS4B03G0837800</t>
  </si>
  <si>
    <t>TraesCS7A03G1001800;TraesCS7D03G0958000</t>
  </si>
  <si>
    <t>3 (6.82%)</t>
  </si>
  <si>
    <t>TraesCS2A03G1166300;TraesCS1B03G0134900;TraesCS3B03G0095000;TraesCS7A03G0643600;TraesCS2D03G1115800;TraesCS2D03G1290800;TraesCS5D03G1101600;TraesCS4B03G0619200;TraesCS2B03G1322200;TraesCS3A03G0717500;TraesCS7A03G1293800;TraesCS3B03G0932400;TraesCS4B03G0780900;TraesCS5D03G0255000;TraesCS3B03G0822900;TraesCS5A03G0242500</t>
  </si>
  <si>
    <t>16 (1.83%)</t>
  </si>
  <si>
    <t>2 (14.29%)</t>
  </si>
  <si>
    <t>TraesCS2A03G1166300;TraesCS2D03G1115800;TraesCS2B03G1269400;TraesCS2B03G1322200;TraesCS4B03G0837800</t>
  </si>
  <si>
    <t>TraesCS1A03G0896800;TraesCS1B03G1053700</t>
  </si>
  <si>
    <t>TraesCS2A03G1166300;TraesCS2D03G1115800;TraesCS3B03G1162300;TraesCS2B03G1322200</t>
  </si>
  <si>
    <t>4 (5.06%)</t>
  </si>
  <si>
    <t>TraesCS5B03G0904300;TraesCS1A03G0407200;TraesCS1D03G0376300;TraesCS2A03G0590900;TraesCS2B03G0677200;TraesCS2D03G0571800;TraesCS5D03G0823700</t>
  </si>
  <si>
    <t>7 (3%)</t>
  </si>
  <si>
    <t>TraesCS2B03G0721900;TraesCS2A03G1039900;TraesCS2D03G0977800;TraesCS5D03G0444000;TraesCS2B03G0958000;TraesCS2B03G1160400;TraesCS7D03G0199700;TraesCS2B03G1007000;TraesCS6D03G0031400;TraesCS2B03G1322200;TraesCS7B03G0147000;TraesCS7D03G1103800;TraesCS5B03G0893500;TraesCS7D03G0341000;TraesCS2A03G0219600;TraesCS3A03G0788000;TraesCS2B03G1021700;TraesCS4B03G0780900;TraesCS6B03G1278500;TraesCS7A03G0352200;TraesCS2D03G0858100;TraesCS4B03G0662400;TraesCS6A03G0106300;TraesCS2A03G1166300;TraesCS3A03G0839800;TraesCS2D03G1115800;TraesCS2A03G1059200;TraesCS6A03G1030700;TraesCS7A03G0575500;TraesCS1B03G0812500;TraesCS7D03G0650200;TraesCS1A03G0737200;TraesCS2D03G0869000;TraesCS5B03G0460200;TraesCS6B03G0199900;TraesCS7B03G0698500;TraesCS7D03G0558500;TraesCS6D03G0910500;TraesCS2D03G0174000;TraesCS2D03G0430200;TraesCS1A03G0765700;TraesCS7B03G0380600;TraesCS4B03G0837800</t>
  </si>
  <si>
    <t>43 (1.37%)</t>
  </si>
  <si>
    <t>TraesCS7D03G0141900;TraesCS6D03G0889800;TraesCS7A03G0154300;TraesCS6B03G1245200;TraesCS6A03G0252200</t>
  </si>
  <si>
    <t>5 (4.07%)</t>
  </si>
  <si>
    <t>TraesCS7A03G0643600;TraesCS2D03G1290800;TraesCS1A03G0407200;TraesCS5B03G1092400;TraesCS5D03G1101600;TraesCS1D03G0376300;TraesCS2B03G0677200;TraesCS2B03G1322200;TraesCS3A03G0717500;TraesCS7A03G1293800;TraesCS3B03G0932400;TraesCS4B03G0780900;TraesCS5B03G0904300;TraesCS2D03G0019300;TraesCS5A03G0242500;TraesCS2A03G1166300;TraesCS2D03G0603200;TraesCS3D03G0068800;TraesCS1B03G0134900;TraesCS3B03G0095000;TraesCS2D03G1115800;TraesCS4B03G0619200;TraesCS2D03G0571800;TraesCS5D03G0823700;TraesCS3A03G0085500;TraesCS2B03G0725100;TraesCS5D03G0255000;TraesCS3B03G0822900;TraesCS2A03G0590900;TraesCS7A03G0097100</t>
  </si>
  <si>
    <t>30 (1.52%)</t>
  </si>
  <si>
    <t>TraesCS4A03G1008500;TraesCS2A03G0886700;TraesCS2A03G0892400;TraesCS2B03G0823400</t>
  </si>
  <si>
    <t>30 (1.55%)</t>
  </si>
  <si>
    <t>16 (1.97%)</t>
  </si>
  <si>
    <t>TraesCS5A03G0855000;TraesCS7D03G0141900;TraesCS6D03G0889800;TraesCS7A03G0154300;TraesCS6B03G1245200;TraesCS6A03G0252200</t>
  </si>
  <si>
    <t>6 (3.75%)</t>
  </si>
  <si>
    <t>TraesCS4A03G1008500;TraesCS1B03G0134900;TraesCS7A03G0643600;TraesCS2A03G0886700;TraesCS2A03G0892400;TraesCS1D03G0681800</t>
  </si>
  <si>
    <t>TraesCS5B03G0904300;TraesCS5D03G0823700</t>
  </si>
  <si>
    <t>30 (1.57%)</t>
  </si>
  <si>
    <t>TraesCS2D03G0129100;TraesCS2D03G0129300;TraesCS1B03G0812500;TraesCS2B03G0179600;TraesCS2D03G0580700</t>
  </si>
  <si>
    <t>5 (4.63%)</t>
  </si>
  <si>
    <t>3 (9.38%)</t>
  </si>
  <si>
    <t>TraesCS2A03G1166300;TraesCS3D03G0068800;TraesCS3B03G0095000;TraesCS2D03G1115800;TraesCS2D03G1290800;TraesCS5B03G1092400;TraesCS5D03G1101600;TraesCS4B03G0619200;TraesCS2B03G1322200;TraesCS3A03G0717500;TraesCS3A03G0085500;TraesCS3B03G0932400;TraesCS3B03G0822900</t>
  </si>
  <si>
    <t>13 (2.26%)</t>
  </si>
  <si>
    <t>5 (4.85%)</t>
  </si>
  <si>
    <t>TraesCS5B03G0460200;TraesCS3A03G0788000;TraesCS2B03G1021700;TraesCS4B03G0780900;TraesCS2D03G0174000;TraesCS2D03G0858100;TraesCS2B03G1007000;TraesCS2D03G0869000;TraesCS4B03G0837800</t>
  </si>
  <si>
    <t>9 (2.88%)</t>
  </si>
  <si>
    <t>6 (4.2%)</t>
  </si>
  <si>
    <t>TraesCS2A03G1095300;TraesCS2D03G0603200;TraesCS2A03G0378800;TraesCS3D03G0838400;TraesCS5B03G0904300;TraesCS1A03G0407200;TraesCS2B03G0725100;TraesCS1D03G0376300;TraesCS2A03G0590900;TraesCS2B03G0677200;TraesCS2D03G0571800;TraesCS5D03G0823700</t>
  </si>
  <si>
    <t>12 (2.46%)</t>
  </si>
  <si>
    <t>TraesCS5A03G0584700;TraesCS5A03G0549100;TraesCS5D03G0512700</t>
  </si>
  <si>
    <t>TraesCS2A03G1166300;TraesCS4A03G1008500;TraesCS1B03G0134900;TraesCS3B03G0095000;TraesCS7A03G0643600;TraesCS2D03G1115800;TraesCS2D03G1290800;TraesCS5D03G1101600;TraesCS4B03G0619200;TraesCS2A03G0892400;TraesCS2B03G0823400;TraesCS2B03G1322200;TraesCS3A03G0717500;TraesCS7A03G1293800;TraesCS3B03G0932400;TraesCS4B03G0780900;TraesCS5D03G0255000;TraesCS2A03G0886700;TraesCS3B03G0822900;TraesCS5A03G0242500;TraesCS1D03G0681800</t>
  </si>
  <si>
    <t>21 (1.91%)</t>
  </si>
  <si>
    <t>TraesCS3D03G0404000;TraesCS5A03G0549100;TraesCS5D03G0345600;TraesCS5D03G0512700</t>
  </si>
  <si>
    <t>4 (7.69%)</t>
  </si>
  <si>
    <t>TraesCS2A03G1166300;TraesCS3A03G0717500;TraesCS3B03G0932400;TraesCS3B03G0095000;TraesCS2D03G1115800;TraesCS2D03G1290800;TraesCS3B03G0822900;TraesCS5D03G1101600;TraesCS4B03G0619200;TraesCS2B03G1322200</t>
  </si>
  <si>
    <t>10 (2.96%)</t>
  </si>
  <si>
    <t>4 (8.7%)</t>
  </si>
  <si>
    <t>TraesCS7D03G0796000;TraesCS7B03G0669900;TraesCS7A03G0842800</t>
  </si>
  <si>
    <t>TraesCS4A03G1008500;TraesCS2A03G0886700;TraesCS2A03G0892400</t>
  </si>
  <si>
    <t>4 (8.89%)</t>
  </si>
  <si>
    <t>11 (3%)</t>
  </si>
  <si>
    <t>5 (6.85%)</t>
  </si>
  <si>
    <t>TraesCS4A03G0652000;TraesCS7A03G0643600;TraesCS2D03G1290800;TraesCS5B03G0387400;TraesCS1A03G0407200;TraesCS7B03G0810500;TraesCS5B03G1092400;TraesCS5D03G1101600;TraesCS1D03G0376300;TraesCS2A03G0892400;TraesCS2B03G0677200;TraesCS2B03G1322200;TraesCS6D03G0533400;TraesCS3A03G0717500;TraesCS7A03G1293800;TraesCS3B03G0932400;TraesCS4B03G0780900;TraesCS5B03G0904300;TraesCS2D03G0019300;TraesCS3A03G1066800;TraesCS2A03G0886700;TraesCS5A03G0242500;TraesCS4B03G0960100;TraesCS2A03G1166300;TraesCS4D03G0073100;TraesCS2D03G0603200;TraesCS3D03G0068800;TraesCS4A03G1008500;TraesCS1B03G0134900;TraesCS3B03G0095000;TraesCS2D03G1115800;TraesCS4A03G0712500;TraesCS4B03G0619200;TraesCS1B03G0812500;TraesCS2B03G0823400;TraesCS2D03G0571800;TraesCS5D03G0823700;TraesCS3A03G0085500;TraesCS2B03G0725100;TraesCS5D03G0255000;TraesCS2A03G0680300;TraesCS3B03G0822900;TraesCS7D03G0887100;TraesCS2A03G0590900;TraesCS7A03G0097100;TraesCS1D03G0681800;TraesCS2A03G0327100;TraesCS4B03G0837800</t>
  </si>
  <si>
    <t>48 (1.51%)</t>
  </si>
  <si>
    <t>10 (3.3%)</t>
  </si>
  <si>
    <t>TraesCS2D03G0129100;TraesCS2D03G0129300;TraesCS2B03G0179600;TraesCS2D03G0580700</t>
  </si>
  <si>
    <t>TraesCS2D03G0603200;TraesCS5B03G0904300;TraesCS1A03G0407200;TraesCS2B03G0725100;TraesCS1D03G0376300;TraesCS2A03G0590900;TraesCS2B03G0677200;TraesCS2D03G0571800;TraesCS5D03G0823700</t>
  </si>
  <si>
    <t>9 (3.69%)</t>
  </si>
  <si>
    <t>TraesCS2A03G1166300;TraesCS2D03G0603200;TraesCS3D03G0068800;TraesCS3B03G0095000;TraesCS2D03G1115800;TraesCS2D03G1290800;TraesCS1A03G0407200;TraesCS5B03G1092400;TraesCS5D03G1101600;TraesCS4B03G0619200;TraesCS1D03G0376300;TraesCS2B03G0677200;TraesCS2B03G1322200;TraesCS2D03G0571800;TraesCS5D03G0823700;TraesCS3A03G0717500;TraesCS3A03G0085500;TraesCS3B03G0932400;TraesCS5B03G0904300;TraesCS2B03G0725100;TraesCS3B03G0822900;TraesCS2A03G0590900</t>
  </si>
  <si>
    <t>22 (2.06%)</t>
  </si>
  <si>
    <t>TraesCS3A03G0788000;TraesCS2B03G1021700;TraesCS3B03G0531700;TraesCS2D03G0430200;TraesCS7D03G0779600;TraesCSU03G0295800;TraesCS7D03G1043200;TraesCS2D03G0869000</t>
  </si>
  <si>
    <t>8 (4.26%)</t>
  </si>
  <si>
    <t>TraesCS2B03G0721900;TraesCS2A03G1039900;TraesCS2D03G0977800;TraesCS2B03G0958000;TraesCS2B03G1160400;TraesCS6A03G1030700;TraesCS7A03G0575500;TraesCS7D03G0199700;TraesCS7B03G0147000;TraesCS7D03G1103800;TraesCS7D03G0341000;TraesCS2A03G0219600;TraesCS3A03G0788000;TraesCS6B03G1278500;TraesCS7A03G0352200;TraesCS7D03G0558500;TraesCS6D03G0910500;TraesCS4B03G0662400;TraesCS7B03G0380600;TraesCS6A03G0106300</t>
  </si>
  <si>
    <t>20 (2.24%)</t>
  </si>
  <si>
    <t>TraesCS3A03G0528000;TraesCS3D03G0479000</t>
  </si>
  <si>
    <t>TraesCS1A03G0407200;TraesCS1D03G0376300</t>
  </si>
  <si>
    <t>TraesCS6B03G1261000;TraesCS2B03G1021700;TraesCS3B03G0932400;TraesCS4B03G0780900;TraesCS5A03G0584700;TraesCS3D03G0404000;TraesCS5A03G0549100;TraesCS5D03G0345600;TraesCS5D03G0512700;TraesCS2D03G0869000;TraesCS4B03G0837800;TraesCS4D03G0257500</t>
  </si>
  <si>
    <t>12 (3.17%)</t>
  </si>
  <si>
    <t>TraesCS7A03G0257600;TraesCS4A03G0059700;TraesCS7B03G0015200;TraesCS7D03G0237300</t>
  </si>
  <si>
    <t>4 (12.9%)</t>
  </si>
  <si>
    <t>12 (3.3%)</t>
  </si>
  <si>
    <t>TraesCS2B03G0532800;TraesCS5D03G0444000;TraesCS1A03G0994600;TraesCS2D03G0446700;TraesCS5A03G1104100;TraesCS7D03G0199700;TraesCS2B03G0677200;TraesCS5A03G0640300;TraesCS7D03G1284700;TraesCS5A03G1134200;TraesCS5B03G1291400;TraesCS2D03G0019300;TraesCS3B03G1162300;TraesCS6A03G0660500;TraesCS1D03G0363400;TraesCS5D03G0512700;TraesCS3A03G0690300;TraesCS3B03G0529300;TraesCS2A03G1166300;TraesCS5D03G1048100;TraesCS2D03G0420300;TraesCS4B03G0566500;TraesCS2A03G0509100;TraesCS5D03G0345600;TraesCS7A03G0097100;TraesCS1D03G0681800;TraesCS2B03G0721900;TraesCS1A03G0004000;TraesCS5D03G1158300;TraesCS2B03G0543000;TraesCS1D03G0507700;TraesCS4B03G0061400;TraesCS3A03G0909800;TraesCS6D03G0533400;TraesCS2B03G1021700;TraesCS5B03G0904300;TraesCS2A03G0886700;TraesCS6B03G1245200;TraesCS6B03G0837600;TraesCS5A03G0855000;TraesCS2D03G0603200;TraesCS2D03G1002600;TraesCS5A03G0660000;TraesCS1A03G0955000;TraesCS7B03G0396300;TraesCS2D03G0430200;TraesCS4A03G0519500;TraesCS5D03G0255000;TraesCS2B03G0811700;TraesCS6D03G0136800;TraesCS2A03G0590900;TraesCS7D03G0237300;TraesCS2A03G0327100;TraesCS3B03G0992200;TraesCS5B03G0125200;TraesCS1A03G0407200;TraesCS4D03G0584200;TraesCS6B03G0486000;TraesCS2A03G0892400;TraesCS7B03G0015200;TraesCS2B03G1322200;TraesCS2A03G0219600;TraesCS4B03G0780900;TraesCS7A03G1001800;TraesCS4D03G0499800;TraesCS4D03G0207900;TraesCS2D03G0240900;TraesCS5A03G0242500;TraesCS6A03G0106300;TraesCS2A03G0803600;TraesCS5D03G1060600;TraesCS4B03G0902500;TraesCS5B03G0665700;TraesCS4B03G0619200;TraesCS4D03G0069000;TraesCS2D03G0869000;TraesCS4A03G0521400;TraesCS6A03G0152600;TraesCS7B03G1217900;TraesCS3A03G0085500;TraesCS3B03G0531700;TraesCS4A03G0456500;TraesCS5D03G0234500;TraesCS7A03G0154300;TraesCS7D03G0887100;TraesCS4A03G0083000;TraesCS2B03G1334300;TraesCS7D03G0546100;TraesCS7D03G0114600;TraesCS2D03G0742900;TraesCS2D03G1290800;TraesCS2D03G0740600;TraesCS7B03G0810500;TraesCS7D03G1103800;TraesCS2A03G0412600;TraesCS3B03G0932400;TraesCS3A03G0316700;TraesCS3D03G0595600;TraesCS2B03G1530100;TraesCS3B03G0733400;TraesCS2D03G0858100;TraesCS4B03G0700900;TraesCS7B03G0641600;TraesCS4B03G0960100;TraesCS4D03G0191800;TraesCS4A03G1008500;TraesCS1A03G0896800;TraesCS3B03G0647600;TraesCS1B03G1053700;TraesCS4A03G0208700;TraesCS4A03G0451700;TraesCS4D03G0081000;TraesCSU03G0295800;TraesCS2D03G0571800;TraesCS7A03G0642100;TraesCS1B03G1247100;TraesCS3B03G0033200;TraesCS2A03G0460300;TraesCS6D03G0549200;TraesCS7D03G0958000;TraesCS3B03G0805500;TraesCS6B03G0628000;TraesCS3D03G0149800;TraesCS7A03G0257600;TraesCS3D03G0795800;TraesCS6D03G0889800;TraesCS3A03G0869200;TraesCS3B03G0401400;TraesCS1A03G0233400;TraesCS2A03G1095300;TraesCS3A03G0788000;TraesCS2D03G0752600;TraesCS1D03G1012800;TraesCS7A03G0679300;TraesCS7D03G0604200;TraesCS3A03G0839800;TraesCS1B03G0073400;TraesCS5D03G0552200;TraesCS3B03G0095000;TraesCS6B03G0515700;TraesCS7A03G1299900;TraesCS7D03G0765200;TraesCS1B03G0812500;TraesCS7D03G1043200;TraesCS2B03G0725100;TraesCS5A03G0549100;TraesCS2B03G0318200;TraesCS2A03G0680300;TraesCS4A03G0652000;TraesCS2B03G0958000;TraesCS5D03G1101600;TraesCS1D03G0376300;TraesCS2B03G1007000;TraesCS3A03G0717500;TraesCS7A03G1293800;TraesCS3D03G0838400;TraesCS6D03G0334000;TraesCS7D03G0779600;TraesCS3A03G1009400;TraesCS3D03G0683500;TraesCS3D03G0479000;TraesCS7A03G0793100;TraesCS3D03G0068800;TraesCS7A03G0804400;TraesCS4D03G0327900;TraesCS7B03G0253000;TraesCS4A03G0059700;TraesCS4A03G0712500;TraesCS5B03G0254500;TraesCS2D03G0129100;TraesCS5A03G0960400;TraesCS7D03G0650200;TraesCS2B03G0823400;TraesCS4B03G0277600;TraesCS3D03G0940300;TraesCS6A03G0705800;TraesCS3B03G0004300;TraesCS6B03G0816600;TraesCS7D03G0399000;TraesCS4A03G0878700;TraesCS6A03G0827600;TraesCS5B03G1092400;TraesCS7A03G0847000;TraesCS2A03G0229800;TraesCS2B03G0324800;TraesCS4B03G0588900;TraesCS2B03G0839700;TraesCS3A03G0528000;TraesCS3A03G1066800;TraesCS4B03G0662400;TraesCS2D03G0580700;TraesCS3B03G1030900;TraesCS5B03G1255000;TraesCS6A03G0245900;TraesCS4D03G0627000;TraesCS5A03G0884200;TraesCS5D03G0823700;TraesCS6D03G0465200;TraesCS3A03G0590000;TraesCS2D03G1020400;TraesCS4A03G0186800;TraesCS3D03G0317900;TraesCS5A03G1207600;TraesCS2D03G0977900;TraesCS6B03G0216500;TraesCS7A03G0643600;TraesCS7D03G0141900;TraesCS3A03G0236700;TraesCS5B03G1153500;TraesCS2B03G0179600;TraesCS5B03G1172900;TraesCS3A03G0649600;TraesCS2B03G0698600;TraesCS2B03G1157700;TraesCS7B03G0641200;TraesCS1B03G0650600;TraesCS4D03G0073100;TraesCS5A03G0584700;TraesCS1B03G0134900;TraesCS2D03G1115800;TraesCS2D03G0129300;TraesCS2A03G0378800;TraesCS5A03G0926200;TraesCS4D03G0523000;TraesCS6B03G0985100;TraesCS2D03G0702400;TraesCS2D03G0467500;TraesCS4D03G0418800;TraesCS3B03G0822900;TraesCS6A03G0252200</t>
  </si>
  <si>
    <t>230 (1.12%)</t>
  </si>
  <si>
    <t>TraesCS2A03G0590900;TraesCS2B03G0677200;TraesCS2D03G0571800</t>
  </si>
  <si>
    <t>11 (3.69%)</t>
  </si>
  <si>
    <t>TraesCS2A03G1166300;TraesCS2D03G1115800;TraesCS2B03G1269400;TraesCS7D03G0199700;TraesCS1A03G0737200;TraesCS2B03G1322200;TraesCS5B03G0460200;TraesCS5B03G0893500;TraesCS6A03G0579100;TraesCS3A03G0788000;TraesCS6B03G0199900;TraesCS7B03G0698500;TraesCS1A03G0765700;TraesCS4B03G0662400;TraesCS4B03G0837800</t>
  </si>
  <si>
    <t>15 (2.89%)</t>
  </si>
  <si>
    <t>TraesCS6A03G0152600;TraesCS6B03G0216500;TraesCS2D03G0740600;TraesCS6D03G0136800</t>
  </si>
  <si>
    <t>4 (14.81%)</t>
  </si>
  <si>
    <t>TraesCS7A03G0257600;TraesCS7A03G0804400;TraesCS4A03G0059700;TraesCS7D03G0765200;TraesCS2B03G1007000;TraesCS7B03G0015200;TraesCS4B03G0061400;TraesCS1A03G0233400;TraesCS7B03G0641200;TraesCS2D03G0467500;TraesCS2D03G0858100;TraesCS2B03G0811700;TraesCS7B03G0641600;TraesCS7D03G0237300</t>
  </si>
  <si>
    <t>14 (3.09%)</t>
  </si>
  <si>
    <t>TraesCS3B03G0033200;TraesCS7D03G0399000;TraesCS6B03G0486000;TraesCS6D03G0334000;TraesCS7A03G0679300;TraesCS7D03G0650200;TraesCS4D03G0069000</t>
  </si>
  <si>
    <t>7 (6.8%)</t>
  </si>
  <si>
    <t>TraesCS7A03G0257600;TraesCS4A03G0059700;TraesCS2D03G0467500;TraesCS2D03G0858100;TraesCS2B03G1007000;TraesCS7B03G0015200;TraesCS7D03G0237300;TraesCS1A03G0233400</t>
  </si>
  <si>
    <t>11 (4.21%)</t>
  </si>
  <si>
    <t>4 (20%)</t>
  </si>
  <si>
    <t>TraesCS6B03G1261000;TraesCS2B03G1007000;TraesCS2B03G1322200;TraesCS4D03G0257500;TraesCS5B03G0893500;TraesCS3A03G0788000;TraesCS2B03G1021700;TraesCS3B03G0932400;TraesCS4B03G0780900;TraesCS3D03G0404000;TraesCS2D03G0858100;TraesCS5D03G0512700;TraesCS2A03G1166300;TraesCS5A03G0584700;TraesCS2D03G1115800;TraesCS1A03G0737200;TraesCS2D03G0869000;TraesCS5B03G0460200;TraesCS6B03G0199900;TraesCS7B03G0698500;TraesCS2D03G0174000;TraesCS5A03G0549100;TraesCS5D03G0345600;TraesCS1A03G0765700;TraesCS4B03G0837800</t>
  </si>
  <si>
    <t>25 (2.32%)</t>
  </si>
  <si>
    <t>11 (4.37%)</t>
  </si>
  <si>
    <t>TraesCS5A03G0584700;TraesCS5D03G0552200;TraesCS2B03G0532800;TraesCS5A03G0549100;TraesCS2D03G0420300;TraesCS5D03G0512700;TraesCS7A03G0642100</t>
  </si>
  <si>
    <t>7 (7.78%)</t>
  </si>
  <si>
    <t>4 (22.22%)</t>
  </si>
  <si>
    <t>TraesCS5B03G0125200;TraesCS6B03G0816600;TraesCS1A03G0407200;TraesCS4D03G0584200;TraesCS1A03G0994600;TraesCS6A03G0827600;TraesCS5A03G1104100;TraesCS2B03G0677200;TraesCS4B03G0588900;TraesCS2A03G1095300;TraesCS7D03G1284700;TraesCS5B03G1291400;TraesCS2D03G0752600;TraesCS3A03G0528000;TraesCS4D03G0207900;TraesCS3B03G1162300;TraesCS6A03G0660500;TraesCS3A03G0690300;TraesCS7D03G0604200;TraesCS5D03G1060600;TraesCS4B03G0902500;TraesCS6A03G0245900;TraesCS6B03G0515700;TraesCS4D03G0627000;TraesCS7D03G1043200;TraesCS2D03G0869000;TraesCS5D03G0823700;TraesCS2B03G0725100;TraesCS3B03G0531700;TraesCS4A03G0456500;TraesCS4A03G0186800;TraesCS4A03G0083000;TraesCS5A03G1207600;TraesCS1A03G0004000;TraesCS2D03G0740600;TraesCS3A03G0236700;TraesCS5D03G1158300;TraesCS2B03G0543000;TraesCS1D03G0376300;TraesCS5B03G1172900;TraesCS3A03G0649600;TraesCS2A03G0412600;TraesCS2B03G1021700;TraesCS3D03G0838400;TraesCS5B03G0904300;TraesCS3D03G0595600;TraesCS3B03G0733400;TraesCS4B03G0700900;TraesCS7D03G0779600;TraesCS3A03G1009400;TraesCS3D03G0683500;TraesCS4D03G0191800;TraesCS3D03G0479000;TraesCS6B03G0837600;TraesCS1B03G0650600;TraesCS7A03G0793100;TraesCS2D03G0603200;TraesCS4D03G0327900;TraesCS2D03G1002600;TraesCS5B03G0254500;TraesCS5A03G0960400;TraesCS5A03G0660000;TraesCS4A03G0451700;TraesCSU03G0295800;TraesCS2D03G0571800;TraesCS2A03G0378800;TraesCS4D03G0523000;TraesCS6B03G0985100;TraesCS6D03G0549200;TraesCS2D03G0430200;TraesCS3B03G0805500;TraesCS4A03G0519500;TraesCS3D03G0940300;TraesCS6A03G0705800;TraesCS2A03G0590900</t>
  </si>
  <si>
    <t>75 (1.54%)</t>
  </si>
  <si>
    <t>TraesCS5B03G0125200;TraesCS6B03G0816600;TraesCS1A03G0407200;TraesCS4D03G0584200;TraesCS1A03G0994600;TraesCS6A03G0827600;TraesCS5A03G1104100;TraesCS2B03G0677200;TraesCS4B03G0588900;TraesCS5B03G1291400;TraesCS3A03G0528000;TraesCS4D03G0207900;TraesCS3B03G1162300;TraesCS6A03G0660500;TraesCS1D03G0363400;TraesCS3A03G0690300;TraesCS3B03G1030900;TraesCS7D03G0604200;TraesCS5D03G1060600;TraesCS4B03G0902500;TraesCS6A03G0245900;TraesCS6B03G0515700;TraesCS4D03G0627000;TraesCS7D03G1043200;TraesCS2D03G0869000;TraesCS5D03G0823700;TraesCS2B03G0725100;TraesCS3B03G0531700;TraesCS4A03G0456500;TraesCS4A03G0186800;TraesCS4A03G0083000;TraesCS5A03G1207600;TraesCS1A03G0004000;TraesCS2D03G0740600;TraesCS3A03G0236700;TraesCS5D03G1158300;TraesCS2B03G0543000;TraesCS1D03G0376300;TraesCS5B03G1172900;TraesCS3A03G0649600;TraesCS3A03G0909800;TraesCS2A03G0412600;TraesCS2B03G1021700;TraesCS5B03G0904300;TraesCS3D03G0595600;TraesCS3B03G0733400;TraesCS4B03G0700900;TraesCS7D03G0779600;TraesCS3A03G1009400;TraesCS3D03G0683500;TraesCS4D03G0191800;TraesCS3D03G0479000;TraesCS6B03G0837600;TraesCS7A03G0793100;TraesCS2D03G0603200;TraesCS4D03G0327900;TraesCS5B03G0254500;TraesCS5A03G0960400;TraesCS5A03G0660000;TraesCS4A03G0451700;TraesCSU03G0295800;TraesCS2D03G0571800;TraesCS4D03G0523000;TraesCS6B03G0985100;TraesCS6D03G0549200;TraesCS2D03G0430200;TraesCS3B03G0805500;TraesCS4A03G0519500;TraesCS3D03G0940300;TraesCS6A03G0705800;TraesCS2A03G0590900;TraesCS3B03G0004300</t>
  </si>
  <si>
    <t>72 (1.62%)</t>
  </si>
  <si>
    <t>TraesCS2B03G1021700;TraesCS3D03G0595600;TraesCS3B03G0733400;TraesCS2D03G0869000;TraesCS3A03G0649600</t>
  </si>
  <si>
    <t>5 (27.78%)</t>
  </si>
  <si>
    <t>TraesCS3D03G0317900;TraesCS3A03G0316700;TraesCS2D03G0129100;TraesCS2D03G0129300;TraesCS7A03G0847000;TraesCS3B03G0401400;TraesCS2B03G0179600</t>
  </si>
  <si>
    <t>7 (13.73%)</t>
  </si>
  <si>
    <t>TraesCS5B03G0125200;TraesCS6B03G0816600;TraesCS1A03G0407200;TraesCS5B03G0664600;TraesCS4D03G0584200;TraesCS1A03G0994600;TraesCS6A03G0827600;TraesCS5A03G1104100;TraesCS2B03G0677200;TraesCS4B03G0588900;TraesCS5B03G1291400;TraesCS3A03G0528000;TraesCS4D03G0207900;TraesCS3B03G1162300;TraesCS6A03G0660500;TraesCS1D03G0363400;TraesCS3A03G0690300;TraesCS3B03G1030900;TraesCS7D03G0604200;TraesCS5D03G1060600;TraesCS4B03G0902500;TraesCS6A03G0245900;TraesCS6B03G0515700;TraesCS4D03G0627000;TraesCS7D03G1043200;TraesCS2D03G0869000;TraesCS5D03G0823700;TraesCS2B03G0725100;TraesCS3B03G0531700;TraesCS4A03G0456500;TraesCS4A03G0186800;TraesCS4A03G0083000;TraesCS5A03G1207600;TraesCS1A03G0004000;TraesCS2D03G0740600;TraesCS3A03G0236700;TraesCS5D03G1158300;TraesCS2B03G0543000;TraesCS1D03G0376300;TraesCS5B03G1172900;TraesCS3A03G0649600;TraesCS3A03G0909800;TraesCS2A03G0412600;TraesCS2B03G1021700;TraesCS5B03G0904300;TraesCS3D03G0595600;TraesCS7B03G0378500;TraesCS3B03G0733400;TraesCS4B03G0700900;TraesCS7D03G0779600;TraesCS3A03G1009400;TraesCS3D03G0683500;TraesCS4D03G0191800;TraesCS3D03G0479000;TraesCS6B03G0837600;TraesCS7A03G0793100;TraesCS2D03G0603200;TraesCS4D03G0327900;TraesCS5B03G0254500;TraesCS5A03G0960400;TraesCS5A03G0660000;TraesCS4A03G0451700;TraesCSU03G0295800;TraesCS2D03G0571800;TraesCS4D03G0523000;TraesCS6B03G0985100;TraesCS6D03G0549200;TraesCS2D03G0430200;TraesCS3B03G0805500;TraesCS4A03G0519500;TraesCS3D03G0940300;TraesCS6A03G0705800;TraesCS2A03G0590900;TraesCS5A03G0639300;TraesCS3B03G0004300</t>
  </si>
  <si>
    <t>75 (1.67%)</t>
  </si>
  <si>
    <t>TraesCS5A03G0584700;TraesCS5D03G0552200;TraesCS7A03G1001800;TraesCS2B03G0532800;TraesCS5A03G0549100;TraesCS7D03G0958000;TraesCS2D03G0420300;TraesCS5D03G0512700;TraesCS7A03G0642100</t>
  </si>
  <si>
    <t>9 (9.09%)</t>
  </si>
  <si>
    <t>TraesCS5D03G0444000;TraesCS6D03G0889800;TraesCS1A03G0994600;TraesCS5A03G1104100;TraesCS2B03G0677200;TraesCS2A03G1095300;TraesCS7D03G1284700;TraesCS5B03G1291400;TraesCS2D03G0752600;TraesCS2D03G0019300;TraesCS3B03G1162300;TraesCS6A03G0660500;TraesCS3A03G0690300;TraesCS7D03G0604200;TraesCS3A03G0839800;TraesCS3B03G0095000;TraesCS6B03G0515700;TraesCS7A03G1299900;TraesCS1B03G0812500;TraesCS7D03G1043200;TraesCS2B03G0725100;TraesCS2A03G0680300;TraesCS1D03G0681800;TraesCS4A03G0652000;TraesCS1A03G0004000;TraesCS5D03G1158300;TraesCS2B03G0543000;TraesCS5D03G1101600;TraesCS1D03G0376300;TraesCS2B03G1021700;TraesCS3D03G0838400;TraesCS5B03G0904300;TraesCS6B03G1245200;TraesCS7D03G0779600;TraesCS3A03G1009400;TraesCS3D03G0683500;TraesCS3D03G0479000;TraesCS6B03G0837600;TraesCS5A03G0855000;TraesCS7A03G0793100;TraesCS2D03G0603200;TraesCS3D03G0068800;TraesCS4D03G0327900;TraesCS7B03G0253000;TraesCS2D03G1002600;TraesCS4A03G0712500;TraesCS5B03G0254500;TraesCS5A03G0960400;TraesCS5A03G0660000;TraesCS2D03G0430200;TraesCS4A03G0519500;TraesCS3D03G0940300;TraesCS6A03G0705800;TraesCS6D03G0136800;TraesCS2A03G0590900;TraesCS5B03G0125200;TraesCS6B03G0816600;TraesCS1A03G0407200;TraesCS4D03G0584200;TraesCS6A03G0827600;TraesCS5B03G1092400;TraesCS4B03G0588900;TraesCS3A03G0528000;TraesCS4D03G0207900;TraesCS3A03G1066800;TraesCS3B03G1030900;TraesCS5D03G1060600;TraesCS4B03G0902500;TraesCS6A03G0245900;TraesCS4D03G0627000;TraesCS2D03G0869000;TraesCS5D03G0823700;TraesCS6A03G0152600;TraesCS7B03G1217900;TraesCS3A03G0085500;TraesCS3B03G0531700;TraesCS4A03G0456500;TraesCS7A03G0154300;TraesCS7D03G0887100;TraesCS4A03G0186800;TraesCS4A03G0083000;TraesCS2B03G1334300;TraesCS5A03G1207600;TraesCS2D03G0977900;TraesCS6B03G0216500;TraesCS7A03G0643600;TraesCS7D03G0114600;TraesCS7D03G0141900;TraesCS2D03G0740600;TraesCS3A03G0236700;TraesCS7B03G0810500;TraesCS5B03G1172900;TraesCS3A03G0649600;TraesCS2A03G0412600;TraesCS2B03G1157700;TraesCS3D03G0595600;TraesCS3B03G0733400;TraesCS4B03G0700900;TraesCS4B03G0960100;TraesCS4D03G0191800;TraesCS1B03G0650600;TraesCS4D03G0073100;TraesCS1B03G0134900;TraesCS3B03G0647600;TraesCS4A03G0451700;TraesCSU03G0295800;TraesCS2D03G0571800;TraesCS2A03G0378800;TraesCS4D03G0523000;TraesCS6B03G0985100;TraesCS6D03G0549200;TraesCS3B03G0805500;TraesCS6A03G0252200</t>
  </si>
  <si>
    <t>113 (1.47%)</t>
  </si>
  <si>
    <t>TraesCS3B03G0531700;TraesCS2D03G0430200;TraesCS7D03G0779600;TraesCSU03G0295800;TraesCS7D03G1043200</t>
  </si>
  <si>
    <t>5 (41.67%)</t>
  </si>
  <si>
    <t>TraesCS6D03G0889800;TraesCS1A03G0994600;TraesCS5A03G1104100;TraesCS2B03G0677200;TraesCS5B03G1291400;TraesCS2D03G0019300;TraesCS3B03G1162300;TraesCS6A03G0660500;TraesCS1D03G0363400;TraesCS3A03G0690300;TraesCS2A03G1166300;TraesCS7D03G0604200;TraesCS3B03G0095000;TraesCS6B03G0515700;TraesCS1B03G0812500;TraesCS7D03G1043200;TraesCS2B03G0725100;TraesCS1D03G0681800;TraesCS4A03G0652000;TraesCS1A03G0004000;TraesCS5D03G1158300;TraesCS2B03G0543000;TraesCS5D03G1101600;TraesCS1D03G0376300;TraesCS3A03G0909800;TraesCS3A03G0717500;TraesCS7A03G1293800;TraesCS2B03G1021700;TraesCS5B03G0904300;TraesCS7B03G0378500;TraesCS2A03G0886700;TraesCS6B03G1245200;TraesCS7D03G0779600;TraesCS3A03G1009400;TraesCS3D03G0683500;TraesCS3D03G0479000;TraesCS6B03G0837600;TraesCS7A03G0793100;TraesCS2D03G0603200;TraesCS4D03G0327900;TraesCS4A03G0712500;TraesCS5B03G0254500;TraesCS5A03G0960400;TraesCS5A03G0660000;TraesCS2B03G0823400;TraesCS2D03G0430200;TraesCS4A03G0519500;TraesCS5D03G0255000;TraesCS3D03G0940300;TraesCS6A03G0705800;TraesCS2A03G0590900;TraesCS5A03G0639300;TraesCS3B03G0004300;TraesCS5B03G0125200;TraesCS6B03G0816600;TraesCS1A03G0407200;TraesCS5B03G0664600;TraesCS4D03G0584200;TraesCS6A03G0827600;TraesCS2A03G0892400;TraesCS2B03G1322200;TraesCS4B03G0588900;TraesCS4B03G0780900;TraesCS3A03G0528000;TraesCS4D03G0207900;TraesCS3A03G1066800;TraesCS5A03G0242500;TraesCS3B03G1030900;TraesCS5D03G1060600;TraesCS4B03G0902500;TraesCS6A03G0245900;TraesCS4D03G0627000;TraesCS1D03G0525100;TraesCS4B03G0619200;TraesCS2D03G0869000;TraesCS5D03G0823700;TraesCS3B03G0531700;TraesCS4A03G0456500;TraesCS7A03G0154300;TraesCS7D03G0887100;TraesCS4A03G0186800;TraesCS4A03G0083000;TraesCS5A03G1207600;TraesCS7A03G0643600;TraesCS7D03G0141900;TraesCS2D03G1290800;TraesCS2D03G0740600;TraesCS3A03G0236700;TraesCS7B03G0810500;TraesCS5B03G1172900;TraesCS3A03G0649600;TraesCS2A03G0412600;TraesCS3B03G0932400;TraesCS3D03G0595600;TraesCS3B03G0733400;TraesCS4B03G0700900;TraesCS4B03G0960100;TraesCS4D03G0191800;TraesCS4D03G0073100;TraesCS4A03G1008500;TraesCS1A03G0896800;TraesCS1B03G0134900;TraesCS2D03G1115800;TraesCS1B03G1053700;TraesCS2D03G0129300;TraesCS4A03G0451700;TraesCSU03G0295800;TraesCS2D03G0571800;TraesCS4D03G0523000;TraesCS6B03G0985100;TraesCS6D03G0549200;TraesCS3B03G0805500;TraesCS3B03G0822900;TraesCS6A03G0252200</t>
  </si>
  <si>
    <t>114 (1.53%)</t>
  </si>
  <si>
    <t>TraesCS6D03G0889800;TraesCS1A03G0994600;TraesCS5A03G1104100;TraesCS2B03G0677200;TraesCS5B03G1291400;TraesCS2D03G0019300;TraesCS3B03G1162300;TraesCS6A03G0660500;TraesCS1D03G0363400;TraesCS3A03G0690300;TraesCS2A03G1166300;TraesCS7D03G0604200;TraesCS3B03G0095000;TraesCS6B03G0515700;TraesCS1B03G0812500;TraesCS7D03G1043200;TraesCS2B03G0725100;TraesCS1D03G0681800;TraesCS4A03G0652000;TraesCS1A03G0004000;TraesCS5D03G1158300;TraesCS2B03G0543000;TraesCS5D03G1101600;TraesCS1D03G0376300;TraesCS3A03G0909800;TraesCS3A03G0717500;TraesCS7A03G1293800;TraesCS2B03G1021700;TraesCS5B03G0904300;TraesCS2A03G0886700;TraesCS6B03G1245200;TraesCS7D03G0779600;TraesCS3A03G1009400;TraesCS3D03G0683500;TraesCS3D03G0479000;TraesCS6B03G0837600;TraesCS7A03G0793100;TraesCS2D03G0603200;TraesCS4D03G0327900;TraesCS4A03G0712500;TraesCS5B03G0254500;TraesCS5A03G0960400;TraesCS5A03G0660000;TraesCS2B03G0823400;TraesCS2D03G0430200;TraesCS4A03G0519500;TraesCS5D03G0255000;TraesCS3D03G0940300;TraesCS6A03G0705800;TraesCS2A03G0590900;TraesCS3B03G0004300;TraesCS5B03G0125200;TraesCS6B03G0816600;TraesCS1A03G0407200;TraesCS4D03G0584200;TraesCS6A03G0827600;TraesCS2A03G0892400;TraesCS2B03G1322200;TraesCS4B03G0588900;TraesCS4B03G0780900;TraesCS3A03G0528000;TraesCS4D03G0207900;TraesCS3A03G1066800;TraesCS5A03G0242500;TraesCS3B03G1030900;TraesCS5D03G1060600;TraesCS4B03G0902500;TraesCS6A03G0245900;TraesCS4D03G0627000;TraesCS4B03G0619200;TraesCS2D03G0869000;TraesCS5D03G0823700;TraesCS3B03G0531700;TraesCS4A03G0456500;TraesCS7A03G0154300;TraesCS7D03G0887100;TraesCS4A03G0186800;TraesCS4A03G0083000;TraesCS5A03G1207600;TraesCS7A03G0643600;TraesCS7D03G0141900;TraesCS2D03G1290800;TraesCS2D03G0740600;TraesCS3A03G0236700;TraesCS7B03G0810500;TraesCS5B03G1172900;TraesCS3A03G0649600;TraesCS2A03G0412600;TraesCS3B03G0932400;TraesCS3D03G0595600;TraesCS3B03G0733400;TraesCS4B03G0700900;TraesCS4B03G0960100;TraesCS4D03G0191800;TraesCS4D03G0073100;TraesCS4A03G1008500;TraesCS1A03G0896800;TraesCS1B03G0134900;TraesCS2D03G1115800;TraesCS1B03G1053700;TraesCS4A03G0451700;TraesCSU03G0295800;TraesCS2D03G0571800;TraesCS4D03G0523000;TraesCS6B03G0985100;TraesCS6D03G0549200;TraesCS3B03G0805500;TraesCS3B03G0822900;TraesCS6A03G0252200</t>
  </si>
  <si>
    <t>109 (1.59%)</t>
  </si>
  <si>
    <t>TraesCS7A03G0257600;TraesCS3D03G0317900;TraesCS2B03G0532800;TraesCS7A03G0847000;TraesCS2B03G1007000;TraesCS3B03G0401400;TraesCS7B03G0015200;TraesCS4B03G0061400;TraesCS1A03G0233400;TraesCS3A03G0788000;TraesCS7A03G1001800;TraesCS3A03G0316700;TraesCS2D03G0019300;TraesCS7B03G0641200;TraesCS2D03G0858100;TraesCS5D03G0512700;TraesCS7B03G0641600;TraesCS7A03G0804400;TraesCS5A03G0584700;TraesCS5D03G0552200;TraesCS4A03G0059700;TraesCS2D03G0420300;TraesCS7D03G0765200;TraesCS7A03G0642100;TraesCS5A03G0926200;TraesCS5A03G0549100;TraesCS7D03G0958000;TraesCS5D03G0234500;TraesCS2D03G0467500;TraesCS2B03G0811700;TraesCS7D03G0237300</t>
  </si>
  <si>
    <t>31 (3.09%)</t>
  </si>
  <si>
    <t>114 (1.62%)</t>
  </si>
  <si>
    <t>TraesCS7A03G0257600;TraesCS5A03G0584700;TraesCS5D03G0552200;TraesCS2B03G0532800;TraesCS4A03G0059700;TraesCS2D03G0420300;TraesCS2B03G1007000;TraesCS7B03G0015200;TraesCS1A03G0233400;TraesCS7A03G0642100;TraesCS3A03G0788000;TraesCS5A03G0926200;TraesCS7A03G1001800;TraesCS5A03G0549100;TraesCS7D03G0958000;TraesCS5D03G0234500;TraesCS2D03G0467500;TraesCS2D03G0858100;TraesCS5D03G0512700;TraesCS7D03G0237300</t>
  </si>
  <si>
    <t>20 (6.49%)</t>
  </si>
  <si>
    <t>TraesCS5B03G0125200;TraesCS6B03G0816600;TraesCS1A03G0407200;TraesCS4D03G0584200;TraesCS6D03G0889800;TraesCS1A03G0994600;TraesCS6A03G0827600;TraesCS5A03G1104100;TraesCS2B03G0677200;TraesCS4B03G0588900;TraesCS5B03G1291400;TraesCS3A03G0528000;TraesCS4D03G0207900;TraesCS2D03G0019300;TraesCS3B03G1162300;TraesCS3A03G1066800;TraesCS6A03G0660500;TraesCS3A03G0690300;TraesCS3B03G1030900;TraesCS7D03G0604200;TraesCS5D03G1060600;TraesCS3B03G0095000;TraesCS4B03G0902500;TraesCS6A03G0245900;TraesCS6B03G0515700;TraesCS4D03G0627000;TraesCS1B03G0812500;TraesCS7D03G1043200;TraesCS2D03G0869000;TraesCS5D03G0823700;TraesCS2B03G0725100;TraesCS3B03G0531700;TraesCS4A03G0456500;TraesCS7A03G0154300;TraesCS7D03G0887100;TraesCS4A03G0186800;TraesCS4A03G0083000;TraesCS1D03G0681800;TraesCS5A03G1207600;TraesCS4A03G0652000;TraesCS1A03G0004000;TraesCS7A03G0643600;TraesCS7D03G0141900;TraesCS2D03G0740600;TraesCS3A03G0236700;TraesCS5D03G1158300;TraesCS7B03G0810500;TraesCS2B03G0543000;TraesCS5D03G1101600;TraesCS1D03G0376300;TraesCS5B03G1172900;TraesCS3A03G0649600;TraesCS2A03G0412600;TraesCS2B03G1021700;TraesCS5B03G0904300;TraesCS3D03G0595600;TraesCS3B03G0733400;TraesCS4B03G0700900;TraesCS6B03G1245200;TraesCS7D03G0779600;TraesCS4B03G0960100;TraesCS3A03G1009400;TraesCS3D03G0683500;TraesCS4D03G0191800;TraesCS3D03G0479000;TraesCS6B03G0837600;TraesCS4D03G0073100;TraesCS7A03G0793100;TraesCS2D03G0603200;TraesCS4D03G0327900;TraesCS1B03G0134900;TraesCS4A03G0712500;TraesCS5B03G0254500;TraesCS5A03G0960400;TraesCS5A03G0660000;TraesCS4A03G0451700;TraesCSU03G0295800;TraesCS2D03G0571800;TraesCS4D03G0523000;TraesCS6B03G0985100;TraesCS6D03G0549200;TraesCS2D03G0430200;TraesCS3B03G0805500;TraesCS4A03G0519500;TraesCS3D03G0940300;TraesCS6A03G0705800;TraesCS2A03G0590900;TraesCS6A03G0252200</t>
  </si>
  <si>
    <t>88 (2%)</t>
  </si>
  <si>
    <t>TraesCS5B03G0125200;TraesCS6B03G0816600;TraesCS1A03G0407200;TraesCS4D03G0584200;TraesCS1A03G0994600;TraesCS6A03G0827600;TraesCS5A03G1104100;TraesCS2B03G0677200;TraesCS4B03G0588900;TraesCS5B03G1291400;TraesCS3A03G0528000;TraesCS3B03G1162300;TraesCS6A03G0660500;TraesCS3A03G0690300;TraesCS7D03G0604200;TraesCS5D03G1060600;TraesCS4B03G0902500;TraesCS6A03G0245900;TraesCS6B03G0515700;TraesCS4D03G0627000;TraesCS7D03G1043200;TraesCS5D03G0823700;TraesCS6A03G0152600;TraesCS2B03G0725100;TraesCS3B03G0531700;TraesCS4A03G0456500;TraesCS4A03G0186800;TraesCS4A03G0083000;TraesCS2B03G1334300;TraesCS5A03G1207600;TraesCS1A03G0004000;TraesCS6B03G0216500;TraesCS7D03G0114600;TraesCS2D03G0740600;TraesCS5D03G1158300;TraesCS2B03G0543000;TraesCS1D03G0376300;TraesCS5B03G1172900;TraesCS2A03G0412600;TraesCS5B03G0904300;TraesCS4B03G0700900;TraesCS7D03G0779600;TraesCS3D03G0683500;TraesCS4D03G0191800;TraesCS3D03G0479000;TraesCS6B03G0837600;TraesCS2D03G0603200;TraesCS4D03G0327900;TraesCS7B03G0253000;TraesCS5B03G0254500;TraesCS5A03G0960400;TraesCS4A03G0451700;TraesCSU03G0295800;TraesCS2D03G0571800;TraesCS4D03G0523000;TraesCS6B03G0985100;TraesCS6D03G0549200;TraesCS2D03G0430200;TraesCS3B03G0805500;TraesCS4A03G0519500;TraesCS6A03G0705800;TraesCS6D03G0136800;TraesCS2A03G0590900</t>
  </si>
  <si>
    <t>63 (2.88%)</t>
  </si>
  <si>
    <t>TraesCS5B03G0125200;TraesCS6B03G0816600;TraesCS1A03G0407200;TraesCS4D03G0584200;TraesCS1A03G0994600;TraesCS6A03G0827600;TraesCS5A03G1104100;TraesCS2B03G0677200;TraesCS4B03G0588900;TraesCS5B03G1291400;TraesCS3A03G0528000;TraesCS2D03G0019300;TraesCS3B03G1162300;TraesCS6A03G0660500;TraesCS3A03G0690300;TraesCS7D03G0604200;TraesCS5D03G1060600;TraesCS4B03G0902500;TraesCS6A03G0245900;TraesCS6B03G0515700;TraesCS4D03G0627000;TraesCS7D03G1043200;TraesCS5D03G0823700;TraesCS6A03G0152600;TraesCS2B03G0725100;TraesCS3B03G0531700;TraesCS4A03G0456500;TraesCS4A03G0186800;TraesCS4A03G0083000;TraesCS2B03G1334300;TraesCS5A03G1207600;TraesCS1A03G0004000;TraesCS6B03G0216500;TraesCS7A03G0643600;TraesCS7D03G0114600;TraesCS2D03G0740600;TraesCS5D03G1158300;TraesCS2B03G0543000;TraesCS1D03G0376300;TraesCS5B03G1172900;TraesCS2A03G0412600;TraesCS5B03G0904300;TraesCS4B03G0700900;TraesCS7D03G0779600;TraesCS3D03G0683500;TraesCS4D03G0191800;TraesCS3D03G0479000;TraesCS6B03G0837600;TraesCS2D03G0603200;TraesCS4D03G0327900;TraesCS7B03G0253000;TraesCS1B03G0134900;TraesCS5B03G0254500;TraesCS5A03G0960400;TraesCS4A03G0451700;TraesCSU03G0295800;TraesCS2D03G0571800;TraesCS4D03G0523000;TraesCS6B03G0985100;TraesCS6D03G0549200;TraesCS2D03G0430200;TraesCS3B03G0805500;TraesCS4A03G0519500;TraesCS6A03G0705800;TraesCS6D03G0136800;TraesCS2A03G0590900</t>
  </si>
  <si>
    <t>66 (2.8%)</t>
  </si>
  <si>
    <t>TraesCS5B03G0125200;TraesCS6B03G0816600;TraesCS1A03G0407200;TraesCS4D03G0584200;TraesCS1A03G0994600;TraesCS6A03G0827600;TraesCS5A03G1104100;TraesCS2B03G0677200;TraesCS4B03G0588900;TraesCS5B03G1291400;TraesCS3A03G0528000;TraesCS3B03G1162300;TraesCS6A03G0660500;TraesCS3A03G0690300;TraesCS7D03G0604200;TraesCS5D03G1060600;TraesCS4B03G0902500;TraesCS6A03G0245900;TraesCS6B03G0515700;TraesCS4D03G0627000;TraesCS7D03G1043200;TraesCS5D03G0823700;TraesCS2B03G0725100;TraesCS3B03G0531700;TraesCS4A03G0456500;TraesCS4A03G0186800;TraesCS4A03G0083000;TraesCS5A03G1207600;TraesCS1A03G0004000;TraesCS2D03G0740600;TraesCS5D03G1158300;TraesCS2B03G0543000;TraesCS1D03G0376300;TraesCS5B03G1172900;TraesCS2A03G0412600;TraesCS5B03G0904300;TraesCS4B03G0700900;TraesCS7D03G0779600;TraesCS3D03G0683500;TraesCS4D03G0191800;TraesCS3D03G0479000;TraesCS6B03G0837600;TraesCS2D03G0603200;TraesCS4D03G0327900;TraesCS5B03G0254500;TraesCS5A03G0960400;TraesCS4A03G0451700;TraesCSU03G0295800;TraesCS2D03G0571800;TraesCS4D03G0523000;TraesCS6B03G0985100;TraesCS6D03G0549200;TraesCS2D03G0430200;TraesCS3B03G0805500;TraesCS4A03G0519500;TraesCS6A03G0705800;TraesCS2A03G0590900</t>
  </si>
  <si>
    <t>57 (3.25%)</t>
  </si>
  <si>
    <t>TraesCS5B03G0125200;TraesCS6B03G0816600;TraesCS1A03G0407200;TraesCS4D03G0584200;TraesCS6D03G0889800;TraesCS1A03G0994600;TraesCS6A03G0827600;TraesCS5A03G1104100;TraesCS2B03G0677200;TraesCS2B03G1322200;TraesCS4B03G0588900;TraesCS5B03G1291400;TraesCS3A03G0528000;TraesCS2D03G0019300;TraesCS3B03G1162300;TraesCS3A03G1066800;TraesCS6A03G0660500;TraesCS1D03G0363400;TraesCS3A03G0690300;TraesCS2A03G1166300;TraesCS7D03G0604200;TraesCS5D03G1060600;TraesCS3B03G0095000;TraesCS4B03G0902500;TraesCS6A03G0245900;TraesCS6B03G0515700;TraesCS4D03G0627000;TraesCS4B03G0619200;TraesCS1B03G0812500;TraesCS7D03G1043200;TraesCS5D03G0823700;TraesCS2B03G0725100;TraesCS3B03G0531700;TraesCS4A03G0456500;TraesCS7A03G0154300;TraesCS7D03G0887100;TraesCS4A03G0186800;TraesCS4A03G0083000;TraesCS1D03G0681800;TraesCS5A03G1207600;TraesCS4A03G0652000;TraesCS1A03G0004000;TraesCS7A03G0643600;TraesCS7D03G0141900;TraesCS2D03G1290800;TraesCS2D03G0740600;TraesCS5D03G1158300;TraesCS2B03G0543000;TraesCS5D03G1101600;TraesCS1D03G0376300;TraesCS5B03G1172900;TraesCS3A03G0717500;TraesCS2A03G0412600;TraesCS3B03G0932400;TraesCS5B03G0904300;TraesCS4B03G0700900;TraesCS6B03G1245200;TraesCS7D03G0779600;TraesCS4B03G0960100;TraesCS3D03G0683500;TraesCS4D03G0191800;TraesCS3D03G0479000;TraesCS6B03G0837600;TraesCS4D03G0073100;TraesCS2D03G0603200;TraesCS4D03G0327900;TraesCS1A03G0896800;TraesCS1B03G0134900;TraesCS2D03G1115800;TraesCS1B03G1053700;TraesCS4A03G0712500;TraesCS5B03G0254500;TraesCS5A03G0960400;TraesCS4A03G0451700;TraesCSU03G0295800;TraesCS2D03G0571800;TraesCS4D03G0523000;TraesCS6B03G0985100;TraesCS6D03G0549200;TraesCS2D03G0430200;TraesCS3B03G0805500;TraesCS4A03G0519500;TraesCS3B03G0822900;TraesCS6A03G0705800;TraesCS2A03G0590900;TraesCS6A03G0252200</t>
  </si>
  <si>
    <t>86 (2.46%)</t>
  </si>
  <si>
    <t>TraesCS5B03G0125200;TraesCS6B03G0816600;TraesCS1A03G0407200;TraesCS4D03G0584200;TraesCS1A03G0994600;TraesCS6A03G0827600;TraesCS5A03G1104100;TraesCS2B03G0677200;TraesCS4B03G0588900;TraesCS5B03G1291400;TraesCS3A03G0528000;TraesCS2D03G0019300;TraesCS3B03G1162300;TraesCS6A03G0660500;TraesCS3A03G0690300;TraesCS7D03G0604200;TraesCS5D03G1060600;TraesCS4B03G0902500;TraesCS6A03G0245900;TraesCS6B03G0515700;TraesCS4D03G0627000;TraesCS7D03G1043200;TraesCS5D03G0823700;TraesCS2B03G0725100;TraesCS3B03G0531700;TraesCS4A03G0456500;TraesCS4A03G0186800;TraesCS4A03G0083000;TraesCS5A03G1207600;TraesCS1A03G0004000;TraesCS7A03G0643600;TraesCS2D03G0740600;TraesCS5D03G1158300;TraesCS2B03G0543000;TraesCS1D03G0376300;TraesCS5B03G1172900;TraesCS2A03G0412600;TraesCS5B03G0904300;TraesCS4B03G0700900;TraesCS7D03G0779600;TraesCS3D03G0683500;TraesCS4D03G0191800;TraesCS3D03G0479000;TraesCS6B03G0837600;TraesCS2D03G0603200;TraesCS4D03G0327900;TraesCS1B03G0134900;TraesCS5B03G0254500;TraesCS5A03G0960400;TraesCS4A03G0451700;TraesCSU03G0295800;TraesCS2D03G0571800;TraesCS4D03G0523000;TraesCS6B03G0985100;TraesCS6D03G0549200;TraesCS2D03G0430200;TraesCS3B03G0805500;TraesCS4A03G0519500;TraesCS6A03G0705800;TraesCS2A03G0590900</t>
  </si>
  <si>
    <t>60 (3.29%)</t>
  </si>
  <si>
    <t>TraesCS7A03G0257600;TraesCS2B03G0532800;TraesCS4A03G0878700;TraesCS2A03G0229800;TraesCS7B03G0015200;TraesCS5A03G0640300;TraesCS2B03G0324800;TraesCS1A03G0233400;TraesCS2B03G0839700;TraesCS3A03G0788000;TraesCS5A03G1134200;TraesCS7A03G1001800;TraesCS4D03G0499800;TraesCS2D03G0240900;TraesCS5D03G0512700;TraesCS2A03G0803600;TraesCS5D03G0552200;TraesCS5B03G0665700;TraesCS5B03G1255000;TraesCS5D03G1048100;TraesCS2D03G0420300;TraesCS4B03G0566500;TraesCS5A03G0549100;TraesCS6D03G0465200;TraesCS2B03G0318200;TraesCS5D03G0234500;TraesCS7D03G0546100;TraesCS2D03G0742900;TraesCS5B03G1153500;TraesCS2B03G1007000;TraesCS2B03G0179600;TraesCS2B03G0698600;TraesCS3B03G0932400;TraesCS2D03G0858100;TraesCS5A03G0584700;TraesCS4A03G0059700;TraesCS2D03G0129100;TraesCS2D03G0129300;TraesCS4A03G0208700;TraesCS1A03G0955000;TraesCS4D03G0081000;TraesCS7A03G0642100;TraesCS7B03G0396300;TraesCS5A03G0926200;TraesCS2A03G0460300;TraesCS2D03G0702400;TraesCS7D03G0958000;TraesCS6B03G0628000;TraesCS2D03G0467500;TraesCS4D03G0418800;TraesCS7D03G0237300;TraesCS3D03G0149800</t>
  </si>
  <si>
    <t>52 (7.43%)</t>
  </si>
  <si>
    <t>TraesCS6D03G0480400</t>
  </si>
  <si>
    <t>1 (6.25%)</t>
  </si>
  <si>
    <t>TraesCS5A03G0900400</t>
  </si>
  <si>
    <t>1 (6.67%)</t>
  </si>
  <si>
    <t>TraesCS4D03G0394100</t>
  </si>
  <si>
    <t>TraesCS3D03G1067000</t>
  </si>
  <si>
    <t>TraesCS3B03G1352600</t>
  </si>
  <si>
    <t>TraesCS2A03G0784800;TraesCS2D03G0723400;TraesCS2B03G1119500;TraesCS3D03G0675100;TraesCS6D03G0480400;TraesCS4A03G0013100;TraesCS5A03G0900400;TraesCS7A03G0983600;TraesCS2A03G0146700;TraesCS2D03G0866000;TraesCS4D03G0700800</t>
  </si>
  <si>
    <t>11 (0.56%)</t>
  </si>
  <si>
    <t>TraesCS3A03G0827700;TraesCS3D03G0759500;TraesCS3B03G0843100;TraesCS3D03G1067000;TraesCS1D03G0940900;TraesCS3A03G0736500;TraesCS4B03G0547100;TraesCS6D03G0142300</t>
  </si>
  <si>
    <t>8 (0.63%)</t>
  </si>
  <si>
    <t>1 (7.69%)</t>
  </si>
  <si>
    <t>1 (7.14%)</t>
  </si>
  <si>
    <t>1 (8.33%)</t>
  </si>
  <si>
    <t>TraesCS3D03G0675100</t>
  </si>
  <si>
    <t>TraesCS3D03G0675100;TraesCS7B03G0427700;TraesCS4B03G0547100</t>
  </si>
  <si>
    <t>3 (1.26%)</t>
  </si>
  <si>
    <t>TraesCS3B03G0056000;TraesCS5A03G0650500;TraesCS7D03G0376400</t>
  </si>
  <si>
    <t>3 (1.2%)</t>
  </si>
  <si>
    <t>TraesCS2D03G0317100</t>
  </si>
  <si>
    <t>TraesCS7A03G0411400;TraesCS7D03G0591000;TraesCS7A03G0604100;TraesCS2A03G0773600;TraesCS7B03G0215800</t>
  </si>
  <si>
    <t>5 (0.86%)</t>
  </si>
  <si>
    <t>5 (0.84%)</t>
  </si>
  <si>
    <t>5 (0.83%)</t>
  </si>
  <si>
    <t>5 (0.81%)</t>
  </si>
  <si>
    <t>TraesCS4D03G0705500;TraesCS7D03G0591000;TraesCS2D03G1256000;TraesCS7A03G0604100;TraesCS1A03G0628500;TraesCS7A03G0411400;TraesCS1A03G1038500;TraesCS2A03G0995100;TraesCS7B03G0862000;TraesCS4B03G0755800;TraesCS3D03G1067000;TraesCS1D03G0590300;TraesCS5D03G0680800;TraesCS1D03G0940900;TraesCS5A03G0711900;TraesCS3A03G0486500;TraesCS2A03G0238300;TraesCS2A03G0773600;TraesCS1D03G0591900;TraesCS2D03G0931400;TraesCS4B03G0943100;TraesCS7B03G0215800;TraesCS4D03G0675600</t>
  </si>
  <si>
    <t>23 (0.46%)</t>
  </si>
  <si>
    <t>TraesCS7A03G0604100;TraesCS7A03G0411400;TraesCS2A03G0995100;TraesCS3D03G1067000;TraesCS2A03G0439800;TraesCS1D03G0590300;TraesCS5D03G0680800;TraesCS1D03G0940900;TraesCS3A03G0486500;TraesCS2A03G0238300;TraesCS2A03G0773600;TraesCS4D03G0394100;TraesCS4B03G0943100;TraesCS7B03G0215800;TraesCS4D03G0675600;TraesCS4D03G0705500;TraesCS7D03G0591000;TraesCS2D03G1256000;TraesCS3A03G0736500;TraesCS4B03G0547100;TraesCS1A03G0628500;TraesCS6D03G0142300;TraesCS3A03G0827700;TraesCS1A03G1038500;TraesCS3D03G0759500;TraesCS3B03G0843100;TraesCS4B03G0755800;TraesCS5A03G0711900;TraesCS1D03G0591900;TraesCS2D03G0931400</t>
  </si>
  <si>
    <t>30 (0.44%)</t>
  </si>
  <si>
    <t>TraesCS4D03G0705500;TraesCS7D03G0591000;TraesCS2D03G1256000;TraesCS6B03G0931500;TraesCS7A03G0604100;TraesCS1A03G0628500;TraesCS7A03G0411400;TraesCS1A03G1038500;TraesCS2A03G0995100;TraesCS7B03G0862000;TraesCS4B03G0755800;TraesCS3D03G1067000;TraesCS1D03G0590300;TraesCS5D03G0680800;TraesCS1D03G0940900;TraesCS5A03G0711900;TraesCS3A03G0486500;TraesCS2A03G0238300;TraesCS2A03G0773600;TraesCS1D03G0591900;TraesCS2D03G0931400;TraesCS4B03G0943100;TraesCS7B03G0215800;TraesCS4D03G0675600</t>
  </si>
  <si>
    <t>24 (0.45%)</t>
  </si>
  <si>
    <t>TraesCS6D03G0480400;TraesCS6D03G0554400;TraesCS3A03G0036900;TraesCS7A03G0604100;TraesCS3B03G0923500;TraesCS3D03G1106900;TraesCS7D03G0376400;TraesCS1A03G0402900;TraesCS3A03G0030800;TraesCS2A03G0784800;TraesCS5D03G0889500;TraesCS3B03G0227300;TraesCS3B03G1202800;TraesCS2B03G1071900;TraesCS4B03G0920700;TraesCS5B03G0491400;TraesCS2A03G0773600;TraesCS5D03G1037500;TraesCS7D03G1242100;TraesCS3D03G0100300;TraesCS3D03G0280000;TraesCS5A03G0943300;TraesCS2B03G1119500;TraesCS4B03G0188100;TraesCS7A03G0745600;TraesCS7B03G0427700;TraesCS2A03G1242000;TraesCSU03G0165900;TraesCS7A03G1033200;TraesCS3A03G0827700;TraesCS3D03G0759500;TraesCS1B03G0038000;TraesCS3A03G0294000;TraesCS3B03G0056000;TraesCS5A03G0650500;TraesCS1D03G0848200;TraesCS4B03G0013500;TraesCS5A03G1085400;TraesCS1D03G0591900;TraesCS5D03G0012700;TraesCS7D03G0852700;TraesCS3D03G0279900;TraesCS1B03G0294900;TraesCS3B03G0476500;TraesCS6D03G0650700;TraesCSU03G0166600;TraesCS5A03G0900400;TraesCS7A03G1315200;TraesCS7A03G0983600;TraesCS2D03G0866000;TraesCS2D03G0908600;TraesCS4D03G0700800;TraesCS6D03G0310700;TraesCS7B03G0873600;TraesCS7A03G0411400;TraesCS2A03G0995100;TraesCS2B03G1509500;TraesCS7B03G0672100;TraesCS3B03G1330900;TraesCS1D03G0590300;TraesCS2B03G0831400;TraesCS1D03G0940900;TraesCS3B03G0418100;TraesCS2A03G0146700;TraesCS7B03G0215800;TraesCS6D03G0691400;TraesCS2A03G1309400;TraesCS4D03G0705500;TraesCS4A03G0013100;TraesCS2D03G0080400;TraesCS7D03G0100700;TraesCS3A03G0736500;TraesCS4B03G0547100;TraesCS1A03G1038500;TraesCS2D03G0723400;TraesCS3B03G0843100;TraesCS2D03G0956000;TraesCS3D03G0675100;TraesCS2B03G1391900;TraesCS7D03G0709800;TraesCS3B03G0992800;TraesCS2D03G0931400;TraesCS1B03G0041500</t>
  </si>
  <si>
    <t>83 (0.37%)</t>
  </si>
  <si>
    <t>TraesCS7A03G0983600</t>
  </si>
  <si>
    <t>1 (10%)</t>
  </si>
  <si>
    <t>1 (9.09%)</t>
  </si>
  <si>
    <t>TraesCS3B03G1202800</t>
  </si>
  <si>
    <t>TraesCS2A03G0784800;TraesCS2D03G0723400;TraesCS2D03G0956000</t>
  </si>
  <si>
    <t>3 (1.31%)</t>
  </si>
  <si>
    <t>TraesCS5D03G0415000;TraesCS1D03G0848200;TraesCS1D03G0591900;TraesCS7B03G0873600</t>
  </si>
  <si>
    <t>4 (1.02%)</t>
  </si>
  <si>
    <t>TraesCS4D03G0705500;TraesCS7D03G0591000;TraesCS2D03G1256000;TraesCS7A03G0604100;TraesCS1A03G0628500;TraesCS7A03G0411400;TraesCS1A03G1038500;TraesCS2A03G0995100;TraesCS4B03G0755800;TraesCS3D03G1067000;TraesCS1D03G0590300;TraesCS5D03G0680800;TraesCS1D03G0940900;TraesCS5A03G0711900;TraesCS3A03G0486500;TraesCS2A03G0238300;TraesCS2A03G0773600;TraesCS1D03G0591900;TraesCS2D03G0931400;TraesCS4B03G0943100;TraesCS7B03G0215800;TraesCS4D03G0675600</t>
  </si>
  <si>
    <t>22 (0.48%)</t>
  </si>
  <si>
    <t>TraesCS4D03G0705500;TraesCS7D03G0591000;TraesCS2D03G1256000;TraesCS6B03G0931500;TraesCS7A03G0604100;TraesCS1A03G0628500;TraesCS7A03G0411400;TraesCS1A03G1038500;TraesCS2A03G0995100;TraesCS4B03G0755800;TraesCS3D03G1067000;TraesCS1D03G0590300;TraesCS5D03G0680800;TraesCS1D03G0940900;TraesCS5A03G0711900;TraesCS3A03G0486500;TraesCS2A03G0238300;TraesCS2A03G0773600;TraesCS1D03G0591900;TraesCS2D03G0931400;TraesCS4B03G0943100;TraesCS7B03G0215800;TraesCS4D03G0675600</t>
  </si>
  <si>
    <t>23 (0.47%)</t>
  </si>
  <si>
    <t>TraesCS6B03G0931500;TraesCS7A03G0604100;TraesCS7A03G0411400;TraesCS2A03G0995100;TraesCS3D03G1067000;TraesCS2A03G0439800;TraesCS1D03G0590300;TraesCS5D03G0680800;TraesCS1D03G0940900;TraesCS3A03G0486500;TraesCS2A03G0238300;TraesCS2A03G0773600;TraesCS4D03G0394100;TraesCS4B03G0943100;TraesCS7B03G0215800;TraesCS4D03G0675600;TraesCS4D03G0705500;TraesCS7D03G0591000;TraesCS2D03G1256000;TraesCS3A03G0736500;TraesCS3B03G1352600;TraesCS4B03G0547100;TraesCS1A03G0628500;TraesCS6D03G0142300;TraesCS3A03G0827700;TraesCS1A03G1038500;TraesCS3D03G0759500;TraesCS3B03G0843100;TraesCS7B03G0862000;TraesCS4B03G0755800;TraesCS5A03G0711900;TraesCS1D03G0591900;TraesCS2D03G0931400</t>
  </si>
  <si>
    <t>33 (0.44%)</t>
  </si>
  <si>
    <t>TraesCS7B03G0427700</t>
  </si>
  <si>
    <t>TraesCS3B03G0056000</t>
  </si>
  <si>
    <t>TraesCS5A03G0943300;TraesCS6B03G0794800;TraesCS6D03G0480400;TraesCS5A03G0900400;TraesCS2D03G0317100</t>
  </si>
  <si>
    <t>5 (0.96%)</t>
  </si>
  <si>
    <t>TraesCS2B03G1119500</t>
  </si>
  <si>
    <t>TraesCS2A03G0784800;TraesCS2D03G0723400</t>
  </si>
  <si>
    <t>2 (2.82%)</t>
  </si>
  <si>
    <t>5 (1.08%)</t>
  </si>
  <si>
    <t>5 (1.06%)</t>
  </si>
  <si>
    <t>5 (1.05%)</t>
  </si>
  <si>
    <t>5 (1.07%)</t>
  </si>
  <si>
    <t>TraesCS3B03G0056000;TraesCS5A03G0650500;TraesCS1D03G0848200;TraesCS7A03G0983600;TraesCS7D03G0376400</t>
  </si>
  <si>
    <t>TraesCS4D03G0705500;TraesCS7A03G0745600;TraesCS7A03G0604100;TraesCS7A03G0411400;TraesCS1A03G1038500;TraesCS2A03G0995100;TraesCS3B03G1202800;TraesCS1D03G0590300;TraesCS1D03G0940900;TraesCS7D03G0709800;TraesCS2A03G0773600;TraesCS3B03G0992800;TraesCS2D03G0931400;TraesCS5D03G0012700;TraesCS7B03G0215800</t>
  </si>
  <si>
    <t>15 (0.56%)</t>
  </si>
  <si>
    <t>22 (0.5%)</t>
  </si>
  <si>
    <t>TraesCS1A03G0929500;TraesCS6D03G0480400;TraesCS5D03G0415000;TraesCS6D03G0554400;TraesCS3A03G0036900;TraesCS7A03G0604100;TraesCS3B03G0923500;TraesCS3D03G1106900;TraesCS7D03G0376400;TraesCS1A03G0402900;TraesCS3A03G0030800;TraesCS2A03G0784800;TraesCS3D03G0784700;TraesCS5D03G0889500;TraesCS3B03G0227300;TraesCS3B03G1202800;TraesCS2B03G1071900;TraesCS2A03G0773600;TraesCS5D03G1037500;TraesCS7D03G1242100;TraesCS3D03G0100300;TraesCS3D03G0280000;TraesCS2B03G1119500;TraesCS4B03G0188100;TraesCS7A03G0745600;TraesCS2A03G1242000;TraesCSU03G0165900;TraesCS7A03G1033200;TraesCS3A03G0827700;TraesCS3D03G0759500;TraesCS1B03G0038000;TraesCS3A03G0294000;TraesCS3B03G0056000;TraesCS5A03G0650500;TraesCS1D03G0848200;TraesCS4B03G0013500;TraesCS5A03G1085400;TraesCS1D03G0591900;TraesCS5D03G0012700;TraesCS7D03G0852700;TraesCS3D03G0279900;TraesCS6D03G0650700;TraesCSU03G0166600;TraesCS5A03G0900400;TraesCS7A03G1315200;TraesCS7A03G0983600;TraesCS2D03G0866000;TraesCS2D03G0908600;TraesCS4D03G0700800;TraesCS6D03G0310700;TraesCS7B03G0873600;TraesCS7A03G0411400;TraesCS2A03G0995100;TraesCS7B03G0672100;TraesCS3B03G1330900;TraesCS1D03G0590300;TraesCS2B03G0831400;TraesCS1D03G0940900;TraesCS3B03G0418100;TraesCS2A03G0146700;TraesCS7B03G0215800;TraesCS4D03G0705500;TraesCS4A03G0013100;TraesCS2D03G0080400;TraesCS7D03G0100700;TraesCS3A03G0736500;TraesCS1A03G1038500;TraesCS2D03G0723400;TraesCS3B03G0843100;TraesCS2D03G0956000;TraesCS3A03G0856900;TraesCS3D03G0675100;TraesCS2B03G1391900;TraesCS7D03G0709800;TraesCS3B03G0992800;TraesCS2D03G0931400;TraesCS3B03G0809500;TraesCS1B03G0041500</t>
  </si>
  <si>
    <t>78 (0.38%)</t>
  </si>
  <si>
    <t>TraesCS5A03G1085400;TraesCS5D03G1037500</t>
  </si>
  <si>
    <t>2 (3.92%)</t>
  </si>
  <si>
    <t>TraesCS4B03G0188100</t>
  </si>
  <si>
    <t>3 (2.04%)</t>
  </si>
  <si>
    <t>TraesCS2A03G0784800;TraesCS2D03G0723400;TraesCS3B03G1202800</t>
  </si>
  <si>
    <t>3 (1.89%)</t>
  </si>
  <si>
    <t>5 (1.16%)</t>
  </si>
  <si>
    <t>TraesCS7A03G0983600;TraesCS7B03G0427700;TraesCS7D03G0376400;TraesCS4B03G0547100;TraesCS2A03G0784800;TraesCS2D03G0723400;TraesCS2D03G0956000;TraesCS3D03G0675100;TraesCS3B03G0056000;TraesCS5A03G0650500;TraesCS1D03G0848200;TraesCS5B03G0491400;TraesCS2A03G0146700</t>
  </si>
  <si>
    <t>13 (0.65%)</t>
  </si>
  <si>
    <t>TraesCS4D03G0705500;TraesCS7A03G0745600;TraesCS7A03G0604100;TraesCS7A03G0411400;TraesCS1A03G1038500;TraesCS2A03G0995100;TraesCS1D03G0590300;TraesCS1D03G0940900;TraesCS7D03G0709800;TraesCS2A03G0773600;TraesCS3B03G0992800;TraesCS2D03G0931400;TraesCS5D03G0012700;TraesCS7B03G0215800</t>
  </si>
  <si>
    <t>14 (0.62%)</t>
  </si>
  <si>
    <t>TraesCS5A03G0900400;TraesCS1A03G0631000</t>
  </si>
  <si>
    <t>TraesCS5A03G0943300;TraesCS3D03G1067000;TraesCS6B03G0794800;TraesCS6D03G0480400;TraesCS5A03G0900400;TraesCS1A03G0631000;TraesCS2D03G0317100</t>
  </si>
  <si>
    <t>7 (0.85%)</t>
  </si>
  <si>
    <t>22 (0.51%)</t>
  </si>
  <si>
    <t>TraesCS6D03G0650700;TraesCSU03G0166600;TraesCS6D03G0554400;TraesCS7A03G1315200;TraesCS3A03G0036900;TraesCS3B03G0923500;TraesCS3D03G1106900;TraesCS6D03G0310700;TraesCS1A03G0402900;TraesCS5D03G0889500;TraesCS3B03G1330900;TraesCS2B03G0831400;TraesCS3B03G0418100;TraesCS7D03G1242100;TraesCS2A03G1242000;TraesCS3A03G0736500;TraesCSU03G0165900;TraesCS7A03G1033200;TraesCS3A03G0827700;TraesCS3D03G0759500;TraesCS3B03G0843100;TraesCS1B03G0038000;TraesCS2B03G1391900;TraesCS4B03G0013500;TraesCS7D03G0852700;TraesCS1B03G0041500</t>
  </si>
  <si>
    <t>26 (0.49%)</t>
  </si>
  <si>
    <t>TraesCS2A03G0784800;TraesCS2D03G0723400;TraesCS2D03G0956000;TraesCS3D03G0675100</t>
  </si>
  <si>
    <t>4 (1.53%)</t>
  </si>
  <si>
    <t>2 (4.35%)</t>
  </si>
  <si>
    <t>TraesCS4D03G0705500;TraesCS2B03G1119500;TraesCS7A03G0745600;TraesCS5A03G0900400;TraesCS7A03G0604100;TraesCS7A03G0411400;TraesCS1A03G1038500;TraesCS2A03G0995100;TraesCS3B03G1202800;TraesCS1D03G0590300;TraesCS1D03G0940900;TraesCS7D03G0709800;TraesCS2A03G0773600;TraesCS3B03G0992800;TraesCS2D03G0931400;TraesCS5D03G0012700;TraesCS7B03G0215800</t>
  </si>
  <si>
    <t>17 (0.59%)</t>
  </si>
  <si>
    <t>TraesCS6D03G0650700;TraesCSU03G0166600;TraesCS6D03G0554400;TraesCS7A03G1315200;TraesCS3A03G0036900;TraesCS3B03G0923500;TraesCS3D03G1106900;TraesCS6D03G0310700;TraesCS1A03G0402900;TraesCS5D03G0889500;TraesCS3B03G1330900;TraesCS3B03G1202800;TraesCS2B03G0831400;TraesCS3B03G0418100;TraesCS7D03G1242100;TraesCS2A03G1242000;TraesCS3A03G0736500;TraesCSU03G0165900;TraesCS7A03G1033200;TraesCS3A03G0827700;TraesCS3D03G0759500;TraesCS3B03G0843100;TraesCS1B03G0038000;TraesCS2B03G1391900;TraesCS4B03G0013500;TraesCS3B03G0992800;TraesCS7D03G0852700;TraesCS1B03G0041500</t>
  </si>
  <si>
    <t>28 (0.5%)</t>
  </si>
  <si>
    <t>2 (4.65%)</t>
  </si>
  <si>
    <t>TraesCS2A03G0784800;TraesCS2D03G0723400;TraesCS2D03G0956000;TraesCS3D03G0675100;TraesCS3B03G0056000;TraesCS5A03G0650500;TraesCS1D03G0848200;TraesCS7A03G0983600;TraesCS7D03G0376400;TraesCS2A03G0146700</t>
  </si>
  <si>
    <t>10 (0.78%)</t>
  </si>
  <si>
    <t>TraesCS2D03G0956000;TraesCS3D03G0675100</t>
  </si>
  <si>
    <t>17 (0.64%)</t>
  </si>
  <si>
    <t>4 (2.31%)</t>
  </si>
  <si>
    <t>TraesCS7A03G0411400;TraesCS7D03G0591000;TraesCS7A03G0604100;TraesCS2A03G0773600;TraesCS1D03G0591900;TraesCS4B03G0943100;TraesCS7B03G0215800</t>
  </si>
  <si>
    <t>7 (1.24%)</t>
  </si>
  <si>
    <t>TraesCS6D03G0650700;TraesCS5D03G0415000;TraesCSU03G0166600;TraesCS6D03G0554400;TraesCS7A03G1315200;TraesCS3A03G0036900;TraesCS7A03G0983600;TraesCS3B03G0923500;TraesCS3D03G1106900;TraesCS7D03G0376400;TraesCS6D03G0310700;TraesCS7B03G0873600;TraesCS1A03G0402900;TraesCS5D03G0889500;TraesCS3B03G1330900;TraesCS3B03G1202800;TraesCS2B03G0831400;TraesCS3B03G0418100;TraesCS7D03G1242100;TraesCS2A03G1242000;TraesCS3A03G0736500;TraesCSU03G0165900;TraesCS7A03G1033200;TraesCS3A03G0827700;TraesCS3D03G0759500;TraesCS3B03G0843100;TraesCS1B03G0038000;TraesCS3B03G0056000;TraesCS5A03G0650500;TraesCS1D03G0848200;TraesCS2B03G1391900;TraesCS4B03G0013500;TraesCS3B03G0992800;TraesCS1D03G0591900;TraesCS7D03G0852700;TraesCS1B03G0041500</t>
  </si>
  <si>
    <t>36 (0.51%)</t>
  </si>
  <si>
    <t>36 (0.52%)</t>
  </si>
  <si>
    <t>5 (1.87%)</t>
  </si>
  <si>
    <t>14 (0.83%)</t>
  </si>
  <si>
    <t>TraesCS3D03G0280000;TraesCS2B03G1119500;TraesCS3B03G1202800;TraesCS2B03G1071900;TraesCS2D03G0080400;TraesCS3A03G0294000;TraesCS7D03G0100700;TraesCS2D03G0908600;TraesCS3D03G0279900</t>
  </si>
  <si>
    <t>9 (1.17%)</t>
  </si>
  <si>
    <t>TraesCS3D03G0280000;TraesCS2B03G1071900;TraesCS2D03G0080400;TraesCS3A03G0294000;TraesCS7D03G0100700;TraesCS2D03G0908600;TraesCS3D03G0279900</t>
  </si>
  <si>
    <t>7 (1.75%)</t>
  </si>
  <si>
    <t>TraesCS4A03G0013100;TraesCS4D03G0700800</t>
  </si>
  <si>
    <t>TraesCS3D03G0280000;TraesCS2B03G1071900;TraesCS2D03G0080400;TraesCS3A03G0294000;TraesCS3B03G0056000;TraesCS7D03G0100700;TraesCS2D03G0908600;TraesCS3D03G0279900</t>
  </si>
  <si>
    <t>8 (1.72%)</t>
  </si>
  <si>
    <t>TraesCS5B03G0284000</t>
  </si>
  <si>
    <t>TraesCS3D03G0567300;TraesCS7D03G0732500</t>
  </si>
  <si>
    <t>2 (2.67%)</t>
  </si>
  <si>
    <t>TraesCS1D03G0951000;TraesCS2B03G0912100;TraesCS2B03G1148900;TraesCS7A03G1300000</t>
  </si>
  <si>
    <t>4 (1.4%)</t>
  </si>
  <si>
    <t>TraesCS1A03G0514200;TraesCS5B03G1217900;TraesCS1B03G0870100;TraesCS2B03G1233700</t>
  </si>
  <si>
    <t>4 (1.41%)</t>
  </si>
  <si>
    <t>TraesCS6D03G0509900</t>
  </si>
  <si>
    <t>1 (11.11%)</t>
  </si>
  <si>
    <t>TraesCS4D03G0818300</t>
  </si>
  <si>
    <t>TraesCS4D03G0818300;TraesCS3B03G1273000;TraesCS7D03G0732500</t>
  </si>
  <si>
    <t>3 (1.95%)</t>
  </si>
  <si>
    <t>3 (1.88%)</t>
  </si>
  <si>
    <t>TraesCS3A03G0312100;TraesCS5B03G1217900;TraesCS3B03G0370200;TraesCS5B03G0760100;TraesCS3D03G0289600</t>
  </si>
  <si>
    <t>5 (1.23%)</t>
  </si>
  <si>
    <t>TraesCS3A03G0312100;TraesCS5B03G1217900;TraesCS3B03G0370200;TraesCS5B03G0760100;TraesCS3D03G0289600;TraesCS7B03G0019600;TraesCS7A03G0262100</t>
  </si>
  <si>
    <t>7 (1.06%)</t>
  </si>
  <si>
    <t>TraesCS5B03G0674600;TraesCS2B03G1436800;TraesCS5A03G1177200;TraesCS4B03G0779400;TraesCS7A03G1072300</t>
  </si>
  <si>
    <t>5 (1.25%)</t>
  </si>
  <si>
    <t>4 (1.44%)</t>
  </si>
  <si>
    <t>TraesCS1A03G0514200</t>
  </si>
  <si>
    <t>TraesCS5D03G0876900;TraesCS1A03G0514200;TraesCS5A03G0438600;TraesCS1B03G0870100;TraesCS2B03G1233700</t>
  </si>
  <si>
    <t>5 (1.22%)</t>
  </si>
  <si>
    <t>TraesCS5D03G0876900;TraesCS1A03G0514200;TraesCS3B03G1020400;TraesCS7B03G0019600;TraesCS6B03G0173000;TraesCS2B03G1233700;TraesCS1D03G0462000;TraesCS5B03G1217900;TraesCS5A03G0438600;TraesCS2D03G0481700;TraesCS6D03G0720300;TraesCS7B03G0900400;TraesCS1B03G0870100;TraesCS7A03G0262100</t>
  </si>
  <si>
    <t>14 (0.81%)</t>
  </si>
  <si>
    <t>TraesCS7A03G0856200;TraesCS7B03G0654200</t>
  </si>
  <si>
    <t>2 (3.77%)</t>
  </si>
  <si>
    <t>2 (3.64%)</t>
  </si>
  <si>
    <t>TraesCS5B03G1217900</t>
  </si>
  <si>
    <t>TraesCS5A03G0438600;TraesCS7B03G0900400</t>
  </si>
  <si>
    <t>2 (3.28%)</t>
  </si>
  <si>
    <t>2 (3.23%)</t>
  </si>
  <si>
    <t>TraesCS3D03G1186400</t>
  </si>
  <si>
    <t>TraesCS3D03G0567300</t>
  </si>
  <si>
    <t>TraesCS3A03G0312100;TraesCS3B03G0370200;TraesCS3D03G0289600</t>
  </si>
  <si>
    <t>3 (2.07%)</t>
  </si>
  <si>
    <t>3 (2.22%)</t>
  </si>
  <si>
    <t>TraesCS2D03G0146000;TraesCS7B03G0019600;TraesCS7A03G0262100</t>
  </si>
  <si>
    <t>3 (2.08%)</t>
  </si>
  <si>
    <t>TraesCS1D03G1003400;TraesCS1D03G0512000;TraesCS3D03G0796400</t>
  </si>
  <si>
    <t>3 (2.11%)</t>
  </si>
  <si>
    <t>TraesCS7A03G0995000;TraesCS2D03G0433200;TraesCS7B03G0831100;TraesCS6D03G0529100;TraesCS7D03G0951500;TraesCS1D03G0164800</t>
  </si>
  <si>
    <t>6 (1.2%)</t>
  </si>
  <si>
    <t>TraesCS1A03G0514200;TraesCS5A03G0438600;TraesCS1B03G0870100;TraesCS2B03G1233700</t>
  </si>
  <si>
    <t>4 (1.61%)</t>
  </si>
  <si>
    <t>TraesCS4A03G0164900;TraesCS5B03G0284000</t>
  </si>
  <si>
    <t>2 (5%)</t>
  </si>
  <si>
    <t>TraesCS3D03G0764100</t>
  </si>
  <si>
    <t>TraesCS3A03G0312100;TraesCS3B03G0370200;TraesCS3D03G0289600;TraesCS7B03G0019600;TraesCS7A03G0262100</t>
  </si>
  <si>
    <t>5 (1.61%)</t>
  </si>
  <si>
    <t>TraesCS2D03G0831300</t>
  </si>
  <si>
    <t>TraesCS2B03G1453900;TraesCS2D03G0061200;TraesCS2B03G1453800</t>
  </si>
  <si>
    <t>3 (2.36%)</t>
  </si>
  <si>
    <t>TraesCS2B03G1252900;TraesCS3A03G0312100;TraesCS3B03G0370200;TraesCS3D03G0289600</t>
  </si>
  <si>
    <t>4 (1.82%)</t>
  </si>
  <si>
    <t>TraesCS2A03G0193500;TraesCS2D03G0193800</t>
  </si>
  <si>
    <t>TraesCS1D03G0462000</t>
  </si>
  <si>
    <t>TraesCS7A03G0995000;TraesCS5D03G0876900;TraesCS1A03G0514200;TraesCS5A03G0576600;TraesCS1B03G0870100;TraesCS2D03G0433200;TraesCS7B03G0831100;TraesCS5D03G0362000;TraesCS6D03G0529100;TraesCS7D03G0951500;TraesCS1D03G0164800;TraesCS2B03G1233700</t>
  </si>
  <si>
    <t>12 (0.94%)</t>
  </si>
  <si>
    <t>TraesCS1A03G0147100;TraesCS1D03G0951000;TraesCS2B03G0912100;TraesCS2B03G1148900;TraesCS2D03G1269200;TraesCS7A03G1300000</t>
  </si>
  <si>
    <t>6 (1.34%)</t>
  </si>
  <si>
    <t>TraesCS6D03G0213300;TraesCS6D03G0213700</t>
  </si>
  <si>
    <t>2 (5.56%)</t>
  </si>
  <si>
    <t>TraesCS6B03G0314900;TraesCS6D03G0183600</t>
  </si>
  <si>
    <t>TraesCS7A03G0978800;TraesCS4B03G0301000</t>
  </si>
  <si>
    <t>TraesCS3A03G0359000;TraesCS6D03G0509900;TraesCS3D03G0347400</t>
  </si>
  <si>
    <t>3 (3.12%)</t>
  </si>
  <si>
    <t>TraesCS2D03G0831300;TraesCS3A03G0596000;TraesCS3D03G0550800;TraesCS5A03G0905200;TraesCS4A03G0621000</t>
  </si>
  <si>
    <t>5 (1.78%)</t>
  </si>
  <si>
    <t>TraesCS7B03G0600400;TraesCS7A03G0978800;TraesCS4B03G0301000;TraesCS2A03G0193500;TraesCS2D03G0193800</t>
  </si>
  <si>
    <t>5 (1.71%)</t>
  </si>
  <si>
    <t>TraesCS1A03G0514200;TraesCS1B03G0870100;TraesCS2B03G1233700</t>
  </si>
  <si>
    <t>3 (3.09%)</t>
  </si>
  <si>
    <t>3 (2.86%)</t>
  </si>
  <si>
    <t>4 (2.08%)</t>
  </si>
  <si>
    <t>TraesCS1A03G0514200;TraesCS5B03G1217900;TraesCS5A03G0438600;TraesCS7B03G0900400;TraesCS1B03G0870100;TraesCS2B03G1233700</t>
  </si>
  <si>
    <t>6 (1.5%)</t>
  </si>
  <si>
    <t>5 (1.91%)</t>
  </si>
  <si>
    <t>TraesCS3B03G0967400;TraesCS5B03G1217900;TraesCS1D03G0512000;TraesCS7B03G0019600;TraesCS7A03G0262100;TraesCS4A03G0164900</t>
  </si>
  <si>
    <t>6 (1.65%)</t>
  </si>
  <si>
    <t>3 (3.66%)</t>
  </si>
  <si>
    <t>TraesCS7B03G0019600;TraesCS7A03G0262100</t>
  </si>
  <si>
    <t>TraesCS1A03G0514200;TraesCS5B03G1217900;TraesCS5A03G0438600;TraesCS2D03G0481700;TraesCS7B03G0900400;TraesCS1B03G0870100;TraesCS7B03G0019600;TraesCS6B03G0173000;TraesCS2B03G1233700;TraesCS7A03G0262100</t>
  </si>
  <si>
    <t>10 (1.22%)</t>
  </si>
  <si>
    <t>5 (2.11%)</t>
  </si>
  <si>
    <t>TraesCS2D03G0709100;TraesCS7B03G0254600;TraesCS7B03G0772800;TraesCS1D03G1000900;TraesCS6B03G0761200;TraesCS2A03G0392600;TraesCS7B03G0839200;TraesCS2B03G0395600;TraesCS3A03G0876800;TraesCS4A03G1016800;TraesCS1B03G1236400;TraesCS2D03G0307900;TraesCS4D03G0799400;TraesCS4B03G0767200;TraesCS4D03G0688500;TraesCS6D03G0183600;TraesCS7D03G0268500;TraesCS2B03G0690200;TraesCS6B03G0821200;TraesCS5B03G0349100;TraesCS3B03G1515200;TraesCS1B03G0915800;TraesCS4B03G0812000;TraesCSU03G0076400;TraesCS4B03G0908400;TraesCS6B03G0314900</t>
  </si>
  <si>
    <t>26 (0.81%)</t>
  </si>
  <si>
    <t>5 (2.19%)</t>
  </si>
  <si>
    <t>TraesCS3B03G0967400;TraesCS5B03G1217900;TraesCS7B03G0019600;TraesCS7A03G0262100;TraesCS4A03G0164900</t>
  </si>
  <si>
    <t>3 (4.41%)</t>
  </si>
  <si>
    <t>TraesCS5A03G0550000;TraesCS7D03G0366000</t>
  </si>
  <si>
    <t>TraesCS7B03G0019600;TraesCS7A03G0262100;TraesCS4A03G0164900</t>
  </si>
  <si>
    <t>3 (4.69%)</t>
  </si>
  <si>
    <t>TraesCS1D03G1003400;TraesCS3D03G0796400</t>
  </si>
  <si>
    <t>5 (2.67%)</t>
  </si>
  <si>
    <t>5 (2.72%)</t>
  </si>
  <si>
    <t>5 (2.82%)</t>
  </si>
  <si>
    <t>TraesCS5B03G1217900;TraesCS7B03G0019600;TraesCS7A03G0262100</t>
  </si>
  <si>
    <t>3 (10.34%)</t>
  </si>
  <si>
    <t>TraesCS7A03G0995000;TraesCS7B03G0831100;TraesCS7D03G0951500</t>
  </si>
  <si>
    <t>TraesCS5B03G0123100;TraesCS3B03G1196400;TraesCS4B03G0301000;TraesCS2A03G0193500;TraesCS6B03G0801800;TraesCS2D03G0366700;TraesCS6B03G1090700;TraesCS5D03G0627300;TraesCS4A03G1016800;TraesCS6D03G0598000;TraesCS5B03G0159600;TraesCS2B03G1501600;TraesCS2D03G0869600;TraesCS7D03G0035800;TraesCS7A03G0040100;TraesCS5B03G0692600;TraesCS4A03G0170100;TraesCS3A03G0883700;TraesCS7A03G1148400;TraesCS5D03G1216600;TraesCS2D03G0869100;TraesCS5A03G1015100;TraesCS7B03G0600400;TraesCS7A03G0978800;TraesCS5B03G0758600;TraesCS2D03G0061200;TraesCS2B03G1500200;TraesCS2D03G0193800;TraesCS1D03G0668900;TraesCS7B03G0419400</t>
  </si>
  <si>
    <t>30 (1.12%)</t>
  </si>
  <si>
    <t>5 (10%)</t>
  </si>
  <si>
    <t>TraesCS7A03G0212600;TraesCS5D03G1120000;TraesCS7A03G0537300</t>
  </si>
  <si>
    <t>3 (1.86%)</t>
  </si>
  <si>
    <t>TraesCS2B03G1030300;TraesCS2D03G0877400;TraesCS2A03G1125000</t>
  </si>
  <si>
    <t>3 (1.82%)</t>
  </si>
  <si>
    <t>TraesCS2D03G0448100;TraesCS3D03G0218600;TraesCS5A03G0051400</t>
  </si>
  <si>
    <t>3 (1.96%)</t>
  </si>
  <si>
    <t>TraesCS3D03G0218600</t>
  </si>
  <si>
    <t>TraesCS3D03G0045300</t>
  </si>
  <si>
    <t>TraesCS3D03G0045300;TraesCS7D03G1022100</t>
  </si>
  <si>
    <t>TraesCS3A03G1145700</t>
  </si>
  <si>
    <t>TraesCS3B03G0946900;TraesCS3A03G0825100;TraesCS3B03G0457500</t>
  </si>
  <si>
    <t>TraesCS2A03G0908100;TraesCS5B03G0469300</t>
  </si>
  <si>
    <t>TraesCS2B03G0179300;TraesCS2A03G0132200</t>
  </si>
  <si>
    <t>TraesCS1D03G0051000;TraesCS1D03G0051100;TraesCS1A03G0098700;TraesCS1B03G0067900</t>
  </si>
  <si>
    <t>4 (1.64%)</t>
  </si>
  <si>
    <t>TraesCS5D03G1120000;TraesCS7A03G0537300</t>
  </si>
  <si>
    <t>TraesCS3B03G1510700;TraesCS4D03G0017700;TraesCS6D03G0743600;TraesCS5B03G1018300;TraesCS4B03G0025600;TraesCS4A03G0760000</t>
  </si>
  <si>
    <t>6 (1.44%)</t>
  </si>
  <si>
    <t>TraesCS3B03G0993400</t>
  </si>
  <si>
    <t>TraesCS3B03G0993400;TraesCS5B03G0469300</t>
  </si>
  <si>
    <t>TraesCS2D03G0448100;TraesCS5A03G0051400</t>
  </si>
  <si>
    <t>3 (2.44%)</t>
  </si>
  <si>
    <t>TraesCS2A03G0922100;TraesCS2D03G0861600</t>
  </si>
  <si>
    <t>TraesCS2A03G0256100;TraesCS2D03G0266400</t>
  </si>
  <si>
    <t>2 (4.76%)</t>
  </si>
  <si>
    <t>TraesCS4B03G0597200;TraesCS2A03G0256100;TraesCS2D03G0266400</t>
  </si>
  <si>
    <t>3 (2.83%)</t>
  </si>
  <si>
    <t>TraesCS5D03G0536900;TraesCS5A03G0570800</t>
  </si>
  <si>
    <t>TraesCS4A03G0793900;TraesCS4A03G0793700</t>
  </si>
  <si>
    <t>TraesCS5D03G0253700;TraesCS5B03G0257900;TraesCS5A03G0240400;TraesCS3D03G0758100</t>
  </si>
  <si>
    <t>4 (2.26%)</t>
  </si>
  <si>
    <t>TraesCS3A03G0954300;TraesCS5D03G0116600;TraesCS6D03G0025600</t>
  </si>
  <si>
    <t>3 (3.16%)</t>
  </si>
  <si>
    <t>TraesCS7D03G0700000;TraesCS2D03G0455400</t>
  </si>
  <si>
    <t>TraesCS7B03G0270600;TraesCS1B03G1053500;TraesCS7A03G0459000</t>
  </si>
  <si>
    <t>TraesCS7D03G0971000;TraesCS1D03G0614900;TraesCS1A03G0657000;TraesCS5A03G0051400;TraesCS1B03G0745100</t>
  </si>
  <si>
    <t>5 (1.92%)</t>
  </si>
  <si>
    <t>TraesCS4D03G0131000;TraesCS1A03G0954700;TraesCS2A03G1358300;TraesCS3A03G0047400;TraesCS5D03G1195500;TraesCS5A03G1010100;TraesCS3B03G0701900;TraesCS3B03G0718700;TraesCS1B03G1211700;TraesCS6D03G0244500;TraesCS7B03G0808000;TraesCS5A03G0133700;TraesCS6D03G0246400;TraesCS1B03G0006500;TraesCS1B03G0264000;TraesCS3D03G0121000;TraesCS5A03G1233400;TraesCS7B03G0872200;TraesCS3B03G0099400;TraesCS3D03G0039500;TraesCS5D03G0651000;TraesCS4A03G1235300;TraesCS5A03G0931000;TraesCS1B03G0152300;TraesCS2A03G1337900;TraesCS7B03G1062900;TraesCSU03G0275600;TraesCS1D03G0610200;TraesCS3B03G0055300;TraesCS6B03G1295100;TraesCS4D03G0174300;TraesCS2B03G1559800;TraesCS2D03G1193900;TraesCS1D03G0107200;TraesCS2D03G1082200;TraesCS3D03G0960100;TraesCS4A03G0596000;TraesCS4B03G0597200;TraesCS3D03G0045300;TraesCS5D03G0762600;TraesCS3B03G0127700;TraesCS4A03G1199200;TraesCS7D03G1129500;TraesCS3D03G1106500;TraesCS3D03G0571200;TraesCS1D03G0102800;TraesCS3D03G0296400;TraesCS3B03G1383800;TraesCS2D03G0130400</t>
  </si>
  <si>
    <t>49 (0.7%)</t>
  </si>
  <si>
    <t>TraesCS2B03G0351500;TraesCS2A03G0256000;TraesCS2D03G0266300;TraesCS2A03G0349200</t>
  </si>
  <si>
    <t>4 (2.6%)</t>
  </si>
  <si>
    <t>TraesCS3D03G0218600;TraesCS5A03G0051400</t>
  </si>
  <si>
    <t>TraesCS1A03G0487700;TraesCS1B03G0584600</t>
  </si>
  <si>
    <t>2 (8%)</t>
  </si>
  <si>
    <t>TraesCS3D03G0055200;TraesCS3B03G0111100;TraesCS3B03G0076700</t>
  </si>
  <si>
    <t>3 (3.9%)</t>
  </si>
  <si>
    <t>TraesCS4A03G0793900;TraesCS7B03G1227600;TraesCS4A03G0793700</t>
  </si>
  <si>
    <t>5 (2.18%)</t>
  </si>
  <si>
    <t>TraesCS4A03G0793900;TraesCS7B03G1227600;TraesCS4A03G0793700;TraesCS3D03G0218600</t>
  </si>
  <si>
    <t>4 (2.78%)</t>
  </si>
  <si>
    <t>TraesCS4D03G0131000;TraesCS4B03G0597200;TraesCS7D03G0971000;TraesCS3D03G0045300;TraesCS5A03G0051400;TraesCS3A03G0034800;TraesCS3B03G0701900;TraesCS3D03G0694700;TraesCS4A03G0130200;TraesCS6D03G0850400;TraesCS1D03G0614900;TraesCS1A03G0657000;TraesCS3D03G0571200;TraesCS1B03G0745100</t>
  </si>
  <si>
    <t>14 (1.09%)</t>
  </si>
  <si>
    <t>3 (4.23%)</t>
  </si>
  <si>
    <t>TraesCS6B03G1024400;TraesCS5B03G0102800;TraesCS6D03G0319100;TraesCS2A03G0414000;TraesCS4A03G0081700;TraesCS5B03G1019300;TraesCS6D03G0772400;TraesCS3B03G0518600;TraesCS2A03G0922100;TraesCS3A03G0954300;TraesCS2D03G0861600;TraesCS4B03G0664600;TraesCS7B03G0265800;TraesCS7B03G0376000;TraesCS2D03G1304100;TraesCS5D03G0923500;TraesCS4B03G0700400;TraesCS3A03G0109600;TraesCS4B03G0711100;TraesCS2A03G1202600;TraesCS2A03G1336700;TraesCS5A03G1120000;TraesCS2D03G0431000;TraesCS7A03G0212600;TraesCS4B03G0597200;TraesCS6D03G0771400;TraesCS2D03G0477200;TraesCS5D03G0116600;TraesCS7A03G0537300;TraesCS3B03G0076700;TraesCS2B03G1062100;TraesCS3D03G0055200;TraesCS5D03G0113800;TraesCS2A03G1130500;TraesCS3D03G0409200;TraesCS3D03G0602700;TraesCS5D03G1120000;TraesCS2A03G0256100;TraesCS3B03G0111100;TraesCS6B03G0838500;TraesCS2D03G0266400;TraesCS6D03G0025600</t>
  </si>
  <si>
    <t>42 (0.75%)</t>
  </si>
  <si>
    <t>4 (3.08%)</t>
  </si>
  <si>
    <t>TraesCS6B03G1024400;TraesCS5B03G0102800;TraesCS6D03G0319100;TraesCS2A03G0414000;TraesCS4A03G0081700;TraesCS5B03G1019300;TraesCS6D03G0772400;TraesCS3B03G0518600;TraesCS2A03G0922100;TraesCS3A03G0954300;TraesCS2D03G0861600;TraesCS4B03G0664600;TraesCS7B03G0265800;TraesCS7B03G0376000;TraesCS2D03G1304100;TraesCS5D03G0923500;TraesCS4B03G0700400;TraesCS3A03G0109600;TraesCS4B03G0711100;TraesCS2A03G1202600;TraesCS2A03G1336700;TraesCS5A03G1120000;TraesCS2D03G0431000;TraesCS7A03G0212600;TraesCS4B03G0597200;TraesCS6D03G0771400;TraesCS2D03G0477200;TraesCS5D03G0116600;TraesCS7A03G0537300;TraesCS3B03G0076700;TraesCS2B03G1062100;TraesCS3D03G0055200;TraesCS5D03G0113800;TraesCS2A03G1130500;TraesCS3D03G0409200;TraesCS3D03G0602700;TraesCS5D03G1120000;TraesCS2A03G0256100;TraesCS3B03G0111100;TraesCS3B03G0457500;TraesCS6B03G0838500;TraesCS2D03G0266400;TraesCS6D03G0025600</t>
  </si>
  <si>
    <t>43 (0.76%)</t>
  </si>
  <si>
    <t>TraesCS2A03G1337900;TraesCS1A03G0954700;TraesCS7B03G1062900;TraesCSU03G0275600;TraesCS2A03G1358300;TraesCS3A03G0047400;TraesCS1D03G0610200;TraesCS5D03G1195500;TraesCS5A03G1010100;TraesCS3B03G0055300;TraesCS6B03G1295100;TraesCS4D03G0174300;TraesCS2B03G1559800;TraesCS2D03G1193900;TraesCS1B03G1211700;TraesCS1D03G0107200;TraesCS2D03G1082200;TraesCS6D03G0244500;TraesCS7B03G0808000;TraesCS5A03G0133700;TraesCS6D03G0246400;TraesCS1B03G0006500;TraesCS1B03G0264000;TraesCS3D03G0121000;TraesCS3D03G0960100;TraesCS5A03G1233400;TraesCS4A03G0596000;TraesCS7B03G0872200;TraesCS3B03G0099400;TraesCS3D03G0039500;TraesCS5D03G0762600;TraesCS3B03G0127700;TraesCS5D03G0651000;TraesCS4A03G1199200;TraesCS4A03G1235300;TraesCS7D03G1129500;TraesCS3D03G1106500;TraesCS1D03G0102800;TraesCS5A03G0931000;TraesCS3D03G0296400;TraesCS3B03G1383800;TraesCS1B03G0152300;TraesCS2D03G0130400</t>
  </si>
  <si>
    <t>43 (0.77%)</t>
  </si>
  <si>
    <t>TraesCS4A03G0793900;TraesCS4A03G0793700;TraesCS3D03G0218600</t>
  </si>
  <si>
    <t>4 (3.74%)</t>
  </si>
  <si>
    <t>TraesCS7D03G0971000;TraesCS3D03G0045300;TraesCS5A03G0051400;TraesCS3A03G0034800;TraesCS3D03G0694700;TraesCS5B03G0577600;TraesCS4A03G0130200;TraesCS2D03G0448100;TraesCS3D03G0218600;TraesCS6D03G0850400;TraesCS1D03G0614900;TraesCS1A03G0657000;TraesCS1B03G0745100</t>
  </si>
  <si>
    <t>13 (1.28%)</t>
  </si>
  <si>
    <t>5 (2.89%)</t>
  </si>
  <si>
    <t>TraesCS2A03G1337900;TraesCS1A03G0954700;TraesCS7B03G1062900;TraesCSU03G0275600;TraesCS2A03G1358300;TraesCS3A03G0047400;TraesCS5D03G1195500;TraesCS5A03G1010100;TraesCS3B03G0055300;TraesCS6B03G1295100;TraesCS4D03G0174300;TraesCS2B03G1559800;TraesCS2D03G1193900;TraesCS1B03G1211700;TraesCS1D03G0107200;TraesCS2D03G1082200;TraesCS6D03G0244500;TraesCS7B03G0808000;TraesCS5A03G0133700;TraesCS6D03G0246400;TraesCS1B03G0006500;TraesCS1B03G0264000;TraesCS3D03G0121000;TraesCS3D03G0960100;TraesCS5A03G1233400;TraesCS4A03G0596000;TraesCS7B03G0872200;TraesCS3B03G0099400;TraesCS3D03G0039500;TraesCS5D03G0762600;TraesCS3B03G0127700;TraesCS5D03G0651000;TraesCS4A03G1199200;TraesCS4A03G1235300;TraesCS7D03G1129500;TraesCS3D03G1106500;TraesCS1D03G0102800;TraesCS5A03G0931000;TraesCS3D03G0296400;TraesCS3B03G1383800;TraesCS1B03G0152300;TraesCS2D03G0130400</t>
  </si>
  <si>
    <t>42 (0.8%)</t>
  </si>
  <si>
    <t>TraesCS3B03G0993400;TraesCS2B03G0351500;TraesCS2A03G0256000;TraesCS2D03G0266300</t>
  </si>
  <si>
    <t>TraesCS5D03G0253700;TraesCS5B03G0257900;TraesCS5A03G0240400</t>
  </si>
  <si>
    <t>TraesCS2A03G0922100;TraesCS2D03G0861600;TraesCS3D03G0055200;TraesCS3B03G0111100;TraesCS3B03G0076700</t>
  </si>
  <si>
    <t>5 (3.76%)</t>
  </si>
  <si>
    <t>TraesCS5D03G0253700;TraesCS4D03G0841300;TraesCS5B03G0257900;TraesCS2A03G0447600;TraesCS2B03G0829200;TraesCS2D03G0455400;TraesCSU03G0234700;TraesCS5A03G0570800;TraesCS7B03G0538200;TraesCS7D03G0700000;TraesCS5D03G0536900;TraesCS5A03G0240400;TraesCS3D03G0758100;TraesCS2B03G0570300</t>
  </si>
  <si>
    <t>14 (1.5%)</t>
  </si>
  <si>
    <t>TraesCS4D03G0131000;TraesCS1A03G0676700;TraesCS4B03G0597200;TraesCS7D03G0971000;TraesCS3D03G0045300;TraesCS5A03G0051400;TraesCS3A03G0034800;TraesCS3B03G0701900;TraesCS2B03G1326100;TraesCS3D03G0694700;TraesCS5B03G0577600;TraesCS4A03G0130200;TraesCS2D03G0448100;TraesCS3D03G0218600;TraesCS6D03G0850400;TraesCS4B03G0020700;TraesCS1D03G0614900;TraesCS1A03G0657000;TraesCS2A03G0234100;TraesCS2B03G0830300;TraesCS3D03G0571200;TraesCS1B03G0745100;TraesCS4B03G0019500</t>
  </si>
  <si>
    <t>23 (1.15%)</t>
  </si>
  <si>
    <t>5 (4.81%)</t>
  </si>
  <si>
    <t>TraesCS5B03G0469300;TraesCS2A03G0447600;TraesCS2D03G0455400;TraesCS2A03G0930400;TraesCS5A03G0570800;TraesCS1B03G0493300;TraesCS7B03G0538200;TraesCS2B03G0351500;TraesCS7D03G0700000;TraesCS2A03G0349200;TraesCS2A03G0908100;TraesCS6D03G0051900;TraesCS2A03G0194000;TraesCS3B03G0993400;TraesCS4D03G0841300;TraesCS1D03G0371000;TraesCS2B03G0829200;TraesCSU03G0234700;TraesCS2B03G0179300;TraesCS2A03G0132200;TraesCS6D03G0052000;TraesCS7A03G0733400;TraesCS5D03G0536900;TraesCS2A03G0256000;TraesCS3D03G0797000;TraesCS3B03G0696000;TraesCS2D03G0266300;TraesCS5B03G0582100;TraesCS2B03G0570300</t>
  </si>
  <si>
    <t>29 (1.08%)</t>
  </si>
  <si>
    <t>TraesCS6B03G1024400;TraesCS5B03G0102800;TraesCS6D03G0319100;TraesCS2A03G0414000;TraesCS4A03G0081700;TraesCS5B03G1019300;TraesCS6D03G0772400;TraesCS3B03G0518600;TraesCS2A03G0922100;TraesCS2D03G0861600;TraesCS4B03G0664600;TraesCS7B03G0265800;TraesCS7B03G0376000;TraesCS2D03G1304100;TraesCS5D03G0923500;TraesCS4B03G0700400;TraesCS2A03G1336700;TraesCS2D03G0431000;TraesCS7A03G0212600;TraesCS6D03G0771400;TraesCS2D03G0477200;TraesCS3B03G0076700;TraesCS2B03G1062100;TraesCS3D03G0055200;TraesCS5D03G0113800;TraesCS2A03G1130500;TraesCS3D03G0409200;TraesCS3D03G0602700;TraesCS5D03G1120000;TraesCS2A03G0256100;TraesCS3B03G0111100;TraesCS6B03G0838500;TraesCS2D03G0266400</t>
  </si>
  <si>
    <t>3 (18.75%)</t>
  </si>
  <si>
    <t>TraesCS2B03G0351500;TraesCS2A03G0256000;TraesCS2D03G0266300</t>
  </si>
  <si>
    <t>TraesCS5D03G0253700;TraesCS4D03G0841300;TraesCS5B03G0257900;TraesCS7D03G0700000;TraesCS2D03G0455400;TraesCS5D03G0536900;TraesCSU03G0234700;TraesCS5A03G0240400;TraesCS5A03G0570800</t>
  </si>
  <si>
    <t>9 (2.75%)</t>
  </si>
  <si>
    <t>TraesCS5D03G0253700;TraesCS5B03G0257900;TraesCS7D03G0700000;TraesCS2D03G0455400;TraesCS5D03G0536900;TraesCS5A03G0240400;TraesCS3D03G0758100;TraesCS5A03G0570800</t>
  </si>
  <si>
    <t>8 (3.33%)</t>
  </si>
  <si>
    <t>5 (7.25%)</t>
  </si>
  <si>
    <t>TraesCS2A03G0922100;TraesCS7A03G0212600;TraesCS2D03G0861600;TraesCS3D03G0055200;TraesCS4B03G0597200;TraesCS5D03G1120000;TraesCS3B03G0111100;TraesCS7A03G0537300;TraesCS3B03G0076700</t>
  </si>
  <si>
    <t>9 (3.1%)</t>
  </si>
  <si>
    <t>14 (1.98%)</t>
  </si>
  <si>
    <t>TraesCS2A03G0922100;TraesCS2D03G0861600;TraesCS3D03G0055200;TraesCS4B03G0597200;TraesCS3B03G0111100;TraesCS3B03G0076700</t>
  </si>
  <si>
    <t>6 (6.19%)</t>
  </si>
  <si>
    <t>14 (2.07%)</t>
  </si>
  <si>
    <t>TraesCS5D03G0253700;TraesCS5B03G0257900;TraesCS7D03G0700000;TraesCS2D03G0455400;TraesCS5D03G0536900;TraesCS5A03G0240400;TraesCS5A03G0570800</t>
  </si>
  <si>
    <t>7 (6.86%)</t>
  </si>
  <si>
    <t>TraesCS2A03G0908100;TraesCS3B03G0993400;TraesCS5B03G0469300;TraesCS4D03G0841300;TraesCS2A03G0447600;TraesCS1D03G0371000;TraesCS2B03G0829200;TraesCS2D03G0455400;TraesCSU03G0234700;TraesCS5A03G0570800;TraesCS1B03G0493300;TraesCS7B03G0538200;TraesCS7D03G0700000;TraesCS7A03G0733400;TraesCS5D03G0536900;TraesCS5B03G0582100;TraesCS2B03G0570300</t>
  </si>
  <si>
    <t>17 (2.5%)</t>
  </si>
  <si>
    <t>TraesCS2A03G0908100;TraesCS5B03G0469300;TraesCS2A03G0447600;TraesCS1D03G0371000;TraesCS2B03G0829200;TraesCS2D03G0455400;TraesCS5A03G0570800;TraesCS1B03G0493300;TraesCS7B03G0538200;TraesCS7D03G0700000;TraesCS7A03G0733400;TraesCS5D03G0536900;TraesCS5B03G0582100;TraesCS2B03G0570300</t>
  </si>
  <si>
    <t>14 (3.93%)</t>
  </si>
  <si>
    <t>TraesCS2A03G0908100;TraesCS5B03G0469300;TraesCS2A03G0447600;TraesCS1D03G0371000;TraesCS2B03G0829200;TraesCS2D03G0455400;TraesCS5A03G0570800;TraesCS1B03G0493300;TraesCS2B03G0179300;TraesCS7B03G0538200;TraesCS2A03G0132200;TraesCS7D03G0700000;TraesCS7A03G0733400;TraesCS5D03G0536900;TraesCS5B03G0582100;TraesCS2B03G0570300</t>
  </si>
  <si>
    <t>16 (3.49%)</t>
  </si>
  <si>
    <t>17 (3.32%)</t>
  </si>
  <si>
    <t>14 (4.56%)</t>
  </si>
  <si>
    <t>TraesCS1B03G0493300;TraesCS7B03G0538200;TraesCS7D03G0700000;TraesCS2A03G0447600;TraesCS7A03G0733400;TraesCS1D03G0371000;TraesCS2B03G0829200;TraesCS2D03G0455400;TraesCS5D03G0536900;TraesCS5B03G0582100;TraesCS2B03G0570300;TraesCS5A03G0570800</t>
  </si>
  <si>
    <t>12 (5.94%)</t>
  </si>
  <si>
    <t>17 (3.82%)</t>
  </si>
  <si>
    <t>17 (3.84%)</t>
  </si>
  <si>
    <t>14 (5.15%)</t>
  </si>
  <si>
    <t>TraesCS2A03G0908100;TraesCS3B03G0993400;TraesCS5B03G0469300;TraesCS4D03G0841300;TraesCS2A03G0447600;TraesCS1D03G0371000;TraesCS2B03G0829200;TraesCS2D03G0455400;TraesCSU03G0234700;TraesCS5A03G0570800;TraesCS1B03G0493300;TraesCS7B03G0538200;TraesCS2B03G0351500;TraesCS7D03G0700000;TraesCS7A03G0733400;TraesCS5D03G0536900;TraesCS2A03G0256000;TraesCS2D03G0266300;TraesCS5B03G0582100;TraesCS2A03G0349200;TraesCS2B03G0570300</t>
  </si>
  <si>
    <t>12 (7.36%)</t>
  </si>
  <si>
    <t>12 (8.16%)</t>
  </si>
  <si>
    <t>14 (6.45%)</t>
  </si>
  <si>
    <t>12 (11.11%)</t>
  </si>
  <si>
    <t>TraesCS5D03G1101100</t>
  </si>
  <si>
    <t>1 (3.45%)</t>
  </si>
  <si>
    <t>TraesCS5A03G0417900</t>
  </si>
  <si>
    <t>TraesCS5A03G0239500;TraesCS5B03G0257100;TraesCS5A03G0417900</t>
  </si>
  <si>
    <t>3 (0.63%)</t>
  </si>
  <si>
    <t>TraesCS3B03G0699500</t>
  </si>
  <si>
    <t>1 (3.57%)</t>
  </si>
  <si>
    <t>TraesCS2D03G0999400;TraesCS2D03G0432300;TraesCS5D03G1101100;TraesCS4A03G0260800;TraesCS6B03G1017200</t>
  </si>
  <si>
    <t>5 (0.43%)</t>
  </si>
  <si>
    <t>TraesCS1A03G0248900</t>
  </si>
  <si>
    <t>TraesCS7D03G0596600</t>
  </si>
  <si>
    <t>1 (3.85%)</t>
  </si>
  <si>
    <t>TraesCS4D03G0461700</t>
  </si>
  <si>
    <t>1 (3.7%)</t>
  </si>
  <si>
    <t>TraesCS4A03G0260800</t>
  </si>
  <si>
    <t>TraesCS2D03G0999400</t>
  </si>
  <si>
    <t>1 (4.17%)</t>
  </si>
  <si>
    <t>TraesCS3B03G1129700;TraesCS2D03G0999400;TraesCS3A03G0980900;TraesCS3D03G0916100</t>
  </si>
  <si>
    <t>4 (0.53%)</t>
  </si>
  <si>
    <t>1 (4%)</t>
  </si>
  <si>
    <t>4 (0.51%)</t>
  </si>
  <si>
    <t>TraesCS2D03G0595300</t>
  </si>
  <si>
    <t>1 (4.35%)</t>
  </si>
  <si>
    <t>TraesCS2D03G0999400;TraesCS2D03G0432300</t>
  </si>
  <si>
    <t>2 (1.04%)</t>
  </si>
  <si>
    <t>TraesCS7D03G0596600;TraesCS5B03G0793300;TraesCS7A03G1223100;TraesCS5D03G0718800;TraesCS2B03G1305800;TraesCS6D03G0533600;TraesCS1B03G0665600;TraesCS5B03G0893800;TraesCS3D03G0823900;TraesCS2B03G1431800;TraesCS6B03G0147700;TraesCS3B03G0699500;TraesCS7B03G1108000;TraesCS5B03G0791700;TraesCS5A03G1006300;TraesCS3A03G0393200</t>
  </si>
  <si>
    <t>16 (0.27%)</t>
  </si>
  <si>
    <t>TraesCS7D03G0596600;TraesCS5B03G0793300;TraesCS7A03G1223100;TraesCS5D03G0718800;TraesCS2B03G1305800;TraesCS6D03G0533600;TraesCS1B03G0665600;TraesCS3D03G0823900;TraesCS2B03G1431800;TraesCS6B03G0147700;TraesCS6D03G0675000;TraesCS3B03G0699500;TraesCS7B03G1108000;TraesCS5B03G0791700;TraesCS5A03G1006300;TraesCS3A03G0393200</t>
  </si>
  <si>
    <t>TraesCS3A03G0396300;TraesCS5B03G0793300;TraesCS7A03G1223100;TraesCS5D03G0718800;TraesCS6D03G0533600;TraesCS1B03G0665600;TraesCS3D03G0823900;TraesCS2B03G1431800;TraesCS4B03G0945200;TraesCS7B03G1108000;TraesCS5B03G0791700;TraesCS5A03G1006300;TraesCS3A03G0393200</t>
  </si>
  <si>
    <t>13 (0.29%)</t>
  </si>
  <si>
    <t>TraesCS7D03G0596600;TraesCS1A03G0176100;TraesCS7B03G0737900</t>
  </si>
  <si>
    <t>3 (0.68%)</t>
  </si>
  <si>
    <t>1 (5%)</t>
  </si>
  <si>
    <t>1 (4.76%)</t>
  </si>
  <si>
    <t>TraesCS3B03G0699500;TraesCS7B03G0737900</t>
  </si>
  <si>
    <t>2 (1.26%)</t>
  </si>
  <si>
    <t>TraesCS3B03G1129700;TraesCS2D03G0999400;TraesCS2D03G0432300;TraesCS3A03G0980900;TraesCS3D03G0916100</t>
  </si>
  <si>
    <t>5 (0.49%)</t>
  </si>
  <si>
    <t>TraesCS5B03G1204400;TraesCS2D03G0195800</t>
  </si>
  <si>
    <t>TraesCS2D03G0195800</t>
  </si>
  <si>
    <t>1 (5.56%)</t>
  </si>
  <si>
    <t>1 (5.26%)</t>
  </si>
  <si>
    <t>TraesCS1D03G0303600;TraesCS3B03G0397400</t>
  </si>
  <si>
    <t>2 (1.16%)</t>
  </si>
  <si>
    <t>TraesCS1D03G0303600;TraesCS3B03G0397400;TraesCS5B03G0893800</t>
  </si>
  <si>
    <t>3 (0.79%)</t>
  </si>
  <si>
    <t>TraesCS7D03G0596600;TraesCS5B03G0793300;TraesCS7A03G1223100;TraesCS5D03G0718800;TraesCS2B03G1305800;TraesCS6D03G0533600;TraesCS1B03G0665600;TraesCS5B03G0893800;TraesCS3D03G0823900;TraesCS2B03G1431800;TraesCS6B03G0147700;TraesCS6D03G0675000;TraesCS3B03G0699500;TraesCS7B03G1108000;TraesCS5B03G0791700;TraesCS5A03G1006300;TraesCS3A03G0393200</t>
  </si>
  <si>
    <t>17 (0.28%)</t>
  </si>
  <si>
    <t>TraesCS1D03G0735500;TraesCS1A03G0768600</t>
  </si>
  <si>
    <t>2 (1.18%)</t>
  </si>
  <si>
    <t>TraesCS7B03G0737900</t>
  </si>
  <si>
    <t>TraesCS7B03G0313200</t>
  </si>
  <si>
    <t>TraesCS6B03G0147700</t>
  </si>
  <si>
    <t>TraesCS3B03G1129700;TraesCS3A03G0980900;TraesCS3D03G0916100</t>
  </si>
  <si>
    <t>3 (0.97%)</t>
  </si>
  <si>
    <t>3 (0.91%)</t>
  </si>
  <si>
    <t>3 (0.96%)</t>
  </si>
  <si>
    <t>3 (0.9%)</t>
  </si>
  <si>
    <t>TraesCS2D03G0432300</t>
  </si>
  <si>
    <t>3 (0.82%)</t>
  </si>
  <si>
    <t>TraesCS3A03G0396300;TraesCS1A03G0248900;TraesCS4D03G0461700;TraesCS7D03G0596600;TraesCS5B03G0793300;TraesCS7A03G1223100;TraesCS5D03G0718800;TraesCS6D03G0533600;TraesCS1B03G0665600;TraesCS3D03G0823900;TraesCS2B03G1431800;TraesCS6B03G0147700;TraesCS3B03G0699500;TraesCS4B03G0945200;TraesCS7B03G1108000;TraesCS2D03G0466100;TraesCS5B03G0791700;TraesCS5A03G1006300;TraesCS5D03G1189100;TraesCS3A03G0393200</t>
  </si>
  <si>
    <t>20 (0.27%)</t>
  </si>
  <si>
    <t>TraesCS7B03G0877800</t>
  </si>
  <si>
    <t>TraesCS5D03G1189100</t>
  </si>
  <si>
    <t>TraesCS5B03G1204400</t>
  </si>
  <si>
    <t>TraesCS3B03G1129700;TraesCS5D03G1101100;TraesCS3A03G0980900;TraesCS3D03G0916100</t>
  </si>
  <si>
    <t>4 (0.75%)</t>
  </si>
  <si>
    <t>3 (1.09%)</t>
  </si>
  <si>
    <t>TraesCS3B03G1129700;TraesCS3A03G0980900;TraesCS3D03G0916100;TraesCS4A03G0260800</t>
  </si>
  <si>
    <t>4 (0.77%)</t>
  </si>
  <si>
    <t>4 (0.76%)</t>
  </si>
  <si>
    <t>4 (0.73%)</t>
  </si>
  <si>
    <t>2 (2.06%)</t>
  </si>
  <si>
    <t>2 (1.9%)</t>
  </si>
  <si>
    <t>TraesCS5D03G1101100;TraesCS2D03G0195800</t>
  </si>
  <si>
    <t>2 (2.2%)</t>
  </si>
  <si>
    <t>2 (2.22%)</t>
  </si>
  <si>
    <t>TraesCS1D03G0303600;TraesCS3B03G0397400;TraesCS7B03G0737900</t>
  </si>
  <si>
    <t>3 (0.99%)</t>
  </si>
  <si>
    <t>TraesCS2B03G1431800;TraesCS5B03G0793300;TraesCS7A03G1223100;TraesCS5D03G0718800;TraesCS2B03G1305800;TraesCS7B03G1108000;TraesCS6D03G0533600;TraesCS5B03G0791700;TraesCS1B03G0665600;TraesCS5A03G1006300;TraesCS3A03G0393200;TraesCS3D03G0823900</t>
  </si>
  <si>
    <t>12 (0.35%)</t>
  </si>
  <si>
    <t>20 (0.28%)</t>
  </si>
  <si>
    <t>20 (0.29%)</t>
  </si>
  <si>
    <t>TraesCS1A03G0176100;TraesCS7B03G0737900</t>
  </si>
  <si>
    <t>2 (2%)</t>
  </si>
  <si>
    <t>TraesCS1D03G0303600;TraesCS2D03G0466100;TraesCS3B03G0397400</t>
  </si>
  <si>
    <t>3 (1.15%)</t>
  </si>
  <si>
    <t>2 (2.27%)</t>
  </si>
  <si>
    <t>TraesCS3B03G1129700;TraesCS2D03G0999400;TraesCS2D03G0432300;TraesCS5D03G1101100;TraesCS3A03G0980900;TraesCS3D03G0916100;TraesCS4A03G0260800;TraesCS6B03G1017200</t>
  </si>
  <si>
    <t>8 (0.46%)</t>
  </si>
  <si>
    <t>2 (2.41%)</t>
  </si>
  <si>
    <t>TraesCS2B03G0445800;TraesCS2A03G0325500;TraesCS6B03G0223800</t>
  </si>
  <si>
    <t>3 (1.23%)</t>
  </si>
  <si>
    <t>5 (0.7%)</t>
  </si>
  <si>
    <t>TraesCS5B03G1204400;TraesCS1D03G0735500;TraesCS2D03G0195800;TraesCS1A03G0768600</t>
  </si>
  <si>
    <t>4 (0.96%)</t>
  </si>
  <si>
    <t>3 (1.44%)</t>
  </si>
  <si>
    <t>TraesCS5B03G1204400;TraesCS2D03G0595300;TraesCS2D03G0195800</t>
  </si>
  <si>
    <t>3 (1.47%)</t>
  </si>
  <si>
    <t>TraesCS2D03G0999400;TraesCS2D03G0432300;TraesCS5D03G1101100;TraesCS4A03G0260800</t>
  </si>
  <si>
    <t>4 (1%)</t>
  </si>
  <si>
    <t>TraesCS3B03G1129700;TraesCS3D03G0036200;TraesCS5D03G1101100;TraesCS3A03G0980900;TraesCS3D03G0916100;TraesCS2D03G0195800;TraesCS7B03G0877800</t>
  </si>
  <si>
    <t>7 (0.58%)</t>
  </si>
  <si>
    <t>TraesCS5B03G1204400;TraesCS1D03G0735500;TraesCS1A03G0768600</t>
  </si>
  <si>
    <t>3 (1.62%)</t>
  </si>
  <si>
    <t>3 (1.63%)</t>
  </si>
  <si>
    <t>3 (1.78%)</t>
  </si>
  <si>
    <t>TraesCS3A03G0396300;TraesCS7D03G0596600;TraesCS5B03G0793300;TraesCS7A03G1223100;TraesCS5D03G0718800;TraesCS6D03G0533600;TraesCS1B03G0665600;TraesCS3D03G0823900;TraesCS2B03G1431800;TraesCS6B03G0147700;TraesCS3B03G0699500;TraesCS7B03G1108000;TraesCS5B03G0791700;TraesCS5A03G1006300;TraesCS5D03G1189100;TraesCS3A03G0393200</t>
  </si>
  <si>
    <t>16 (0.36%)</t>
  </si>
  <si>
    <t>3 (1.81%)</t>
  </si>
  <si>
    <t>7 (0.64%)</t>
  </si>
  <si>
    <t>TraesCS3B03G1129700;TraesCS3A03G0980900;TraesCS3D03G0916100;TraesCS4A03G0260800;TraesCS1D03G0303600;TraesCS3B03G0397400;TraesCS5B03G0893800</t>
  </si>
  <si>
    <t>7 (0.65%)</t>
  </si>
  <si>
    <t>TraesCS5D03G0843000;TraesCS5B03G0926900</t>
  </si>
  <si>
    <t>4 (1.28%)</t>
  </si>
  <si>
    <t>2 (6.25%)</t>
  </si>
  <si>
    <t>TraesCS3B03G1129700;TraesCS2D03G0999400;TraesCS2D03G0432300;TraesCS5D03G1101100;TraesCS3A03G0980900;TraesCS3D03G0916100;TraesCS4A03G0260800</t>
  </si>
  <si>
    <t>TraesCS7D03G0596600;TraesCS5B03G0793300;TraesCS7A03G1223100;TraesCS5D03G0718800;TraesCS6D03G0533600;TraesCS1B03G0665600;TraesCS3D03G0823900;TraesCS2B03G1431800;TraesCS6B03G0147700;TraesCS3B03G0699500;TraesCS7B03G1108000;TraesCS5B03G0791700;TraesCS5A03G1006300;TraesCS3A03G0393200</t>
  </si>
  <si>
    <t>14 (0.49%)</t>
  </si>
  <si>
    <t>TraesCS3B03G1129700;TraesCS2D03G0999400;TraesCS5B03G0793300;TraesCS5D03G0718800;TraesCS2A03G1350000;TraesCS3A03G0980900;TraesCS3D03G0916100;TraesCS4A03G0260800;TraesCS6D03G0533600;TraesCS1B03G0665600;TraesCS3B03G0666300;TraesCS3D03G0823900;TraesCS5D03G0858000;TraesCS2B03G1431800;TraesCS3B03G0784600;TraesCS5B03G1052500;TraesCS3A03G0585900;TraesCS5B03G0791700;TraesCS5A03G1006300;TraesCS3A03G0393200</t>
  </si>
  <si>
    <t>20 (0.4%)</t>
  </si>
  <si>
    <t>TraesCS3B03G1129700;TraesCS5B03G0793300;TraesCS5D03G0718800;TraesCS2A03G1350000;TraesCS3A03G0980900;TraesCS3D03G0916100;TraesCS4A03G0260800;TraesCS6D03G0533600;TraesCS1B03G0665600;TraesCS3B03G0666300;TraesCS3D03G0823900;TraesCS5D03G0858000;TraesCS2B03G1431800;TraesCS3B03G0784600;TraesCS5B03G1052500;TraesCS3A03G0585900;TraesCS5B03G0529700;TraesCS5B03G0791700;TraesCS5A03G1006300;TraesCS3A03G0393200</t>
  </si>
  <si>
    <t>20 (0.41%)</t>
  </si>
  <si>
    <t>14 (0.53%)</t>
  </si>
  <si>
    <t>TraesCS3B03G1129700;TraesCS5B03G0793300;TraesCS5D03G0718800;TraesCS2A03G1350000;TraesCS3A03G0980900;TraesCS3D03G0916100;TraesCS4A03G0260800;TraesCS6D03G0533600;TraesCS1B03G0665600;TraesCS3B03G0666300;TraesCS3D03G0823900;TraesCS5D03G0858000;TraesCS2B03G1431800;TraesCS3B03G0784600;TraesCS5B03G1052500;TraesCS3A03G0585900;TraesCS5B03G0791700;TraesCS5A03G1006300;TraesCS3A03G0393200</t>
  </si>
  <si>
    <t>19 (0.43%)</t>
  </si>
  <si>
    <t>TraesCS2B03G1431800;TraesCS5B03G0793300;TraesCS7A03G1223100;TraesCS5D03G0718800;TraesCS7B03G1108000;TraesCS6D03G0533600;TraesCS5B03G0791700;TraesCS1B03G0665600;TraesCS5A03G1006300;TraesCS3A03G0393200;TraesCS3D03G0823900</t>
  </si>
  <si>
    <t>11 (0.65%)</t>
  </si>
  <si>
    <t>TraesCS3B03G1129700;TraesCS2D03G0999400;TraesCS5B03G0793300;TraesCS5D03G0718800;TraesCS2A03G1350000;TraesCS3A03G0980900;TraesCS3D03G0916100;TraesCS4A03G0260800;TraesCS6D03G0533600;TraesCS1B03G0665600;TraesCS3B03G0666300;TraesCS3D03G0823900;TraesCS5D03G0858000;TraesCS2B03G1431800;TraesCS3B03G0784600;TraesCS5B03G1052500;TraesCS3A03G0585900;TraesCS4B03G0945200;TraesCS5B03G0791700;TraesCS5A03G1006300;TraesCS3A03G0393200</t>
  </si>
  <si>
    <t>21 (0.41%)</t>
  </si>
  <si>
    <t>TraesCS7D03G0596600;TraesCS5B03G0793300;TraesCS7A03G1223100;TraesCS5D03G0718800;TraesCS6D03G0533600;TraesCS1B03G0665600;TraesCS3D03G0823900;TraesCS2B03G1431800;TraesCS6B03G0147700;TraesCS7B03G1108000;TraesCS5B03G0791700;TraesCS5A03G1006300;TraesCS3A03G0393200</t>
  </si>
  <si>
    <t>13 (0.58%)</t>
  </si>
  <si>
    <t>19 (0.44%)</t>
  </si>
  <si>
    <t>TraesCS3B03G1129700;TraesCS2D03G0999400;TraesCS5B03G0793300;TraesCS5D03G0718800;TraesCS2A03G1350000;TraesCS3A03G0980900;TraesCS3D03G0916100;TraesCS4A03G0260800;TraesCS6D03G0533600;TraesCS1B03G0665600;TraesCS3B03G0666300;TraesCS3D03G0823900;TraesCS5D03G0858000;TraesCS2B03G1431800;TraesCS3B03G0784600;TraesCS5B03G1052500;TraesCS3A03G0585900;TraesCS4B03G0945200;TraesCS5B03G0529700;TraesCS5B03G0791700;TraesCS5A03G1006300;TraesCS3A03G0393200</t>
  </si>
  <si>
    <t>22 (0.41%)</t>
  </si>
  <si>
    <t>3 (5.77%)</t>
  </si>
  <si>
    <t>TraesCS3B03G1129700;TraesCS5B03G0793300;TraesCS5D03G0718800;TraesCS2A03G1350000;TraesCS3A03G0980900;TraesCS3D03G0916100;TraesCS4A03G0260800;TraesCS6D03G0533600;TraesCS1B03G0665600;TraesCS3B03G0666300;TraesCS3D03G0823900;TraesCS5D03G0858000;TraesCS2B03G1431800;TraesCS3B03G0784600;TraesCS5B03G1052500;TraesCS3A03G0585900;TraesCS4B03G0945200;TraesCS5B03G0791700;TraesCS5A03G1006300;TraesCS3A03G0393200</t>
  </si>
  <si>
    <t>20 (0.43%)</t>
  </si>
  <si>
    <t>20 (0.44%)</t>
  </si>
  <si>
    <t>22 (0.42%)</t>
  </si>
  <si>
    <t>TraesCS3B03G1129700;TraesCS2D03G0432300;TraesCS2A03G1350000;TraesCS3A03G0980900;TraesCS6D03G0533600;TraesCS5A03G0239500;TraesCS5B03G0257100;TraesCS3D03G0823900;TraesCS5D03G0858000;TraesCS5B03G1052500;TraesCS3A03G0585900;TraesCS4B03G0945200;TraesCS5B03G0791700;TraesCS5A03G0244600;TraesCS5A03G1006300;TraesCS2D03G0999400;TraesCS5B03G0793300;TraesCS5D03G0718800;TraesCS3D03G0916100;TraesCS4A03G0260800;TraesCS1B03G0665600;TraesCS3B03G0666300;TraesCS2B03G1431800;TraesCS5A03G0905000;TraesCS3B03G0784600;TraesCS3A03G0393200;TraesCS5D03G0867000</t>
  </si>
  <si>
    <t>27 (0.39%)</t>
  </si>
  <si>
    <t>TraesCS3B03G1129700;TraesCS2D03G0432300;TraesCS2A03G1350000;TraesCS3A03G0980900;TraesCS6D03G0533600;TraesCS5A03G0239500;TraesCS5B03G0257100;TraesCS3D03G0823900;TraesCS5D03G0858000;TraesCS5B03G1052500;TraesCS3A03G0585900;TraesCS4B03G0945200;TraesCS5B03G0791700;TraesCS5A03G0244600;TraesCS5A03G1006300;TraesCS2D03G0999400;TraesCS5B03G0793300;TraesCS5D03G0718800;TraesCS3D03G0916100;TraesCS4A03G0260800;TraesCS1B03G0665600;TraesCS3B03G0666300;TraesCS2B03G1431800;TraesCS5A03G0905000;TraesCS3B03G0784600;TraesCS5D03G1101100;TraesCS5B03G0529700;TraesCS3A03G0393200;TraesCS5D03G0867000</t>
  </si>
  <si>
    <t>29 (0.39%)</t>
  </si>
  <si>
    <t>4 (8.51%)</t>
  </si>
  <si>
    <t>73 (2.72%)</t>
  </si>
  <si>
    <t>TraesCS3A03G1130300;TraesCS5A03G0720100;TraesCS7A03G0018100;TraesCS3B03G0757500;TraesCS2D03G0679000;TraesCS2B03G0950100;TraesCS1A03G0776200;TraesCS4D03G0811800;TraesCS1A03G1030200;TraesCS3B03G1306500;TraesCS7D03G0020100;TraesCS3A03G1125900;TraesCS1A03G0697800;TraesCS2A03G1298700;TraesCS2B03G1488800;TraesCS3B03G1319800;TraesCS1D03G0990500;TraesCS4A03G1224500;TraesCS2D03G1262100;TraesCS2A03G0857700;TraesCS4A03G1224300;TraesCS3B03G1319000;TraesCS4A03G0221600;TraesCS2A03G0857500;TraesCS3D03G1048700;TraesCS5D03G1214500;TraesCS2D03G0798400;TraesCS5B03G0999600;TraesCS2B03G0270400;TraesCS3D03G1052000;TraesCS5D03G0905700;TraesCS7A03G0018600;TraesCS3A03G1126300;TraesCS4A03G0801300;TraesCS4A03G1223500;TraesCS2A03G0199600;TraesCS3A03G1126500;TraesCS5A03G0720000;TraesCS1A03G0692100;TraesCS2D03G0799000;TraesCS3D03G0373400;TraesCS2B03G0582800;TraesCS3B03G1312000;TraesCS3A03G0663900;TraesCS5B03G1349500;TraesCS7D03G0021600;TraesCS2D03G0454900;TraesCS3B03G1306400;TraesCS3D03G1053700;TraesCS7D03G0123600;TraesCS3D03G1055800;TraesCS7A03G0019700;TraesCS3A03G1131900;TraesCS1A03G0542400;TraesCS2A03G0857600;TraesCS3B03G1317800;TraesCS4A03G0309800;TraesCS3D03G1048800;TraesCS3B03G1311100;TraesCS7D03G0020400;TraesCS5B03G0758200;TraesCS1D03G0523300;TraesCS2B03G0949900;TraesCS3D03G0606700;TraesCS2D03G0455600;TraesCS3D03G0606900;TraesCS2B03G0570500;TraesCS4D03G0449200;TraesCS3D03G1056700;TraesCS3B03G1307400;TraesCS3A03G1134100;TraesCS7B03G0998600;TraesCS5D03G0687700</t>
  </si>
  <si>
    <t>aminoglycan metabolic process</t>
  </si>
  <si>
    <t>16 (21.05%)</t>
  </si>
  <si>
    <t>TraesCS1A03G0542400;TraesCS2A03G0857700;TraesCS2A03G0857600;TraesCS3B03G0757500;TraesCS2D03G0799000;TraesCS2B03G0950100;TraesCS2A03G0857500;TraesCS3A03G0663900;TraesCS1D03G0523300;TraesCS2B03G0949900;TraesCS2D03G0798400;TraesCS5B03G0999600;TraesCS3D03G0606700;TraesCS3D03G0606900;TraesCS5D03G0905700;TraesCS7B03G0998600</t>
  </si>
  <si>
    <t>aminoglycan catabolic process</t>
  </si>
  <si>
    <t>chitin metabolic process</t>
  </si>
  <si>
    <t>amino sugar catabolic process</t>
  </si>
  <si>
    <t>glucosamine-containing compound catabolic process</t>
  </si>
  <si>
    <t>chitin catabolic process</t>
  </si>
  <si>
    <t>glucosamine-containing compound metabolic process</t>
  </si>
  <si>
    <t>16 (20.25%)</t>
  </si>
  <si>
    <t>cell wall macromolecule catabolic process</t>
  </si>
  <si>
    <t>16 (17.58%)</t>
  </si>
  <si>
    <t>amino sugar metabolic process</t>
  </si>
  <si>
    <t>16 (16.33%)</t>
  </si>
  <si>
    <t>carbohydrate derivative catabolic process</t>
  </si>
  <si>
    <t>16 (11.11%)</t>
  </si>
  <si>
    <t>TraesCS1A03G0542400;TraesCS2A03G0857700;TraesCS2A03G0857600;TraesCS3B03G0757500;TraesCS2D03G0799000;TraesCS2B03G0950100;TraesCS4A03G0221600;TraesCS2A03G0857500;TraesCS3A03G0663900;TraesCS1D03G0523300;TraesCS2B03G0949900;TraesCS2D03G0798400;TraesCS5B03G0999600;TraesCS3D03G0606700;TraesCS3D03G0606900;TraesCS5D03G0905700;TraesCS7B03G0998600</t>
  </si>
  <si>
    <t>organonitrogen compound catabolic process</t>
  </si>
  <si>
    <t>32 (2.74%)</t>
  </si>
  <si>
    <t>TraesCS3B03G0757500;TraesCS2D03G0799000;TraesCS2B03G0950100;TraesCS3A03G0663900;TraesCS2B03G1014000;TraesCS4A03G1039100;TraesCS1D03G0078800;TraesCS2A03G0922900;TraesCS2A03G0922600;TraesCS1A03G0542400;TraesCS2A03G0857700;TraesCS2A03G0857600;TraesCS6D03G0324300;TraesCS2A03G0857500;TraesCS2D03G0863100;TraesCS3D03G1180200;TraesCS1D03G0523300;TraesCS2B03G0949900;TraesCS2B03G1015000;TraesCS2D03G0798400;TraesCS3A03G1250800;TraesCS3D03G1180400;TraesCS5B03G0999600;TraesCS2B03G1015300;TraesCS3D03G0606700;TraesCS2D03G0862600;TraesCS3D03G0606900;TraesCS3B03G1494600;TraesCS5D03G0905700;TraesCS3B03G1494300;TraesCS3A03G1250900;TraesCS7B03G0998600</t>
  </si>
  <si>
    <t>TraesCS3D03G0684200;TraesCS3B03G0757500;TraesCS2D03G0799000;TraesCS2B03G0950100;TraesCS5A03G1161000;TraesCS3A03G0663900;TraesCS6B03G0856800;TraesCS4A03G0833100;TraesCS2D03G0454900;TraesCS3A03G0742300;TraesCS3B03G0848000;TraesCS5B03G1309300;TraesCS1A03G0542400;TraesCS2A03G0857700;TraesCS2A03G0857600;TraesCS4A03G0221600;TraesCS2A03G0857500;TraesCS1D03G0523300;TraesCS2B03G0949900;TraesCS2D03G0798400;TraesCS5B03G0999600;TraesCS3D03G0606700;TraesCS2D03G0455600;TraesCS3D03G0606900;TraesCS2B03G0570500;TraesCS5D03G0905700;TraesCS7B03G0998600</t>
  </si>
  <si>
    <t>18 (4.22%)</t>
  </si>
  <si>
    <t>TraesCS3D03G0911100;TraesCS7D03G0362800;TraesCS3B03G0757500;TraesCS7D03G1290300;TraesCS2D03G0679000;TraesCS5A03G0484700;TraesCS5B03G0483900;TraesCS1D03G0835000;TraesCS2B03G1515500;TraesCS3D03G1048800;TraesCS4D03G0629500;TraesCS1D03G0630400;TraesCS3A03G0663900;TraesCS3A03G1118700;TraesCS2D03G1278500;TraesCS3D03G0606700;TraesCS3D03G1160600;TraesCS3A03G1217600</t>
  </si>
  <si>
    <t>8 (14.29%)</t>
  </si>
  <si>
    <t>TraesCS2B03G1015000;TraesCS2B03G1014000;TraesCS2B03G1015300;TraesCS2D03G0862600;TraesCS1D03G0078800;TraesCS2A03G0922900;TraesCS2A03G0922600;TraesCS2D03G0863100</t>
  </si>
  <si>
    <t>12 (5.91%)</t>
  </si>
  <si>
    <t>TraesCS2B03G1015000;TraesCS2B03G1014000;TraesCS2D03G1278500;TraesCS4A03G1039100;TraesCS2B03G1015300;TraesCS2D03G0862600;TraesCS1D03G0078800;TraesCS6D03G0324300;TraesCS2A03G0922900;TraesCS2B03G1515500;TraesCS2A03G0922600;TraesCS2D03G0863100</t>
  </si>
  <si>
    <t>12 (5.53%)</t>
  </si>
  <si>
    <t>8 (10%)</t>
  </si>
  <si>
    <t>8 (9.76%)</t>
  </si>
  <si>
    <t>10 (6.67%)</t>
  </si>
  <si>
    <t>TraesCS2B03G1015000;TraesCS2B03G1014000;TraesCS4A03G1039100;TraesCS2B03G1015300;TraesCS2D03G0862600;TraesCS1D03G0078800;TraesCS6D03G0324300;TraesCS2A03G0922900;TraesCS2A03G0922600;TraesCS2D03G0863100</t>
  </si>
  <si>
    <t>TraesCS3A03G0663900;TraesCS2D03G1278500;TraesCS3D03G0606700;TraesCS3D03G1160600;TraesCS3B03G0757500;TraesCS2D03G0679000;TraesCS1D03G0835000;TraesCS2B03G1515500;TraesCS3A03G1217600</t>
  </si>
  <si>
    <t>9 (7.09%)</t>
  </si>
  <si>
    <t>51 (1.58%)</t>
  </si>
  <si>
    <t>TraesCS5B03G1149900;TraesCS4D03G0712800;TraesCS3D03G0829100;TraesCS4D03G0250600;TraesCS7B03G0592000;TraesCS5D03G0876100;TraesCS5D03G1042600;TraesCS7D03G0970500;TraesCS6D03G0382100;TraesCS5A03G0678400;TraesCS7D03G0260400;TraesCS4B03G0796500;TraesCS4B03G0918900;TraesCS7D03G0255700;TraesCS7D03G0291500;TraesCS3B03G1407800;TraesCS7B03G0081700;TraesCS4A03G0873400;TraesCS7B03G0041600;TraesCS7A03G1014700;TraesCS6B03G0563700;TraesCS1A03G0047400;TraesCS2D03G0901800;TraesCS6D03G0160100;TraesCS6A03G0457900;TraesCS3B03G0738200;TraesCS6D03G0597500;TraesCS7A03G0456000;TraesCS7A03G0762000;TraesCS7D03G0183600;TraesCS4D03G0807000;TraesCS5D03G1133200;TraesCS4D03G0250500;TraesCS4B03G0307700;TraesCS2D03G1129100;TraesCS2D03G1011600;TraesCS2B03G1178800;TraesCS3D03G0068000;TraesCS5A03G1218900;TraesCS3B03G0093000;TraesCS7D03G0732000;TraesCS5D03G0823600;TraesCS2B03G1196000;TraesCS2A03G1068000;TraesCS5B03G1264200;TraesCS1B03G0462000;TraesCS2A03G1356900;TraesCS5A03G0396000;TraesCS3D03G0216400;TraesCS5A03G1087600;TraesCS5A03G0859000</t>
  </si>
  <si>
    <t>TraesCS2B03G1015000;TraesCS2B03G1014000;TraesCS2B03G1015300;TraesCS2D03G0862600;TraesCS2A03G0922900;TraesCS3A03G0089400</t>
  </si>
  <si>
    <t>20 (2.74%)</t>
  </si>
  <si>
    <t>TraesCS3D03G0911100;TraesCS7D03G0362800;TraesCS3B03G0757500;TraesCS7D03G1290300;TraesCS2D03G0679000;TraesCS5A03G0484700;TraesCS5B03G0483900;TraesCS1D03G0835000;TraesCS2B03G1515500;TraesCS3D03G1048800;TraesCS4D03G0629500;TraesCS1D03G0630400;TraesCS3A03G0663900;TraesCS3A03G1118700;TraesCS2D03G1278500;TraesCS3D03G0606700;TraesCS3D03G1160600;TraesCS5A03G0229500;TraesCS3A03G1217600;TraesCS5A03G0043700</t>
  </si>
  <si>
    <t>6 (13.04%)</t>
  </si>
  <si>
    <t>9 (6.12%)</t>
  </si>
  <si>
    <t>TraesCS2B03G1015000;TraesCS2B03G1014000;TraesCS4A03G1039100;TraesCS2B03G1015300;TraesCS2D03G0862600;TraesCS1D03G0078800;TraesCS2A03G0922900;TraesCS2A03G0922600;TraesCS2D03G0863100</t>
  </si>
  <si>
    <t>12 (3.88%)</t>
  </si>
  <si>
    <t>TraesCS3A03G0663900;TraesCS3D03G0911100;TraesCS2D03G1278500;TraesCS3D03G0606700;TraesCS3D03G1160600;TraesCS3B03G0757500;TraesCS2D03G0679000;TraesCS1D03G0835000;TraesCS2B03G1515500;TraesCS3A03G1217600;TraesCS3D03G1048800;TraesCS4D03G0629500</t>
  </si>
  <si>
    <t>cellular macromolecule catabolic process</t>
  </si>
  <si>
    <t>23 (2.22%)</t>
  </si>
  <si>
    <t>TraesCS1A03G0542400;TraesCS2A03G0857700;TraesCS2A03G0857600;TraesCS3B03G0757500;TraesCS2D03G0799000;TraesCS2B03G0950100;TraesCS2A03G0857500;TraesCS3A03G0663900;TraesCS3D03G1180200;TraesCS1D03G0523300;TraesCS2B03G0949900;TraesCS2D03G0798400;TraesCS3A03G1250800;TraesCS3D03G1180400;TraesCS5B03G0999600;TraesCS6D03G0746800;TraesCS3D03G0606700;TraesCS3D03G0606900;TraesCS3B03G1494600;TraesCS5D03G0905700;TraesCS3B03G1494300;TraesCS3A03G1250900;TraesCS7B03G0998600</t>
  </si>
  <si>
    <t>TraesCS2B03G1015000;TraesCS2B03G1014000;TraesCS2B03G1015300;TraesCS2D03G0862600;TraesCS2A03G0922900</t>
  </si>
  <si>
    <t>36 (1.68%)</t>
  </si>
  <si>
    <t>TraesCS3B03G0757500;TraesCS2D03G0799000;TraesCS2B03G0950100;TraesCS2B03G1515500;TraesCS3A03G0663900;TraesCS2B03G1014000;TraesCS4A03G1039100;TraesCS1D03G0078800;TraesCS2A03G0922900;TraesCS7B03G1109300;TraesCS2A03G0922600;TraesCS1A03G0542400;TraesCS2A03G0857700;TraesCS2A03G0857600;TraesCS6D03G0324300;TraesCS2A03G0857500;TraesCS2D03G0863100;TraesCS3D03G1180200;TraesCS1D03G0523300;TraesCS2B03G0949900;TraesCS2B03G1015000;TraesCS2D03G0798400;TraesCS3A03G1250800;TraesCS3D03G1180400;TraesCS5B03G0999600;TraesCS2D03G1278500;TraesCS6D03G0746800;TraesCS2B03G1015300;TraesCS3D03G0606700;TraesCS2D03G0862600;TraesCS3D03G0606900;TraesCS3B03G1494600;TraesCS5D03G0905700;TraesCS3B03G1494300;TraesCS3A03G1250900;TraesCS7B03G0998600</t>
  </si>
  <si>
    <t>6 (9.09%)</t>
  </si>
  <si>
    <t>TraesCS6B03G0520600;TraesCS2B03G1015000;TraesCS2B03G1014000;TraesCS2B03G1015300;TraesCS2D03G0862600;TraesCS2A03G0922900</t>
  </si>
  <si>
    <t>TraesCS7D03G1292300;TraesCS3A03G0238100;TraesCS5B03G1008500;TraesCS3D03G0229900;TraesCS2B03G1515500;TraesCS7B03G0680100;TraesCS6D03G0772100;TraesCS3D03G0338100;TraesCS2D03G0885000;TraesCS3A03G0348200;TraesCS2D03G1278500;TraesCS6B03G1082300;TraesCS6D03G0772800;TraesCS7A03G1365300;TraesCS3B03G0305500</t>
  </si>
  <si>
    <t>12 (3.45%)</t>
  </si>
  <si>
    <t>6 (6.9%)</t>
  </si>
  <si>
    <t>TraesCS2D03G1278500;TraesCS3A03G0238100;TraesCS3D03G0229900;TraesCS2B03G1515500;TraesCS3B03G0305500;TraesCS2D03G0885000</t>
  </si>
  <si>
    <t>13 (2.8%)</t>
  </si>
  <si>
    <t>TraesCS3B03G0423700;TraesCS7A03G0072700;TraesCS1A03G0920800;TraesCS7D03G0069600;TraesCS1A03G0193000;TraesCS1D03G0487600;TraesCS4B03G0128700;TraesCS1D03G0485600;TraesCS3A03G0294100;TraesCS4D03G0493500;TraesCS3B03G0362300;TraesCS1A03G0502600;TraesCSU03G0111800</t>
  </si>
  <si>
    <t>68 (1.21%)</t>
  </si>
  <si>
    <t>TraesCS5B03G1149900;TraesCS4D03G0712800;TraesCS3B03G1209200;TraesCS3D03G0829100;TraesCS2A03G1245500;TraesCS4D03G0250600;TraesCS7B03G0592000;TraesCS5D03G0876100;TraesCS5D03G1042600;TraesCS7D03G0970500;TraesCS5D03G0893000;TraesCS6D03G0382100;TraesCS3B03G0142600;TraesCS5A03G0678400;TraesCS7D03G0260400;TraesCS4B03G0796500;TraesCS4B03G0918900;TraesCS7D03G0255700;TraesCS7D03G0291500;TraesCS3B03G1407800;TraesCS3D03G0976100;TraesCSU03G0054300;TraesCS7B03G0081700;TraesCS4A03G0873400;TraesCS7B03G0041600;TraesCS7D03G0891200;TraesCS7A03G1014700;TraesCS6B03G0563700;TraesCS1A03G0047400;TraesCS2D03G0901800;TraesCS6D03G0160100;TraesCS6A03G0457900;TraesCS3B03G0738200;TraesCS6D03G0597500;TraesCS7A03G0456000;TraesCS7A03G0762000;TraesCS7D03G0183600;TraesCS1D03G0886200;TraesCS4A03G0312600;TraesCS4D03G0807000;TraesCS7A03G0345600;TraesCS5D03G1133200;TraesCS3D03G0266900;TraesCS4D03G0250500;TraesCS7A03G0927300;TraesCS4B03G0307700;TraesCS2D03G1129100;TraesCS2D03G1011600;TraesCS2B03G1178800;TraesCS3D03G0068000;TraesCS5A03G1218900;TraesCS4D03G0486400;TraesCSU03G0054400;TraesCS3B03G0093000;TraesCS3D03G0599000;TraesCS7D03G0732000;TraesCS4B03G0975400;TraesCS5D03G0823600;TraesCS2B03G1196000;TraesCS2A03G1068000;TraesCS5B03G1264200;TraesCS1B03G0462000;TraesCSU03G0053700;TraesCS2A03G1356900;TraesCS5A03G0396000;TraesCS3D03G0216400;TraesCS5A03G1087600;TraesCS5A03G0859000</t>
  </si>
  <si>
    <t>cellular catabolic process</t>
  </si>
  <si>
    <t>35 (1.53%)</t>
  </si>
  <si>
    <t>TraesCS3B03G0757500;TraesCS2D03G0799000;TraesCS2B03G0950100;TraesCS2B03G1515500;TraesCS3A03G0663900;TraesCS2B03G1014000;TraesCS4A03G1039100;TraesCS1D03G0078800;TraesCS2A03G0922900;TraesCS2A03G0922600;TraesCS1A03G0542400;TraesCS2A03G0857700;TraesCS2A03G0857600;TraesCS6D03G0324300;TraesCS2A03G0857500;TraesCS2D03G0863100;TraesCS3D03G1180200;TraesCS1D03G0523300;TraesCS2B03G0949900;TraesCS2B03G1015000;TraesCS2D03G0798400;TraesCS3A03G1250800;TraesCS3D03G1180400;TraesCS5B03G0999600;TraesCS2D03G1278500;TraesCS6D03G0746800;TraesCS2B03G1015300;TraesCS3D03G0606700;TraesCS2D03G0862600;TraesCS3D03G0606900;TraesCS3B03G1494600;TraesCS5D03G0905700;TraesCS3B03G1494300;TraesCS3A03G1250900;TraesCS7B03G0998600</t>
  </si>
  <si>
    <t>6 (6.38%)</t>
  </si>
  <si>
    <t>macromolecule catabolic process</t>
  </si>
  <si>
    <t>23 (1.81%)</t>
  </si>
  <si>
    <t>oxalate metabolic process</t>
  </si>
  <si>
    <t>TraesCS2D03G1278500;TraesCS2B03G1515500</t>
  </si>
  <si>
    <t>oxalate catabolic process</t>
  </si>
  <si>
    <t>phenylpropanoid metabolic process</t>
  </si>
  <si>
    <t>7 (4.46%)</t>
  </si>
  <si>
    <t>TraesCS6B03G0520600;TraesCS2B03G1015000;TraesCS2B03G1014000;TraesCS3A03G0818800;TraesCS2B03G1015300;TraesCS2D03G0862600;TraesCS2A03G0922900</t>
  </si>
  <si>
    <t>11 (2.76%)</t>
  </si>
  <si>
    <t>TraesCS7D03G0069600;TraesCS1A03G0193000;TraesCS1D03G0487600;TraesCS4B03G0128700;TraesCS1D03G0485600;TraesCS3A03G0294100;TraesCS4D03G0493500;TraesCS3B03G0362300;TraesCS1A03G0502600;TraesCS7A03G0072700;TraesCSU03G0111800</t>
  </si>
  <si>
    <t>8 (3.65%)</t>
  </si>
  <si>
    <t>TraesCS3A03G0663900;TraesCS1D03G0523300;TraesCS2D03G0798400;TraesCS3D03G0606700;TraesCS3B03G0757500;TraesCS3D03G0606900;TraesCS2D03G0799000;TraesCS2B03G0950100</t>
  </si>
  <si>
    <t>16 (2.08%)</t>
  </si>
  <si>
    <t>TraesCS1B03G1177300;TraesCS4B03G0030000;TraesCS1D03G0960100;TraesCS7A03G0072700;TraesCS1A03G0994300;TraesCS7D03G0069600;TraesCS1A03G0193000;TraesCS1D03G0487600;TraesCS4B03G0128700;TraesCS1D03G0485600;TraesCS3A03G0294100;TraesCS4D03G0493500;TraesCS3B03G0362300;TraesCS1A03G0502600;TraesCSU03G0111800;TraesCS4D03G0020600</t>
  </si>
  <si>
    <t>cell killing</t>
  </si>
  <si>
    <t>TraesCS3D03G1160600;TraesCS3A03G1217600</t>
  </si>
  <si>
    <t>killing of cells of other organism</t>
  </si>
  <si>
    <t>17 (1.95%)</t>
  </si>
  <si>
    <t>TraesCS4B03G0030000;TraesCS7D03G0548000;TraesCS3B03G0987700;TraesCS3B03G0423700;TraesCS4A03G0118900;TraesCS3A03G0089400;TraesCS4D03G0629500;TraesCS2B03G1015000;TraesCS2B03G1014000;TraesCS2B03G1015300;TraesCS4D03G0572200;TraesCS2D03G0862600;TraesCS2A03G0922900;TraesCS4B03G0643100;TraesCS7A03G0566700;TraesCS3D03G0793300;TraesCS4D03G0020600</t>
  </si>
  <si>
    <t>6 (4.69%)</t>
  </si>
  <si>
    <t>TraesCS4B03G0030000;TraesCS3B03G0987700;TraesCS2D03G0863100;TraesCS2B03G1015000;TraesCS2B03G1014000;TraesCS4A03G1039100;TraesCS2B03G1015300;TraesCS2D03G0862600;TraesCS1D03G0078800;TraesCS2A03G0922900;TraesCS2A03G0922600;TraesCS3D03G0793300;TraesCS4D03G0020600</t>
  </si>
  <si>
    <t>ammonium transmembrane transport</t>
  </si>
  <si>
    <t>TraesCS5B03G1264200;TraesCS4A03G0873400;TraesCS5D03G1133200</t>
  </si>
  <si>
    <t>13 (2.24%)</t>
  </si>
  <si>
    <t>TraesCS3D03G0911100;TraesCS3B03G0757500;TraesCS2D03G0679000;TraesCS1D03G0835000;TraesCS2B03G1515500;TraesCS3D03G1048800;TraesCS4D03G0629500;TraesCS2D03G0885000;TraesCS3A03G0663900;TraesCS2D03G1278500;TraesCS3D03G0606700;TraesCS3D03G1160600;TraesCS3A03G1217600</t>
  </si>
  <si>
    <t>19 (1.78%)</t>
  </si>
  <si>
    <t>TraesCS4B03G0030000;TraesCS6D03G0324300;TraesCS3B03G0987700;TraesCS2D03G0863100;TraesCS4A03G0118900;TraesCS2D03G0885000;TraesCS2B03G1015000;TraesCS2B03G1014000;TraesCS4A03G1039100;TraesCS2B03G1015300;TraesCS4D03G0572200;TraesCS2D03G0862600;TraesCS1D03G0078800;TraesCS2A03G0922900;TraesCS2A03G0922600;TraesCS4B03G0643100;TraesCS3D03G0793300;TraesCS4D03G0020600;TraesCS7B03G0808300</t>
  </si>
  <si>
    <t>7 (3.59%)</t>
  </si>
  <si>
    <t>protein depolymerization</t>
  </si>
  <si>
    <t>TraesCS5D03G1079100;TraesCS5B03G1193100;TraesCS5A03G1126300</t>
  </si>
  <si>
    <t>actin filament depolymerization</t>
  </si>
  <si>
    <t>RNA phosphodiester bond hydrolysis</t>
  </si>
  <si>
    <t>4 (6.45%)</t>
  </si>
  <si>
    <t>TraesCS6D03G0746800;TraesCS3D03G1160600;TraesCS1D03G0835000;TraesCS3A03G1217600</t>
  </si>
  <si>
    <t>TraesCS7D03G1292300;TraesCS5B03G1008500;TraesCS7A03G1365300</t>
  </si>
  <si>
    <t>positive regulation of seed germination</t>
  </si>
  <si>
    <t>cellular protein complex disassembly</t>
  </si>
  <si>
    <t>4 (5.88%)</t>
  </si>
  <si>
    <t>TraesCS5D03G1079100;TraesCS5B03G1193100;TraesCS5A03G1126300;TraesCS1B03G0703000</t>
  </si>
  <si>
    <t>36 (1.27%)</t>
  </si>
  <si>
    <t>18 (1.63%)</t>
  </si>
  <si>
    <t>TraesCS4B03G0030000;TraesCS3A03G0818800;TraesCS7D03G0548000;TraesCS3B03G0987700;TraesCS3B03G0423700;TraesCS4A03G0118900;TraesCS3A03G0089400;TraesCS4D03G0629500;TraesCS2B03G1015000;TraesCS2B03G1014000;TraesCS2B03G1015300;TraesCS4D03G0572200;TraesCS2D03G0862600;TraesCS2A03G0922900;TraesCS4B03G0643100;TraesCS7A03G0566700;TraesCS3D03G0793300;TraesCS4D03G0020600</t>
  </si>
  <si>
    <t>actin polymerization or depolymerization</t>
  </si>
  <si>
    <t>4 (5.56%)</t>
  </si>
  <si>
    <t>TraesCS3A03G0238100;TraesCS3D03G0229900;TraesCS7B03G0680100;TraesCS3B03G0305500</t>
  </si>
  <si>
    <t>202 (0.89%)</t>
  </si>
  <si>
    <t>TraesCS3D03G0963700;TraesCS4B03G0030000;TraesCS1A03G0405100;TraesCS7A03G0072700;TraesCS3D03G0617500;TraesCS3A03G0089400;TraesCS3A03G1118700;TraesCS3B03G1306500;TraesCS1D03G0485600;TraesCS2B03G1430300;TraesCS5B03G1135300;TraesCS3B03G0848000;TraesCS4D03G0493500;TraesCS3A03G1125900;TraesCS2A03G0922900;TraesCS1A03G0697800;TraesCS4B03G0819700;TraesCS3B03G1319800;TraesCS3A03G0818800;TraesCS2A03G0857700;TraesCS7D03G0604600;TraesCS3B03G1319000;TraesCS3B03G0125700;TraesCS4D03G0629500;TraesCS2B03G1015000;TraesCS3D03G1052000;TraesCS7A03G0018600;TraesCS2A03G0199600;TraesCS1A03G0692100;TraesCS7D03G0470800;TraesCS5B03G1349500;TraesCS7D03G0021600;TraesCS2D03G0454900;TraesCS7A03G1184600;TraesCS3D03G1160600;TraesCS7D03G0123600;TraesCSU03G0111800;TraesCS7A03G0019700;TraesCS3A03G1131900;TraesCS4B03G0486500;TraesCS2A03G0857600;TraesCS4A03G0309800;TraesCS3A03G1035100;TraesCS3B03G0423700;TraesCS5D03G1194300;TraesCS7D03G0020400;TraesCS3D03G1180200;TraesCS1A03G0193000;TraesCS2D03G1278500;TraesCS3D03G0606700;TraesCS4D03G0449200;TraesCS5D03G0532300;TraesCS3D03G1056700;TraesCS2D03G1150300;TraesCS7D03G0445500;TraesCS2A03G0101500;TraesCS1B03G1105500;TraesCS5A03G0720100;TraesCS2B03G0950100;TraesCS4D03G0811800;TraesCS5B03G0841100;TraesCS4A03G1039100;TraesCS1D03G0078800;TraesCS1A03G0502600;TraesCS7B03G1109300;TraesCS1D03G0990500;TraesCS2D03G1262100;TraesCS2A03G0857500;TraesCS2D03G1299400;TraesCS7A03G0011400;TraesCS3A03G1250800;TraesCS3B03G0904400;TraesCS5B03G0999600;TraesCS4B03G0885400;TraesCS2D03G0862600;TraesCS2B03G0270400;TraesCS3A03G1126300;TraesCS4A03G1223500;TraesCS5A03G0963300;TraesCS5A03G1207200;TraesCS3D03G0373400;TraesCS1B03G0018500;TraesCS3B03G1312000;TraesCS6D03G0833700;TraesCS2D03G0885000;TraesCS4D03G0572200;TraesCS4B03G0211200;TraesCS3D03G1055800;TraesCS7B03G0808300;TraesCS2B03G1461400;TraesCS3D03G0725500;TraesCS3B03G1317800;TraesCS1B03G0703000;TraesCS6D03G0324300;TraesCS2B03G0949900;TraesCS3D03G1180400;TraesCSU03G0240900;TraesCS6D03G0746800;TraesCS3D03G0606900;TraesCS4A03G0016800;TraesCS7B03G0302300;TraesCS6B03G0520600;TraesCS3A03G1130300;TraesCS7A03G0018100;TraesCS3B03G0757500;TraesCS2D03G0679000;TraesCS1A03G0776200;TraesCS1A03G1030200;TraesCS7D03G0020100;TraesCS2A03G0182300;TraesCS2A03G1298700;TraesCS2B03G1488800;TraesCS6D03G0508500;TraesCS4A03G1224500;TraesCS5B03G1276400;TraesCS2D03G0863100;TraesCS4A03G0118900;TraesCS3D03G1048700;TraesCS5D03G1214500;TraesCS6B03G0769100;TraesCS3B03G1190600;TraesCS3B03G1494600;TraesCS7B03G1016700;TraesCS4D03G0020600;TraesCS7B03G0873000;TraesCS4A03G0801300;TraesCS3A03G1126500;TraesCS5A03G0720000;TraesCS2D03G0799000;TraesCS2B03G1363800;TraesCS2B03G1515500;TraesCS2B03G0582800;TraesCS3A03G0663900;TraesCS3D03G1053700;TraesCS3A03G1217600;TraesCS1D03G0271600;TraesCS2A03G0922600;TraesCS2D03G0227000;TraesCS2D03G1176400;TraesCS1A03G0542400;TraesCS2D03G1264500;TraesCS5B03G0986000;TraesCS2D03G1101100;TraesCS3D03G1048800;TraesCS3B03G1311100;TraesCS5B03G0758200;TraesCS7D03G0069600;TraesCS4B03G0128700;TraesCS1B03G0362100;TraesCS2B03G1015300;TraesCS7A03G0487500;TraesCS7D03G1100100;TraesCS2D03G0455600;TraesCS4D03G0823600;TraesCS4D03G0007500;TraesCS3B03G1307400;TraesCS3A03G1250900;TraesCS3A03G1134100;TraesCS7B03G0998600;TraesCS5D03G0687700;TraesCS7B03G0680100;TraesCS2A03G1152100;TraesCS2B03G1014000;TraesCS4D03G0174200;TraesCS7D03G1126500;TraesCS3B03G0362300;TraesCS7D03G1164100;TraesCS3B03G1384300;TraesCS7A03G0566700;TraesCS4A03G1224300;TraesCS4A03G0221600;TraesCS2A03G0220200;TraesCS2D03G0798400;TraesCS1B03G0362200;TraesCS2B03G1120000;TraesCS3A03G0546000;TraesCS5A03G1118600;TraesCS5D03G0905700;TraesCS3D03G0793300;TraesCS3D03G0963200;TraesCS7D03G0548000;TraesCS4D03G0794000;TraesCS1D03G0487600;TraesCS2A03G1218900;TraesCS3B03G1306400;TraesCS4B03G0643100;TraesCS5D03G1075000;TraesCS3B03G0987700;TraesCS5D03G0974200;TraesCS7A03G0810200;TraesCS1D03G0835000;TraesCS1A03G0920800;TraesCS5B03G1131600;TraesCS1D03G0523300;TraesCS5D03G1206100;TraesCS3A03G0294100;TraesCS7D03G1125300;TraesCS2B03G0570500;TraesCS3A03G0676500;TraesCS7D03G0086000;TraesCS3B03G0250900;TraesCS3B03G1494300</t>
  </si>
  <si>
    <t>8 (2.6%)</t>
  </si>
  <si>
    <t>TraesCS7D03G1292300;TraesCS6B03G1082300;TraesCS6D03G0772800;TraesCS5B03G1008500;TraesCS7A03G1365300;TraesCS6D03G0772100;TraesCS3D03G0338100;TraesCS3A03G0348200</t>
  </si>
  <si>
    <t>8 (2.56%)</t>
  </si>
  <si>
    <t>TraesCS2D03G0454900;TraesCS2D03G0455600</t>
  </si>
  <si>
    <t>TraesCS3B03G0987700;TraesCS3D03G0793300</t>
  </si>
  <si>
    <t>26 (1.36%)</t>
  </si>
  <si>
    <t>TraesCS4B03G0030000;TraesCS7D03G0548000;TraesCS2B03G1515500;TraesCS3A03G0089400;TraesCS2D03G0885000;TraesCS2B03G1014000;TraesCS4A03G1039100;TraesCS4D03G0572200;TraesCS1D03G0078800;TraesCS2A03G0922900;TraesCS2A03G0922600;TraesCS4B03G0643100;TraesCS7A03G0566700;TraesCS7B03G0808300;TraesCS6D03G0324300;TraesCS3B03G0987700;TraesCS3B03G0423700;TraesCS2D03G0863100;TraesCS4A03G0118900;TraesCS4D03G0629500;TraesCS2B03G1015000;TraesCS2D03G1278500;TraesCS2B03G1015300;TraesCS2D03G0862600;TraesCS3D03G0793300;TraesCS4D03G0020600</t>
  </si>
  <si>
    <t>protein-containing complex disassembly</t>
  </si>
  <si>
    <t>4 (5%)</t>
  </si>
  <si>
    <t>TraesCS3A03G0238100;TraesCS3D03G0229900;TraesCS3B03G0305500</t>
  </si>
  <si>
    <t>26 (1.34%)</t>
  </si>
  <si>
    <t>seed coat development</t>
  </si>
  <si>
    <t>dicarboxylic acid catabolic process</t>
  </si>
  <si>
    <t>17 (1.58%)</t>
  </si>
  <si>
    <t>TraesCS7D03G1292300;TraesCS3A03G0238100;TraesCS3A03G0818800;TraesCS7D03G0604600;TraesCS5B03G1008500;TraesCS3D03G0229900;TraesCS3D03G1048800;TraesCS6D03G0772100;TraesCS3D03G0338100;TraesCS2D03G0885000;TraesCS3A03G0348200;TraesCS5D03G0815700;TraesCS6B03G1082300;TraesCS6D03G0772800;TraesCS7A03G1365300;TraesCS3B03G0305500;TraesCS2D03G0677700</t>
  </si>
  <si>
    <t>14 (1.72%)</t>
  </si>
  <si>
    <t>TraesCS4B03G0030000;TraesCS7D03G0548000;TraesCS3B03G0987700;TraesCS3B03G0423700;TraesCS3A03G0089400;TraesCS4D03G0629500;TraesCS2B03G1015000;TraesCS2B03G1014000;TraesCS2B03G1015300;TraesCS2D03G0862600;TraesCS2A03G0922900;TraesCS7A03G0566700;TraesCS3D03G0793300;TraesCS4D03G0020600</t>
  </si>
  <si>
    <t>aromatic compound catabolic process</t>
  </si>
  <si>
    <t>9 (2.22%)</t>
  </si>
  <si>
    <t>TraesCS2B03G1015000;TraesCS2B03G1014000;TraesCS6D03G0746800;TraesCS2B03G1015300;TraesCS2D03G0862600;TraesCS1D03G0078800;TraesCS2A03G0922900;TraesCS2A03G0922600;TraesCS2D03G0863100</t>
  </si>
  <si>
    <t>14 (1.71%)</t>
  </si>
  <si>
    <t>TraesCS7D03G1292300;TraesCS3A03G0238100;TraesCS5B03G1008500;TraesCS3D03G0229900;TraesCS7B03G0680100;TraesCS6D03G0772100;TraesCS3D03G0338100;TraesCS4D03G0629500;TraesCS3A03G0348200;TraesCS6B03G1082300;TraesCS6D03G0772800;TraesCS7A03G1365300;TraesCS3B03G0305500;TraesCS6D03G0508500</t>
  </si>
  <si>
    <t>programmed cell death induced by symbiont</t>
  </si>
  <si>
    <t>plant-type hypersensitive response</t>
  </si>
  <si>
    <t>organic cyclic compound catabolic process</t>
  </si>
  <si>
    <t>9 (2.2%)</t>
  </si>
  <si>
    <t>26 (1.32%)</t>
  </si>
  <si>
    <t>biological process involved in interaction with symbiont</t>
  </si>
  <si>
    <t>flavonoid biosynthetic process</t>
  </si>
  <si>
    <t>TraesCS5D03G1075000;TraesCS7B03G0680100</t>
  </si>
  <si>
    <t>branched-chain amino acid biosynthetic process</t>
  </si>
  <si>
    <t>TraesCS4D03G0572200;TraesCS4A03G0118900;TraesCS4B03G0643100</t>
  </si>
  <si>
    <t>TraesCS5B03G1149900;TraesCS5D03G1042600;TraesCS5A03G1087600</t>
  </si>
  <si>
    <t>4 (4.21%)</t>
  </si>
  <si>
    <t>TraesCS3B03G0738200;TraesCS3D03G0599000;TraesCS4A03G0312600;TraesCS7A03G0345600</t>
  </si>
  <si>
    <t>12 (1.76%)</t>
  </si>
  <si>
    <t>TraesCS3A03G0663900;TraesCS1D03G0523300;TraesCS2D03G0454900;TraesCS2D03G0798400;TraesCS3D03G0606700;TraesCS2D03G0455600;TraesCS3B03G0757500;TraesCS3D03G0606900;TraesCS2B03G0570500;TraesCS2D03G0799000;TraesCS2B03G0950100;TraesCS4A03G0221600</t>
  </si>
  <si>
    <t>TraesCS5D03G0815700;TraesCS3A03G0238100;TraesCS3D03G0229900;TraesCS3D03G1048800;TraesCS3B03G0305500;TraesCS2D03G0885000</t>
  </si>
  <si>
    <t>flavonoid metabolic process</t>
  </si>
  <si>
    <t>cellular component disassembly</t>
  </si>
  <si>
    <t>4 (4.08%)</t>
  </si>
  <si>
    <t>7 (2.41%)</t>
  </si>
  <si>
    <t>TraesCS3B03G0142600;TraesCSU03G0053700;TraesCS4D03G0486400;TraesCSU03G0054400;TraesCSU03G0054300;TraesCS4B03G0975400;TraesCS1D03G0886200</t>
  </si>
  <si>
    <t>5 (3.16%)</t>
  </si>
  <si>
    <t>TraesCS3D03G1160600;TraesCS2D03G0679000;TraesCS1D03G0835000;TraesCS3A03G1217600;TraesCS4D03G0629500</t>
  </si>
  <si>
    <t>programmed cell death</t>
  </si>
  <si>
    <t>4 (3.92%)</t>
  </si>
  <si>
    <t>TraesCS2D03G0454900;TraesCS2D03G0455600;TraesCS3B03G0848000;TraesCS4A03G0221600</t>
  </si>
  <si>
    <t>7 (2.33%)</t>
  </si>
  <si>
    <t>21 (1.34%)</t>
  </si>
  <si>
    <t>TraesCS5B03G1149900;TraesCS3B03G0093000;TraesCS4A03G0873400;TraesCS3B03G1209200;TraesCS7D03G0891200;TraesCS7A03G1014700;TraesCS2A03G1245500;TraesCS5D03G1133200;TraesCS5D03G0876100;TraesCS5D03G1042600;TraesCS3D03G0266900;TraesCS7A03G0927300;TraesCS7D03G0970500;TraesCS5D03G0893000;TraesCS2D03G1129100;TraesCS5B03G1264200;TraesCS5A03G0678400;TraesCS2B03G1178800;TraesCS3D03G0068000;TraesCS3D03G0976100;TraesCS5A03G1087600</t>
  </si>
  <si>
    <t>8 (2.09%)</t>
  </si>
  <si>
    <t>TraesCS2B03G1015000;TraesCS2B03G1014000;TraesCS2B03G1015300;TraesCS2D03G0862600;TraesCS2A03G0922900;TraesCS3B03G0423700;TraesCS3A03G0089400;TraesCS4D03G0629500</t>
  </si>
  <si>
    <t>3 (5.17%)</t>
  </si>
  <si>
    <t>6 (2.5%)</t>
  </si>
  <si>
    <t>TraesCS2D03G0454900;TraesCS3D03G0684200;TraesCS3A03G0742300;TraesCS2D03G0455600;TraesCS3B03G0848000;TraesCS4A03G0221600</t>
  </si>
  <si>
    <t>carbohydrate derivative metabolic process</t>
  </si>
  <si>
    <t>19 (1.32%)</t>
  </si>
  <si>
    <t>TraesCS1A03G0542400;TraesCS2A03G0857700;TraesCS2A03G0857600;TraesCS3B03G0757500;TraesCS2D03G0799000;TraesCS2B03G0950100;TraesCS2A03G0857500;TraesCS5B03G1131600;TraesCS3A03G0663900;TraesCS1D03G0523300;TraesCS2B03G0949900;TraesCS2D03G0798400;TraesCS5B03G0999600;TraesCS3D03G0606700;TraesCS3B03G0848000;TraesCS3D03G0606900;TraesCS4D03G0449200;TraesCS5D03G0905700;TraesCS7B03G0998600</t>
  </si>
  <si>
    <t>metallo-sulfur cluster assembly</t>
  </si>
  <si>
    <t>3 (4.92%)</t>
  </si>
  <si>
    <t>TraesCS1B03G1177300;TraesCS1D03G0960100;TraesCS1A03G0994300</t>
  </si>
  <si>
    <t>iron-sulfur cluster assembly</t>
  </si>
  <si>
    <t>17 (1.39%)</t>
  </si>
  <si>
    <t>TraesCS3B03G0093000;TraesCS4A03G0873400;TraesCS3B03G1209200;TraesCS7D03G0891200;TraesCS7A03G1014700;TraesCS2A03G1245500;TraesCS5D03G1133200;TraesCS5D03G0876100;TraesCS7A03G0927300;TraesCS7D03G0970500;TraesCS5D03G0893000;TraesCS2D03G1129100;TraesCS5B03G1264200;TraesCS5A03G0678400;TraesCS2B03G1178800;TraesCS3D03G0068000;TraesCS3D03G0976100</t>
  </si>
  <si>
    <t>TraesCS2D03G0679000</t>
  </si>
  <si>
    <t>3 (4.84%)</t>
  </si>
  <si>
    <t>TraesCS3D03G0338100;TraesCS3A03G0348200</t>
  </si>
  <si>
    <t>biological process involved in symbiotic interaction</t>
  </si>
  <si>
    <t>proline metabolic process</t>
  </si>
  <si>
    <t>photoreactive repair</t>
  </si>
  <si>
    <t>TraesCS7D03G0604600</t>
  </si>
  <si>
    <t>8 (1.82%)</t>
  </si>
  <si>
    <t>34 (1.09%)</t>
  </si>
  <si>
    <t>TraesCS3D03G0911100;TraesCS3A03G0238100;TraesCS3B03G0757500;TraesCS2D03G0679000;TraesCS5A03G0484700;TraesCS5B03G0483900;TraesCS3D03G0229900;TraesCS2B03G1515500;TraesCS7B03G0680100;TraesCS3D03G0338100;TraesCS2D03G0885000;TraesCS1D03G0630400;TraesCS3A03G0663900;TraesCS3A03G1118700;TraesCS3D03G1160600;TraesCS5A03G0229500;TraesCS3A03G1217600;TraesCS5A03G0043700;TraesCS3B03G0305500;TraesCS6D03G0508500;TraesCS7D03G1292300;TraesCS7D03G0362800;TraesCS7D03G0604600;TraesCS7D03G1290300;TraesCS5B03G1008500;TraesCS1D03G0835000;TraesCS3D03G1048800;TraesCS4D03G0629500;TraesCS3A03G0348200;TraesCS5D03G0815700;TraesCS2D03G1278500;TraesCS6B03G0769100;TraesCS3D03G0606700;TraesCS7A03G1365300</t>
  </si>
  <si>
    <t>nucleic acid phosphodiester bond hydrolysis</t>
  </si>
  <si>
    <t>4 (2.88%)</t>
  </si>
  <si>
    <t>cell division</t>
  </si>
  <si>
    <t>4 (2.86%)</t>
  </si>
  <si>
    <t>TraesCS2D03G0454900;TraesCS5A03G0007500;TraesCS5B03G0006900;TraesCS2D03G0455600</t>
  </si>
  <si>
    <t>TraesCS2D03G0885000</t>
  </si>
  <si>
    <t>cell death</t>
  </si>
  <si>
    <t>UDP-L-arabinose metabolic process</t>
  </si>
  <si>
    <t>TraesCS3B03G0848000</t>
  </si>
  <si>
    <t>TraesCS3D03G1048800</t>
  </si>
  <si>
    <t>TraesCS6D03G0324300</t>
  </si>
  <si>
    <t>181 (0.85%)</t>
  </si>
  <si>
    <t>TraesCS3D03G0963700;TraesCS4B03G0030000;TraesCS1A03G0405100;TraesCS3A03G1130300;TraesCS7A03G0018100;TraesCS3B03G0757500;TraesCS2D03G0679000;TraesCS1A03G0776200;TraesCS3D03G0617500;TraesCS3A03G0089400;TraesCS1A03G1030200;TraesCS3A03G1118700;TraesCS3B03G1306500;TraesCS7D03G0020100;TraesCS2B03G1430300;TraesCS5B03G1135300;TraesCS3B03G0848000;TraesCS2A03G0182300;TraesCS3A03G1125900;TraesCS2A03G0922900;TraesCS1A03G0697800;TraesCS2A03G1298700;TraesCS4B03G0819700;TraesCS2B03G1488800;TraesCS6D03G0508500;TraesCS3B03G1319800;TraesCS4A03G1224500;TraesCS5B03G1276400;TraesCS2A03G0857700;TraesCS7D03G0604600;TraesCS3B03G1319000;TraesCS3B03G0125700;TraesCS2D03G0863100;TraesCS4A03G0118900;TraesCS3D03G1048700;TraesCS5D03G1214500;TraesCS2B03G1015000;TraesCS6B03G0769100;TraesCS3B03G1190600;TraesCS3D03G1052000;TraesCS3B03G1494600;TraesCS7B03G1016700;TraesCS4D03G0020600;TraesCS7B03G0873000;TraesCS7A03G0018600;TraesCS4A03G0801300;TraesCS2A03G0199600;TraesCS3A03G1126500;TraesCS5A03G0720000;TraesCS1A03G0692100;TraesCS2D03G0799000;TraesCS2B03G1363800;TraesCS7D03G0470800;TraesCS2B03G0582800;TraesCS3A03G0663900;TraesCS5B03G1349500;TraesCS7D03G0021600;TraesCS2D03G0454900;TraesCS7A03G1184600;TraesCS3D03G1053700;TraesCS3D03G1160600;TraesCS3A03G1217600;TraesCS7D03G0123600;TraesCS1D03G0271600;TraesCS2A03G0922600;TraesCS2D03G0227000;TraesCS2D03G1176400;TraesCS7A03G0019700;TraesCS3A03G1131900;TraesCS4B03G0486500;TraesCS1A03G0542400;TraesCS2D03G1264500;TraesCS2A03G0857600;TraesCS4A03G0309800;TraesCS5B03G0986000;TraesCS2D03G1101100;TraesCS3A03G1035100;TraesCS3D03G1048800;TraesCS3B03G1311100;TraesCS5D03G1194300;TraesCS7D03G0020400;TraesCS3D03G1180200;TraesCS5B03G0758200;TraesCS1B03G0362100;TraesCS2B03G1015300;TraesCS3D03G0606700;TraesCS7A03G0487500;TraesCS7D03G1100100;TraesCS2D03G0455600;TraesCS4D03G0449200;TraesCS4D03G0823600;TraesCS5D03G0532300;TraesCS3D03G1056700;TraesCS4D03G0007500;TraesCS2D03G1150300;TraesCS7D03G0445500;TraesCS3B03G1307400;TraesCS2A03G0101500;TraesCS3A03G1250900;TraesCS3A03G1134100;TraesCS7B03G0998600;TraesCS5D03G0687700;TraesCS1B03G1105500;TraesCS5A03G0720100;TraesCS2B03G0950100;TraesCS4D03G0811800;TraesCS2A03G1152100;TraesCS5B03G0841100;TraesCS2B03G1014000;TraesCS4A03G1039100;TraesCS4D03G0174200;TraesCS7D03G1126500;TraesCS1D03G0078800;TraesCS7D03G1164100;TraesCS3B03G1384300;TraesCS7B03G1109300;TraesCS1D03G0990500;TraesCS2D03G1262100;TraesCS4A03G1224300;TraesCS4A03G0221600;TraesCS2A03G0857500;TraesCS2D03G1299400;TraesCS2A03G0220200;TraesCS7A03G0011400;TraesCS2D03G0798400;TraesCS3A03G1250800;TraesCS3B03G0904400;TraesCS5B03G0999600;TraesCS4B03G0885400;TraesCS1B03G0362200;TraesCS2B03G1120000;TraesCS2D03G0862600;TraesCS3A03G0546000;TraesCS5A03G1118600;TraesCS2B03G0270400;TraesCS5D03G0905700;TraesCS3D03G0793300;TraesCS3A03G1126300;TraesCS4A03G1223500;TraesCS3D03G0963200;TraesCS5A03G0963300;TraesCS5A03G1207200;TraesCS4D03G0794000;TraesCS3D03G0373400;TraesCS1B03G0018500;TraesCS3B03G1312000;TraesCS6D03G0833700;TraesCS2D03G0885000;TraesCS2A03G1218900;TraesCS3B03G1306400;TraesCS4D03G0572200;TraesCS4B03G0211200;TraesCS3D03G1055800;TraesCS4B03G0643100;TraesCS7B03G0808300;TraesCS2B03G1461400;TraesCS3D03G0725500;TraesCS3B03G1317800;TraesCS1B03G0703000;TraesCS6D03G0324300;TraesCS3B03G0987700;TraesCS5D03G0974200;TraesCS7A03G0810200;TraesCS1D03G0835000;TraesCS1A03G0920800;TraesCS5B03G1131600;TraesCS1D03G0523300;TraesCS2B03G0949900;TraesCS3D03G1180400;TraesCSU03G0240900;TraesCS5D03G1206100;TraesCS6D03G0746800;TraesCS3D03G0606900;TraesCS7D03G1125300;TraesCS2B03G0570500;TraesCS3A03G0676500;TraesCS7D03G0086000;TraesCS3B03G0250900;TraesCS3B03G1494300;TraesCS4A03G0016800;TraesCS7B03G0302300</t>
  </si>
  <si>
    <t>tetraterpenoid metabolic process</t>
  </si>
  <si>
    <t>TraesCS2B03G1430300;TraesCS3A03G0089400</t>
  </si>
  <si>
    <t>tetraterpenoid biosynthetic process</t>
  </si>
  <si>
    <t>carotenoid metabolic process</t>
  </si>
  <si>
    <t>carotenoid biosynthetic process</t>
  </si>
  <si>
    <t>positive regulation of post-embryonic development</t>
  </si>
  <si>
    <t>TraesCS7D03G1292300;TraesCS5B03G1008500;TraesCS7A03G1365300;TraesCS2D03G0885000</t>
  </si>
  <si>
    <t>innate immune response</t>
  </si>
  <si>
    <t>TraesCS5B03G1149900;TraesCS5D03G1042600;TraesCS3D03G0266900;TraesCS5A03G1087600</t>
  </si>
  <si>
    <t>UV protection</t>
  </si>
  <si>
    <t>TraesCS1A03G0920800</t>
  </si>
  <si>
    <t>TraesCS2A03G0199600;TraesCS2B03G0270400</t>
  </si>
  <si>
    <t>TraesCS3A03G0089400</t>
  </si>
  <si>
    <t>immune response</t>
  </si>
  <si>
    <t>2 (4.88%)</t>
  </si>
  <si>
    <t>TraesCS3B03G0423700</t>
  </si>
  <si>
    <t>methionine biosynthetic process</t>
  </si>
  <si>
    <t>TraesCS4B03G0030000;TraesCS4D03G0020600</t>
  </si>
  <si>
    <t>L-pipecolic acid biosynthetic process</t>
  </si>
  <si>
    <t>TraesCS4D03G0629500</t>
  </si>
  <si>
    <t>TraesCS6B03G0305700;TraesCS5B03G1135300;TraesCS7D03G0445500</t>
  </si>
  <si>
    <t>oxylipin metabolic process</t>
  </si>
  <si>
    <t>TraesCS7D03G0548000;TraesCS7A03G0566700</t>
  </si>
  <si>
    <t>oxylipin biosynthetic process</t>
  </si>
  <si>
    <t>pyrimidine dimer repair</t>
  </si>
  <si>
    <t>3 (2.78%)</t>
  </si>
  <si>
    <t>TraesCS2D03G0454900;TraesCS2D03G0455600;TraesCS2B03G0570500</t>
  </si>
  <si>
    <t>P1111</t>
  </si>
  <si>
    <t>20 (6.31%)</t>
  </si>
  <si>
    <t>TraesCS1D03G0777800;TraesCS2D03G0844800;TraesCS5B03G0257300;TraesCS5B03G0124600;TraesCS5B03G0125800;TraesCS3D03G0048700;TraesCS5D03G0136600;TraesCS5B03G0125100;TraesCS5D03G0136700;TraesCS5B03G0126000;TraesCS5D03G0135500;TraesCS5D03G0136500;TraesCS5A03G0114100;TraesCS5D03G0135700;TraesCS5A03G0112700;TraesCS5B03G0124900;TraesCS5B03G0256900;TraesCS5A03G0112500;TraesCS2A03G0905800;TraesCS5A03G0113200</t>
  </si>
  <si>
    <t>20 (4.22%)</t>
  </si>
  <si>
    <t>20 (3.5%)</t>
  </si>
  <si>
    <t>21 (2.39%)</t>
  </si>
  <si>
    <t>TraesCS1D03G0777800;TraesCS2D03G0844800;TraesCS5B03G0257300;TraesCS5B03G0124600;TraesCS5B03G0125800;TraesCS1A03G0609600;TraesCS3D03G0048700;TraesCS5D03G0136600;TraesCS5B03G0125100;TraesCS5D03G0136700;TraesCS5B03G0126000;TraesCS5D03G0135500;TraesCS5D03G0136500;TraesCS5A03G0114100;TraesCS5D03G0135700;TraesCS5A03G0112700;TraesCS5B03G0124900;TraesCS5B03G0256900;TraesCS5A03G0112500;TraesCS2A03G0905800;TraesCS5A03G0113200</t>
  </si>
  <si>
    <t>siroheme metabolic process</t>
  </si>
  <si>
    <t>TraesCS3D03G0543900;TraesCS3A03G0589100;TraesCS3B03G0669100</t>
  </si>
  <si>
    <t>siroheme biosynthetic process</t>
  </si>
  <si>
    <t>short-day photoperiodism</t>
  </si>
  <si>
    <t>TraesCS7D03G0475200;TraesCS7B03G0306900;TraesCS7A03G0492900</t>
  </si>
  <si>
    <t>positive regulation of short-day photoperiodism, flowering</t>
  </si>
  <si>
    <t>cobalamin metabolic process</t>
  </si>
  <si>
    <t>cobalamin biosynthetic process</t>
  </si>
  <si>
    <t>long-day photoperiodism</t>
  </si>
  <si>
    <t>regulation of short-day photoperiodism, flowering</t>
  </si>
  <si>
    <t>negative regulation of long-day photoperiodism, flowering</t>
  </si>
  <si>
    <t>22 (0.82%)</t>
  </si>
  <si>
    <t>TraesCS5B03G0798700;TraesCS1D03G0580300;TraesCS5D03G0492800;TraesCS2A03G1141500;TraesCS7D03G0221300;TraesCS1B03G0331400;TraesCS2A03G0131700;TraesCS2A03G0132800;TraesCS2D03G1092400;TraesCS5D03G0890100;TraesCS7B03G0393800;TraesCS3A03G0883300;TraesCS5B03G0981700;TraesCS1A03G0608300;TraesCS1B03G0705900;TraesCS5B03G0539000;TraesCS3D03G0811100;TraesCS4B03G0671500;TraesCS3A03G1141700;TraesCS2B03G1298000;TraesCS5A03G0931300;TraesCS7A03G0566800</t>
  </si>
  <si>
    <t>photoperiodism</t>
  </si>
  <si>
    <t>3 (13.04%)</t>
  </si>
  <si>
    <t>ether metabolic process</t>
  </si>
  <si>
    <t>4 (6.15%)</t>
  </si>
  <si>
    <t>TraesCS1D03G0777800;TraesCS2D03G0844800;TraesCS3D03G0048700;TraesCS2A03G0905800</t>
  </si>
  <si>
    <t>glycerol ether metabolic process</t>
  </si>
  <si>
    <t>positive regulation of reproductive process</t>
  </si>
  <si>
    <t>regulation of long-day photoperiodism, flowering</t>
  </si>
  <si>
    <t>clathrin coat assembly</t>
  </si>
  <si>
    <t>TraesCS4A03G0604400;TraesCS4D03G0165900;TraesCS4B03G0199800</t>
  </si>
  <si>
    <t>heme biosynthetic process</t>
  </si>
  <si>
    <t>3 (5.88%)</t>
  </si>
  <si>
    <t>TraesCS7B03G0663800;TraesCS2D03G0128900;TraesCS2A03G0131700</t>
  </si>
  <si>
    <t>positive regulation of multicellular organismal process</t>
  </si>
  <si>
    <t>11 (1%)</t>
  </si>
  <si>
    <t>TraesCS5D03G0435100;TraesCS7A03G0243900;TraesCS2A03G0777900;TraesCS4A03G0171400;TraesCS5A03G0471800;TraesCS3D03G0543900;TraesCS4D03G0534700;TraesCS3A03G0589100;TraesCS3B03G0669100;TraesCS3D03G0166700;TraesCS7B03G0458700</t>
  </si>
  <si>
    <t>6 (1.78%)</t>
  </si>
  <si>
    <t>TraesCS5D03G0435100;TraesCS7A03G0243900;TraesCS4A03G0171400;TraesCS5A03G0471800;TraesCS4D03G0534700;TraesCS3D03G0166700</t>
  </si>
  <si>
    <t>regulation of photoperiodism, flowering</t>
  </si>
  <si>
    <t>heme metabolic process</t>
  </si>
  <si>
    <t>positive regulation of developmental process</t>
  </si>
  <si>
    <t>TraesCS5B03G1005700;TraesCS5A03G0956900</t>
  </si>
  <si>
    <t>TraesCS6D03G0729700;TraesCS6B03G1029200</t>
  </si>
  <si>
    <t>TraesCS6D03G0310400;TraesCS4A03G0171400;TraesCS4D03G0534700</t>
  </si>
  <si>
    <t>histidine metabolic process</t>
  </si>
  <si>
    <t>TraesCS4A03G0171400;TraesCS4D03G0534700</t>
  </si>
  <si>
    <t>histidine biosynthetic process</t>
  </si>
  <si>
    <t>20 (0.63%)</t>
  </si>
  <si>
    <t>TraesCS1D03G0777800;TraesCS5B03G0798700;TraesCS5B03G0391600;TraesCS2D03G0844800;TraesCS5D03G0435100;TraesCS3D03G0048700;TraesCS2A03G0132800;TraesCS4A03G0171400;TraesCS3D03G0543900;TraesCS4D03G0534700;TraesCS3A03G0589100;TraesCS3B03G0669100;TraesCS6D03G0310400;TraesCS7A03G0243900;TraesCS2A03G0777900;TraesCS5A03G0471800;TraesCS6B03G0056200;TraesCS2A03G0905800;TraesCS3D03G0166700;TraesCS7B03G0458700</t>
  </si>
  <si>
    <t>7 (1.22%)</t>
  </si>
  <si>
    <t>TraesCS6D03G0310400;TraesCS5D03G0435100;TraesCS7A03G0243900;TraesCS4A03G0171400;TraesCS5A03G0471800;TraesCS4D03G0534700;TraesCS3D03G0166700</t>
  </si>
  <si>
    <t>TraesCS6D03G0729700;TraesCS6B03G1029200;TraesCS6D03G0282300</t>
  </si>
  <si>
    <t>aspartate family amino acid biosynthetic process</t>
  </si>
  <si>
    <t>TraesCS5D03G0435100;TraesCS5A03G0471800;TraesCS3D03G0166700</t>
  </si>
  <si>
    <t>regulation of flower development</t>
  </si>
  <si>
    <t>3 (3.19%)</t>
  </si>
  <si>
    <t>regulation of shoot system development</t>
  </si>
  <si>
    <t>3 (3.06%)</t>
  </si>
  <si>
    <t>8 (0.99%)</t>
  </si>
  <si>
    <t>TraesCS5D03G0435100;TraesCS7A03G0243900;TraesCS2A03G0777900;TraesCS4A03G0171400;TraesCS5A03G0471800;TraesCS4D03G0534700;TraesCS3D03G0166700;TraesCS7B03G0458700</t>
  </si>
  <si>
    <t>3 (2.91%)</t>
  </si>
  <si>
    <t>aspartate family amino acid metabolic process</t>
  </si>
  <si>
    <t>TraesCS2D03G0128900;TraesCS2A03G0131700;TraesCS3D03G0166700</t>
  </si>
  <si>
    <t>3 (2.63%)</t>
  </si>
  <si>
    <t>8 (0.92%)</t>
  </si>
  <si>
    <t>33 (0.48%)</t>
  </si>
  <si>
    <t>TraesCS1D03G0777800;TraesCS5B03G0257300;TraesCS5B03G0125800;TraesCS3D03G0048700;TraesCS5D03G0136600;TraesCS5B03G0125100;TraesCS5D03G0136700;TraesCS5D03G0136500;TraesCS3B03G1159100;TraesCS5A03G0114100;TraesCS5D03G0135700;TraesCS7D03G0475200;TraesCS4D03G0803000;TraesCS5A03G0112700;TraesCS5B03G0124900;TraesCS5B03G0256900;TraesCS5A03G0112500;TraesCS2A03G0905800;TraesCS6D03G0282300;TraesCS5D03G0716000;TraesCS2D03G0844800;TraesCS5B03G0124600;TraesCS3D03G1135100;TraesCS5B03G0126000;TraesCS5D03G0135500;TraesCS7B03G0306900;TraesCS3A03G1243100;TraesCS4D03G0060200;TraesCS5B03G0789800;TraesCS5A03G1215600;TraesCS7A03G0492900;TraesCS5A03G0113200;TraesCS3B03G1106800</t>
  </si>
  <si>
    <t>protein dephosphorylation</t>
  </si>
  <si>
    <t>4 (1.66%)</t>
  </si>
  <si>
    <t>TraesCS5D03G0361600;TraesCS5A03G0410400;TraesCS6D03G0306800;TraesCS5B03G0407400</t>
  </si>
  <si>
    <t>TraesCS2D03G0128900;TraesCS2A03G0131700</t>
  </si>
  <si>
    <t>pollen tube development</t>
  </si>
  <si>
    <t>2 (4.55%)</t>
  </si>
  <si>
    <t>water-soluble vitamin biosynthetic process</t>
  </si>
  <si>
    <t>3 (2.24%)</t>
  </si>
  <si>
    <t>water-soluble vitamin metabolic process</t>
  </si>
  <si>
    <t>3 (2.14%)</t>
  </si>
  <si>
    <t>NADPH regeneration</t>
  </si>
  <si>
    <t>TraesCS1D03G0848100;TraesCS2A03G0132800</t>
  </si>
  <si>
    <t>pentose-phosphate shunt</t>
  </si>
  <si>
    <t>3 (2.1%)</t>
  </si>
  <si>
    <t>glucose 6-phosphate metabolic process</t>
  </si>
  <si>
    <t>2 (4.08%)</t>
  </si>
  <si>
    <t>3 (2.03%)</t>
  </si>
  <si>
    <t>4 (1.32%)</t>
  </si>
  <si>
    <t>TraesCS5D03G0435100;TraesCS7A03G0243900;TraesCS5A03G0471800;TraesCS3D03G0166700</t>
  </si>
  <si>
    <t>3 (1.83%)</t>
  </si>
  <si>
    <t>2 (3.39%)</t>
  </si>
  <si>
    <t>TraesCS5B03G0539000;TraesCS5D03G0492800</t>
  </si>
  <si>
    <t>NADP metabolic process</t>
  </si>
  <si>
    <t>2 (3.03%)</t>
  </si>
  <si>
    <t>3 (1.7%)</t>
  </si>
  <si>
    <t>8 (0.75%)</t>
  </si>
  <si>
    <t>TraesCS5B03G0391600;TraesCS6D03G0310400;TraesCS5D03G0435100;TraesCS7A03G0243900;TraesCS4A03G0171400;TraesCS5A03G0471800;TraesCS4D03G0534700;TraesCS3D03G0166700</t>
  </si>
  <si>
    <t>2 (2.53%)</t>
  </si>
  <si>
    <t>3 (1.69%)</t>
  </si>
  <si>
    <t>regulation of reproductive process</t>
  </si>
  <si>
    <t>3 (1.65%)</t>
  </si>
  <si>
    <t>TraesCS7A03G0243900;TraesCS3D03G0166700</t>
  </si>
  <si>
    <t>nitric oxide metabolic process</t>
  </si>
  <si>
    <t>TraesCS6B03G0056200</t>
  </si>
  <si>
    <t>nitric oxide biosynthetic process</t>
  </si>
  <si>
    <t>2 (2.11%)</t>
  </si>
  <si>
    <t>TraesCS6D03G0847600;TraesCS6B03G1183500</t>
  </si>
  <si>
    <t>3 (1.33%)</t>
  </si>
  <si>
    <t>TraesCS5B03G0391600;TraesCS6D03G0310400;TraesCS5D03G0435100;TraesCS7A03G0243900;TraesCS2A03G0777900;TraesCS4A03G0171400;TraesCS5A03G0471800;TraesCS6B03G0056200;TraesCS4D03G0534700;TraesCS3D03G0166700;TraesCS7B03G0458700</t>
  </si>
  <si>
    <t>11 (0.57%)</t>
  </si>
  <si>
    <t>4 (0.94%)</t>
  </si>
  <si>
    <t>TraesCS7D03G0450100;TraesCS7A03G0469500;TraesCS7D03G0450000;TraesCS5B03G0189200</t>
  </si>
  <si>
    <t>2 (2.02%)</t>
  </si>
  <si>
    <t>endoplasmic reticulum unfolded protein response</t>
  </si>
  <si>
    <t>TraesCS6D03G0282300</t>
  </si>
  <si>
    <t>3 (1.12%)</t>
  </si>
  <si>
    <t>TraesCS3B03G1159100;TraesCS4D03G0803000;TraesCS5A03G1215600</t>
  </si>
  <si>
    <t>P2222</t>
  </si>
  <si>
    <t>N-up</t>
  </si>
  <si>
    <t>SN-up</t>
  </si>
  <si>
    <t>WM-up</t>
  </si>
  <si>
    <t>M-up</t>
  </si>
  <si>
    <t>All-up</t>
  </si>
  <si>
    <t>All-down</t>
  </si>
  <si>
    <t>M-down</t>
  </si>
  <si>
    <t>WM-down</t>
  </si>
  <si>
    <t>SN-down</t>
  </si>
  <si>
    <t>N-down</t>
  </si>
  <si>
    <t>DEFE --&gt;</t>
  </si>
  <si>
    <t>number of genes in the list --&gt;</t>
  </si>
  <si>
    <t>number of genes with a GO term --&gt;</t>
  </si>
  <si>
    <r>
      <t>Supplementary File S2 |</t>
    </r>
    <r>
      <rPr>
        <sz val="16"/>
        <color theme="1"/>
        <rFont val="Arial"/>
        <family val="2"/>
      </rPr>
      <t xml:space="preserve"> GO enrichment analyses for the genes uniquely up or down regulated by cold in one or all genotypes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</si>
</sst>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11" fontId="0" fillId="0" borderId="0" xfId="0" applyNumberFormat="1"/>
    <xf numFmtId="0" fontId="18" fillId="33" borderId="0" xfId="0" applyFont="1" applyFill="1"/>
    <xf numFmtId="0" fontId="0" fillId="33" borderId="0" xfId="0" applyFill="1"/>
    <xf numFmtId="0" fontId="16" fillId="0" borderId="0" xfId="0" applyFont="1"/>
    <xf numFmtId="0" fontId="19" fillId="0" borderId="0" xfId="0" applyFont="1"/>
    <xf numFmtId="0" fontId="16" fillId="0" borderId="0" xfId="0" applyFont="1" applyAlignment="1">
      <alignment horizontal="right"/>
    </xf>
    <xf numFmtId="0" fontId="16" fillId="34" borderId="0" xfId="0" applyFont="1" applyFill="1" applyAlignment="1">
      <alignment horizontal="right"/>
    </xf>
    <xf numFmtId="0" fontId="16" fillId="35" borderId="0" xfId="0" applyFont="1" applyFill="1" applyAlignment="1">
      <alignment horizontal="right"/>
    </xf>
    <xf numFmtId="0" fontId="16" fillId="36" borderId="0" xfId="0" applyFont="1" applyFill="1" applyAlignment="1">
      <alignment horizontal="right"/>
    </xf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0" fontId="0" fillId="0" borderId="0" xfId="0" applyFill="1"/>
    <xf numFmtId="11" fontId="0" fillId="0" borderId="0" xfId="0" applyNumberFormat="1" applyFill="1"/>
    <xf numFmtId="11" fontId="0" fillId="33" borderId="0" xfId="0" applyNumberFormat="1" applyFill="1"/>
    <xf numFmtId="0" fontId="20" fillId="0" borderId="0" xfId="42"/>
    <xf numFmtId="0" fontId="20" fillId="33" borderId="0" xfId="42" applyFill="1"/>
    <xf numFmtId="0" fontId="20" fillId="0" borderId="0" xfId="42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2"/>
  <sheetViews>
    <sheetView tabSelected="1" workbookViewId="0">
      <pane xSplit="3" ySplit="6" topLeftCell="D7" activePane="bottomRight" state="frozen"/>
      <selection pane="topRight" activeCell="D1" sqref="D1"/>
      <selection pane="bottomLeft" activeCell="A12" sqref="A12"/>
      <selection pane="bottomRight" activeCell="Q1200" sqref="Q1200"/>
    </sheetView>
  </sheetViews>
  <sheetFormatPr defaultRowHeight="15" x14ac:dyDescent="0.25"/>
  <cols>
    <col min="1" max="1" width="11.85546875" customWidth="1"/>
    <col min="2" max="2" width="38.7109375" customWidth="1"/>
    <col min="3" max="3" width="12" customWidth="1"/>
    <col min="4" max="13" width="9" customWidth="1"/>
  </cols>
  <sheetData>
    <row r="1" spans="1:13" ht="20.25" x14ac:dyDescent="0.3">
      <c r="A1" s="5" t="s">
        <v>3276</v>
      </c>
    </row>
    <row r="3" spans="1:13" x14ac:dyDescent="0.25">
      <c r="A3" s="4"/>
      <c r="B3" s="7" t="s">
        <v>3273</v>
      </c>
      <c r="C3" s="10"/>
      <c r="D3" s="7" t="s">
        <v>711</v>
      </c>
      <c r="E3" s="7" t="s">
        <v>1143</v>
      </c>
      <c r="F3" s="7" t="s">
        <v>1144</v>
      </c>
      <c r="G3" s="7" t="s">
        <v>1310</v>
      </c>
      <c r="H3" s="7" t="s">
        <v>1412</v>
      </c>
      <c r="I3" s="7" t="s">
        <v>1545</v>
      </c>
      <c r="J3" s="7" t="s">
        <v>1616</v>
      </c>
      <c r="K3" s="7" t="s">
        <v>1698</v>
      </c>
      <c r="L3" s="7" t="s">
        <v>3148</v>
      </c>
      <c r="M3" s="7" t="s">
        <v>3262</v>
      </c>
    </row>
    <row r="4" spans="1:13" x14ac:dyDescent="0.25">
      <c r="A4" s="4"/>
      <c r="B4" s="8" t="s">
        <v>3274</v>
      </c>
      <c r="C4" s="11"/>
      <c r="D4" s="8">
        <v>1484</v>
      </c>
      <c r="E4" s="8">
        <v>2036</v>
      </c>
      <c r="F4" s="8">
        <v>308</v>
      </c>
      <c r="G4" s="8">
        <v>450</v>
      </c>
      <c r="H4" s="8">
        <v>672</v>
      </c>
      <c r="I4" s="8">
        <v>884</v>
      </c>
      <c r="J4" s="8">
        <v>503</v>
      </c>
      <c r="K4" s="8">
        <v>187</v>
      </c>
      <c r="L4" s="8">
        <v>722</v>
      </c>
      <c r="M4" s="8">
        <v>313</v>
      </c>
    </row>
    <row r="5" spans="1:13" x14ac:dyDescent="0.25">
      <c r="A5" s="4"/>
      <c r="B5" s="9" t="s">
        <v>3275</v>
      </c>
      <c r="C5" s="12"/>
      <c r="D5" s="12">
        <v>1102</v>
      </c>
      <c r="E5" s="12">
        <v>1587</v>
      </c>
      <c r="F5" s="12">
        <v>234</v>
      </c>
      <c r="G5" s="12">
        <v>375</v>
      </c>
      <c r="H5" s="12">
        <v>463</v>
      </c>
      <c r="I5" s="12">
        <v>689</v>
      </c>
      <c r="J5" s="12">
        <v>353</v>
      </c>
      <c r="K5" s="12">
        <v>127</v>
      </c>
      <c r="L5" s="12">
        <v>566</v>
      </c>
      <c r="M5" s="12">
        <v>231</v>
      </c>
    </row>
    <row r="6" spans="1:13" x14ac:dyDescent="0.25">
      <c r="A6" s="4" t="s">
        <v>13</v>
      </c>
      <c r="B6" s="4" t="s">
        <v>14</v>
      </c>
      <c r="C6" s="4" t="s">
        <v>17</v>
      </c>
      <c r="D6" s="6" t="s">
        <v>3263</v>
      </c>
      <c r="E6" s="6" t="s">
        <v>3264</v>
      </c>
      <c r="F6" s="6" t="s">
        <v>3265</v>
      </c>
      <c r="G6" s="6" t="s">
        <v>3266</v>
      </c>
      <c r="H6" s="6" t="s">
        <v>3272</v>
      </c>
      <c r="I6" s="6" t="s">
        <v>3271</v>
      </c>
      <c r="J6" s="6" t="s">
        <v>3270</v>
      </c>
      <c r="K6" s="6" t="s">
        <v>3269</v>
      </c>
      <c r="L6" s="6" t="s">
        <v>3267</v>
      </c>
      <c r="M6" s="6" t="s">
        <v>3268</v>
      </c>
    </row>
    <row r="7" spans="1:13" x14ac:dyDescent="0.25">
      <c r="A7" s="16" t="str">
        <f>HYPERLINK("http://amigo.geneontology.org/amigo/term/GO:0006464","GO:0006464")</f>
        <v>GO:0006464</v>
      </c>
      <c r="B7" t="s">
        <v>715</v>
      </c>
      <c r="C7">
        <v>7436</v>
      </c>
      <c r="E7" s="1">
        <v>6.985E-54</v>
      </c>
      <c r="H7" s="1">
        <v>5.6129999999999999E-3</v>
      </c>
    </row>
    <row r="8" spans="1:13" x14ac:dyDescent="0.25">
      <c r="A8" s="16" t="str">
        <f>HYPERLINK("http://amigo.geneontology.org/amigo/term/GO:0036211","GO:0036211")</f>
        <v>GO:0036211</v>
      </c>
      <c r="B8" t="s">
        <v>714</v>
      </c>
      <c r="C8">
        <v>7436</v>
      </c>
      <c r="E8" s="1">
        <v>6.985E-54</v>
      </c>
      <c r="H8" s="1">
        <v>5.6129999999999999E-3</v>
      </c>
    </row>
    <row r="9" spans="1:13" x14ac:dyDescent="0.25">
      <c r="A9" s="16" t="str">
        <f>HYPERLINK("http://amigo.geneontology.org/amigo/term/GO:0043412","GO:0043412")</f>
        <v>GO:0043412</v>
      </c>
      <c r="B9" t="s">
        <v>718</v>
      </c>
      <c r="C9">
        <v>7831</v>
      </c>
      <c r="E9" s="1">
        <v>1.3229999999999999E-48</v>
      </c>
      <c r="H9">
        <v>0.01</v>
      </c>
    </row>
    <row r="10" spans="1:13" x14ac:dyDescent="0.25">
      <c r="A10" s="16" t="str">
        <f>HYPERLINK("http://amigo.geneontology.org/amigo/term/GO:0030001","GO:0030001")</f>
        <v>GO:0030001</v>
      </c>
      <c r="B10" t="s">
        <v>743</v>
      </c>
      <c r="C10">
        <v>729</v>
      </c>
      <c r="E10" s="1">
        <v>2.4159999999999999E-9</v>
      </c>
      <c r="H10" s="1">
        <v>6.7440000000000002E-4</v>
      </c>
    </row>
    <row r="11" spans="1:13" x14ac:dyDescent="0.25">
      <c r="A11" s="16" t="str">
        <f>HYPERLINK("http://amigo.geneontology.org/amigo/term/GO:0044238","GO:0044238")</f>
        <v>GO:0044238</v>
      </c>
      <c r="B11" t="s">
        <v>759</v>
      </c>
      <c r="C11">
        <v>21331</v>
      </c>
      <c r="E11" s="1">
        <v>1.321E-7</v>
      </c>
      <c r="H11" s="1">
        <v>2.4359999999999998E-3</v>
      </c>
      <c r="L11">
        <v>0.03</v>
      </c>
    </row>
    <row r="12" spans="1:13" x14ac:dyDescent="0.25">
      <c r="A12" s="16" t="str">
        <f>HYPERLINK("http://amigo.geneontology.org/amigo/term/GO:0006563","GO:0006563")</f>
        <v>GO:0006563</v>
      </c>
      <c r="B12" t="s">
        <v>40</v>
      </c>
      <c r="C12">
        <v>74</v>
      </c>
      <c r="D12" s="1">
        <v>1.3799999999999999E-6</v>
      </c>
      <c r="I12">
        <v>0.03</v>
      </c>
    </row>
    <row r="13" spans="1:13" x14ac:dyDescent="0.25">
      <c r="A13" s="16" t="str">
        <f>HYPERLINK("http://amigo.geneontology.org/amigo/term/GO:0009070","GO:0009070")</f>
        <v>GO:0009070</v>
      </c>
      <c r="B13" t="s">
        <v>43</v>
      </c>
      <c r="C13">
        <v>78</v>
      </c>
      <c r="D13" s="1">
        <v>2.1619999999999998E-6</v>
      </c>
      <c r="I13">
        <v>0.03</v>
      </c>
    </row>
    <row r="14" spans="1:13" x14ac:dyDescent="0.25">
      <c r="A14" s="16" t="str">
        <f>HYPERLINK("http://amigo.geneontology.org/amigo/term/GO:0044281","GO:0044281")</f>
        <v>GO:0044281</v>
      </c>
      <c r="B14" t="s">
        <v>45</v>
      </c>
      <c r="C14">
        <v>3180</v>
      </c>
      <c r="D14" s="1">
        <v>2.334E-6</v>
      </c>
      <c r="I14" s="1">
        <v>5.5250000000000004E-4</v>
      </c>
      <c r="M14" s="1">
        <v>1.9989999999999999E-3</v>
      </c>
    </row>
    <row r="15" spans="1:13" x14ac:dyDescent="0.25">
      <c r="A15" s="16" t="str">
        <f>HYPERLINK("http://amigo.geneontology.org/amigo/term/GO:0009620","GO:0009620")</f>
        <v>GO:0009620</v>
      </c>
      <c r="B15" t="s">
        <v>764</v>
      </c>
      <c r="C15">
        <v>127</v>
      </c>
      <c r="E15" s="1">
        <v>3.1E-6</v>
      </c>
      <c r="J15">
        <v>0.02</v>
      </c>
      <c r="L15" s="1">
        <v>5.6960000000000002E-7</v>
      </c>
    </row>
    <row r="16" spans="1:13" x14ac:dyDescent="0.25">
      <c r="A16" s="16" t="str">
        <f>HYPERLINK("http://amigo.geneontology.org/amigo/term/GO:1901701","GO:1901701")</f>
        <v>GO:1901701</v>
      </c>
      <c r="B16" t="s">
        <v>773</v>
      </c>
      <c r="C16">
        <v>249</v>
      </c>
      <c r="E16" s="1">
        <v>6.8669999999999996E-6</v>
      </c>
      <c r="J16">
        <v>0.03</v>
      </c>
    </row>
    <row r="17" spans="1:13" x14ac:dyDescent="0.25">
      <c r="A17" s="16" t="str">
        <f>HYPERLINK("http://amigo.geneontology.org/amigo/term/GO:0007154","GO:0007154")</f>
        <v>GO:0007154</v>
      </c>
      <c r="B17" t="s">
        <v>791</v>
      </c>
      <c r="C17">
        <v>1826</v>
      </c>
      <c r="E17" s="1">
        <v>1.102E-5</v>
      </c>
      <c r="H17" s="1">
        <v>4.9810000000000002E-3</v>
      </c>
    </row>
    <row r="18" spans="1:13" x14ac:dyDescent="0.25">
      <c r="A18" s="16" t="str">
        <f>HYPERLINK("http://amigo.geneontology.org/amigo/term/GO:0010033","GO:0010033")</f>
        <v>GO:0010033</v>
      </c>
      <c r="B18" t="s">
        <v>792</v>
      </c>
      <c r="C18">
        <v>1169</v>
      </c>
      <c r="E18" s="1">
        <v>1.234E-5</v>
      </c>
      <c r="H18">
        <v>0.03</v>
      </c>
      <c r="K18">
        <v>0.05</v>
      </c>
    </row>
    <row r="19" spans="1:13" x14ac:dyDescent="0.25">
      <c r="A19" s="16" t="str">
        <f>HYPERLINK("http://amigo.geneontology.org/amigo/term/GO:0065003","GO:0065003")</f>
        <v>GO:0065003</v>
      </c>
      <c r="B19" t="s">
        <v>84</v>
      </c>
      <c r="C19">
        <v>913</v>
      </c>
      <c r="D19" s="1">
        <v>1.808E-5</v>
      </c>
      <c r="I19">
        <v>0.02</v>
      </c>
    </row>
    <row r="20" spans="1:13" x14ac:dyDescent="0.25">
      <c r="A20" s="16" t="str">
        <f>HYPERLINK("http://amigo.geneontology.org/amigo/term/GO:0006812","GO:0006812")</f>
        <v>GO:0006812</v>
      </c>
      <c r="B20" t="s">
        <v>799</v>
      </c>
      <c r="C20">
        <v>1225</v>
      </c>
      <c r="E20" s="1">
        <v>1.9700000000000001E-5</v>
      </c>
      <c r="H20">
        <v>0.02</v>
      </c>
      <c r="L20">
        <v>0.01</v>
      </c>
    </row>
    <row r="21" spans="1:13" x14ac:dyDescent="0.25">
      <c r="A21" s="16" t="str">
        <f>HYPERLINK("http://amigo.geneontology.org/amigo/term/GO:0044283","GO:0044283")</f>
        <v>GO:0044283</v>
      </c>
      <c r="B21" t="s">
        <v>90</v>
      </c>
      <c r="C21">
        <v>1101</v>
      </c>
      <c r="D21" s="1">
        <v>2.1229999999999998E-5</v>
      </c>
      <c r="I21" s="1">
        <v>1.464E-3</v>
      </c>
      <c r="L21" s="1">
        <v>1.9629999999999999E-3</v>
      </c>
      <c r="M21" s="1">
        <v>6.5430000000000002E-4</v>
      </c>
    </row>
    <row r="22" spans="1:13" x14ac:dyDescent="0.25">
      <c r="A22" s="16" t="str">
        <f>HYPERLINK("http://amigo.geneontology.org/amigo/term/GO:0062012","GO:0062012")</f>
        <v>GO:0062012</v>
      </c>
      <c r="B22" t="s">
        <v>802</v>
      </c>
      <c r="C22">
        <v>57</v>
      </c>
      <c r="E22" s="1">
        <v>2.4859999999999999E-5</v>
      </c>
      <c r="H22" s="1">
        <v>5.2500000000000003E-3</v>
      </c>
    </row>
    <row r="23" spans="1:13" x14ac:dyDescent="0.25">
      <c r="A23" s="16" t="str">
        <f>HYPERLINK("http://amigo.geneontology.org/amigo/term/GO:0019752","GO:0019752")</f>
        <v>GO:0019752</v>
      </c>
      <c r="B23" t="s">
        <v>106</v>
      </c>
      <c r="C23">
        <v>1916</v>
      </c>
      <c r="D23" s="1">
        <v>3.9789999999999997E-5</v>
      </c>
      <c r="I23" s="1">
        <v>3.447E-3</v>
      </c>
      <c r="L23" s="1">
        <v>3.101E-3</v>
      </c>
    </row>
    <row r="24" spans="1:13" x14ac:dyDescent="0.25">
      <c r="A24" s="16" t="str">
        <f>HYPERLINK("http://amigo.geneontology.org/amigo/term/GO:0009753","GO:0009753")</f>
        <v>GO:0009753</v>
      </c>
      <c r="B24" t="s">
        <v>807</v>
      </c>
      <c r="C24">
        <v>61</v>
      </c>
      <c r="E24" s="1">
        <v>4.1140000000000003E-5</v>
      </c>
      <c r="J24">
        <v>0.03</v>
      </c>
      <c r="L24">
        <v>0.01</v>
      </c>
    </row>
    <row r="25" spans="1:13" x14ac:dyDescent="0.25">
      <c r="A25" s="16" t="str">
        <f>HYPERLINK("http://amigo.geneontology.org/amigo/term/GO:0070542","GO:0070542")</f>
        <v>GO:0070542</v>
      </c>
      <c r="B25" t="s">
        <v>808</v>
      </c>
      <c r="C25">
        <v>62</v>
      </c>
      <c r="E25" s="1">
        <v>4.6360000000000003E-5</v>
      </c>
      <c r="J25">
        <v>0.03</v>
      </c>
      <c r="L25">
        <v>0.01</v>
      </c>
    </row>
    <row r="26" spans="1:13" x14ac:dyDescent="0.25">
      <c r="A26" s="16" t="str">
        <f>HYPERLINK("http://amigo.geneontology.org/amigo/term/GO:0033993","GO:0033993")</f>
        <v>GO:0033993</v>
      </c>
      <c r="B26" t="s">
        <v>810</v>
      </c>
      <c r="C26">
        <v>399</v>
      </c>
      <c r="E26" s="1">
        <v>4.9459999999999997E-5</v>
      </c>
      <c r="J26">
        <v>0.01</v>
      </c>
      <c r="K26" s="1">
        <v>4.7710000000000001E-3</v>
      </c>
    </row>
    <row r="27" spans="1:13" x14ac:dyDescent="0.25">
      <c r="A27" s="16" t="str">
        <f>HYPERLINK("http://amigo.geneontology.org/amigo/term/GO:0043436","GO:0043436")</f>
        <v>GO:0043436</v>
      </c>
      <c r="B27" t="s">
        <v>109</v>
      </c>
      <c r="C27">
        <v>1934</v>
      </c>
      <c r="D27" s="1">
        <v>5.0290000000000001E-5</v>
      </c>
      <c r="I27" s="1">
        <v>3.9300000000000003E-3</v>
      </c>
      <c r="L27" s="1">
        <v>3.5010000000000002E-3</v>
      </c>
      <c r="M27">
        <v>0.04</v>
      </c>
    </row>
    <row r="28" spans="1:13" x14ac:dyDescent="0.25">
      <c r="A28" s="16" t="str">
        <f>HYPERLINK("http://amigo.geneontology.org/amigo/term/GO:0006520","GO:0006520")</f>
        <v>GO:0006520</v>
      </c>
      <c r="B28" t="s">
        <v>114</v>
      </c>
      <c r="C28">
        <v>1067</v>
      </c>
      <c r="D28" s="1">
        <v>6.088E-5</v>
      </c>
      <c r="I28" s="1">
        <v>4.1800000000000002E-4</v>
      </c>
      <c r="L28" s="1">
        <v>5.5509999999999999E-4</v>
      </c>
      <c r="M28">
        <v>0.02</v>
      </c>
    </row>
    <row r="29" spans="1:13" x14ac:dyDescent="0.25">
      <c r="A29" s="16" t="str">
        <f>HYPERLINK("http://amigo.geneontology.org/amigo/term/GO:0042762","GO:0042762")</f>
        <v>GO:0042762</v>
      </c>
      <c r="B29" t="s">
        <v>817</v>
      </c>
      <c r="C29">
        <v>21</v>
      </c>
      <c r="E29" s="1">
        <v>6.2760000000000002E-5</v>
      </c>
      <c r="H29" s="1">
        <v>7.3000000000000001E-3</v>
      </c>
    </row>
    <row r="30" spans="1:13" x14ac:dyDescent="0.25">
      <c r="A30" s="16" t="str">
        <f>HYPERLINK("http://amigo.geneontology.org/amigo/term/GO:0043933","GO:0043933")</f>
        <v>GO:0043933</v>
      </c>
      <c r="B30" t="s">
        <v>123</v>
      </c>
      <c r="C30">
        <v>1005</v>
      </c>
      <c r="D30" s="1">
        <v>1.052E-4</v>
      </c>
      <c r="I30">
        <v>0.01</v>
      </c>
    </row>
    <row r="31" spans="1:13" x14ac:dyDescent="0.25">
      <c r="A31" s="16" t="str">
        <f>HYPERLINK("http://amigo.geneontology.org/amigo/term/GO:0006811","GO:0006811")</f>
        <v>GO:0006811</v>
      </c>
      <c r="B31" t="s">
        <v>825</v>
      </c>
      <c r="C31">
        <v>1564</v>
      </c>
      <c r="E31" s="1">
        <v>1.0620000000000001E-4</v>
      </c>
      <c r="H31" s="1">
        <v>4.1900000000000001E-3</v>
      </c>
      <c r="L31" s="1">
        <v>8.2819999999999994E-3</v>
      </c>
    </row>
    <row r="32" spans="1:13" x14ac:dyDescent="0.25">
      <c r="A32" s="16" t="str">
        <f>HYPERLINK("http://amigo.geneontology.org/amigo/term/GO:0034622","GO:0034622")</f>
        <v>GO:0034622</v>
      </c>
      <c r="B32" t="s">
        <v>128</v>
      </c>
      <c r="C32">
        <v>841</v>
      </c>
      <c r="D32" s="1">
        <v>1.5190000000000001E-4</v>
      </c>
      <c r="I32">
        <v>0.01</v>
      </c>
    </row>
    <row r="33" spans="1:13" x14ac:dyDescent="0.25">
      <c r="A33" s="16" t="str">
        <f>HYPERLINK("http://amigo.geneontology.org/amigo/term/GO:0050832","GO:0050832")</f>
        <v>GO:0050832</v>
      </c>
      <c r="B33" t="s">
        <v>828</v>
      </c>
      <c r="C33">
        <v>115</v>
      </c>
      <c r="E33" s="1">
        <v>1.663E-4</v>
      </c>
      <c r="J33">
        <v>0.02</v>
      </c>
      <c r="L33" s="1">
        <v>2.4470000000000001E-7</v>
      </c>
    </row>
    <row r="34" spans="1:13" x14ac:dyDescent="0.25">
      <c r="A34" s="16" t="str">
        <f>HYPERLINK("http://amigo.geneontology.org/amigo/term/GO:0009415","GO:0009415")</f>
        <v>GO:0009415</v>
      </c>
      <c r="B34" t="s">
        <v>139</v>
      </c>
      <c r="C34">
        <v>308</v>
      </c>
      <c r="D34" s="1">
        <v>2.0890000000000001E-4</v>
      </c>
      <c r="I34">
        <v>0.02</v>
      </c>
      <c r="K34">
        <v>0.02</v>
      </c>
      <c r="L34" s="1">
        <v>2.4719999999999998E-3</v>
      </c>
    </row>
    <row r="35" spans="1:13" x14ac:dyDescent="0.25">
      <c r="A35" s="16" t="str">
        <f>HYPERLINK("http://amigo.geneontology.org/amigo/term/GO:0009414","GO:0009414")</f>
        <v>GO:0009414</v>
      </c>
      <c r="B35" t="s">
        <v>142</v>
      </c>
      <c r="C35">
        <v>274</v>
      </c>
      <c r="D35" s="1">
        <v>2.3010000000000001E-4</v>
      </c>
      <c r="I35">
        <v>0.01</v>
      </c>
      <c r="K35">
        <v>0.01</v>
      </c>
    </row>
    <row r="36" spans="1:13" x14ac:dyDescent="0.25">
      <c r="A36" s="16" t="str">
        <f>HYPERLINK("http://amigo.geneontology.org/amigo/term/GO:0001101","GO:0001101")</f>
        <v>GO:0001101</v>
      </c>
      <c r="B36" t="s">
        <v>145</v>
      </c>
      <c r="C36">
        <v>312</v>
      </c>
      <c r="D36" s="1">
        <v>2.3829999999999999E-4</v>
      </c>
      <c r="I36">
        <v>0.03</v>
      </c>
      <c r="K36">
        <v>0.02</v>
      </c>
      <c r="L36" s="1">
        <v>2.6740000000000002E-3</v>
      </c>
    </row>
    <row r="37" spans="1:13" x14ac:dyDescent="0.25">
      <c r="A37" s="16" t="str">
        <f>HYPERLINK("http://amigo.geneontology.org/amigo/term/GO:1901668","GO:1901668")</f>
        <v>GO:1901668</v>
      </c>
      <c r="B37" t="s">
        <v>149</v>
      </c>
      <c r="C37">
        <v>9</v>
      </c>
      <c r="D37" s="1">
        <v>2.441E-4</v>
      </c>
      <c r="J37" s="1">
        <v>7.6840000000000003E-4</v>
      </c>
    </row>
    <row r="38" spans="1:13" x14ac:dyDescent="0.25">
      <c r="A38" s="16" t="str">
        <f>HYPERLINK("http://amigo.geneontology.org/amigo/term/GO:1901671","GO:1901671")</f>
        <v>GO:1901671</v>
      </c>
      <c r="B38" t="s">
        <v>151</v>
      </c>
      <c r="C38">
        <v>9</v>
      </c>
      <c r="D38" s="1">
        <v>2.441E-4</v>
      </c>
      <c r="J38" s="1">
        <v>7.6840000000000003E-4</v>
      </c>
    </row>
    <row r="39" spans="1:13" x14ac:dyDescent="0.25">
      <c r="A39" s="16" t="str">
        <f>HYPERLINK("http://amigo.geneontology.org/amigo/term/GO:0034599","GO:0034599")</f>
        <v>GO:0034599</v>
      </c>
      <c r="B39" t="s">
        <v>152</v>
      </c>
      <c r="C39">
        <v>39</v>
      </c>
      <c r="D39" s="1">
        <v>2.5080000000000002E-4</v>
      </c>
      <c r="I39">
        <v>0.05</v>
      </c>
    </row>
    <row r="40" spans="1:13" x14ac:dyDescent="0.25">
      <c r="A40" s="16" t="str">
        <f>HYPERLINK("http://amigo.geneontology.org/amigo/term/GO:0055085","GO:0055085")</f>
        <v>GO:0055085</v>
      </c>
      <c r="B40" t="s">
        <v>861</v>
      </c>
      <c r="C40">
        <v>3222</v>
      </c>
      <c r="E40" s="1">
        <v>4.6739999999999998E-4</v>
      </c>
      <c r="G40">
        <v>8.4179999999999997E-5</v>
      </c>
      <c r="H40" s="1">
        <v>3.1710000000000002E-3</v>
      </c>
      <c r="J40" s="1">
        <v>5.3660000000000001E-3</v>
      </c>
      <c r="L40" s="1">
        <v>6.0200000000000002E-7</v>
      </c>
    </row>
    <row r="41" spans="1:13" x14ac:dyDescent="0.25">
      <c r="A41" s="16" t="str">
        <f>HYPERLINK("http://amigo.geneontology.org/amigo/term/GO:1900376","GO:1900376")</f>
        <v>GO:1900376</v>
      </c>
      <c r="B41" t="s">
        <v>866</v>
      </c>
      <c r="C41">
        <v>8</v>
      </c>
      <c r="E41" s="1">
        <v>4.8010000000000001E-4</v>
      </c>
      <c r="H41" s="1">
        <v>1.026E-3</v>
      </c>
    </row>
    <row r="42" spans="1:13" x14ac:dyDescent="0.25">
      <c r="A42" s="16" t="str">
        <f>HYPERLINK("http://amigo.geneontology.org/amigo/term/GO:0009116","GO:0009116")</f>
        <v>GO:0009116</v>
      </c>
      <c r="B42" t="s">
        <v>181</v>
      </c>
      <c r="C42">
        <v>96</v>
      </c>
      <c r="D42" s="1">
        <v>5.3620000000000002E-4</v>
      </c>
      <c r="J42">
        <v>0.01</v>
      </c>
    </row>
    <row r="43" spans="1:13" x14ac:dyDescent="0.25">
      <c r="A43" s="16" t="str">
        <f>HYPERLINK("http://amigo.geneontology.org/amigo/term/GO:0016053","GO:0016053")</f>
        <v>GO:0016053</v>
      </c>
      <c r="B43" t="s">
        <v>188</v>
      </c>
      <c r="C43">
        <v>872</v>
      </c>
      <c r="D43" s="1">
        <v>6.0210000000000005E-4</v>
      </c>
      <c r="I43" s="1">
        <v>7.2570000000000004E-3</v>
      </c>
      <c r="L43" s="1">
        <v>3.9389999999999998E-4</v>
      </c>
      <c r="M43" s="1">
        <v>5.7840000000000001E-3</v>
      </c>
    </row>
    <row r="44" spans="1:13" x14ac:dyDescent="0.25">
      <c r="A44" s="16" t="str">
        <f>HYPERLINK("http://amigo.geneontology.org/amigo/term/GO:0002229","GO:0002229")</f>
        <v>GO:0002229</v>
      </c>
      <c r="B44" t="s">
        <v>871</v>
      </c>
      <c r="C44">
        <v>50</v>
      </c>
      <c r="E44" s="1">
        <v>6.1709999999999998E-4</v>
      </c>
      <c r="H44">
        <v>0.04</v>
      </c>
    </row>
    <row r="45" spans="1:13" x14ac:dyDescent="0.25">
      <c r="A45" s="16" t="str">
        <f>HYPERLINK("http://amigo.geneontology.org/amigo/term/GO:0002239","GO:0002239")</f>
        <v>GO:0002239</v>
      </c>
      <c r="B45" t="s">
        <v>870</v>
      </c>
      <c r="C45">
        <v>50</v>
      </c>
      <c r="E45" s="1">
        <v>6.1709999999999998E-4</v>
      </c>
      <c r="H45">
        <v>0.04</v>
      </c>
    </row>
    <row r="46" spans="1:13" x14ac:dyDescent="0.25">
      <c r="A46" s="16" t="str">
        <f>HYPERLINK("http://amigo.geneontology.org/amigo/term/GO:1901657","GO:1901657")</f>
        <v>GO:1901657</v>
      </c>
      <c r="B46" t="s">
        <v>197</v>
      </c>
      <c r="C46">
        <v>99</v>
      </c>
      <c r="D46" s="1">
        <v>6.4499999999999996E-4</v>
      </c>
      <c r="J46">
        <v>0.01</v>
      </c>
    </row>
    <row r="47" spans="1:13" x14ac:dyDescent="0.25">
      <c r="A47" s="16" t="str">
        <f>HYPERLINK("http://amigo.geneontology.org/amigo/term/GO:0071805","GO:0071805")</f>
        <v>GO:0071805</v>
      </c>
      <c r="B47" t="s">
        <v>876</v>
      </c>
      <c r="C47">
        <v>115</v>
      </c>
      <c r="E47" s="1">
        <v>7.5359999999999999E-4</v>
      </c>
      <c r="H47">
        <v>0.03</v>
      </c>
    </row>
    <row r="48" spans="1:13" x14ac:dyDescent="0.25">
      <c r="A48" s="16" t="str">
        <f>HYPERLINK("http://amigo.geneontology.org/amigo/term/GO:0006656","GO:0006656")</f>
        <v>GO:0006656</v>
      </c>
      <c r="B48" t="s">
        <v>205</v>
      </c>
      <c r="C48">
        <v>13</v>
      </c>
      <c r="D48" s="1">
        <v>7.9569999999999999E-4</v>
      </c>
      <c r="I48" s="1">
        <v>6.0720000000000001E-3</v>
      </c>
    </row>
    <row r="49" spans="1:13" x14ac:dyDescent="0.25">
      <c r="A49" s="16" t="str">
        <f>HYPERLINK("http://amigo.geneontology.org/amigo/term/GO:0046653","GO:0046653")</f>
        <v>GO:0046653</v>
      </c>
      <c r="B49" t="s">
        <v>208</v>
      </c>
      <c r="C49">
        <v>29</v>
      </c>
      <c r="D49" s="1">
        <v>8.0250000000000004E-4</v>
      </c>
      <c r="I49">
        <v>0.03</v>
      </c>
    </row>
    <row r="50" spans="1:13" x14ac:dyDescent="0.25">
      <c r="A50" s="16" t="str">
        <f>HYPERLINK("http://amigo.geneontology.org/amigo/term/GO:0006749","GO:0006749")</f>
        <v>GO:0006749</v>
      </c>
      <c r="B50" t="s">
        <v>48</v>
      </c>
      <c r="C50">
        <v>399</v>
      </c>
      <c r="D50" s="1">
        <v>2.418E-6</v>
      </c>
      <c r="E50" s="1">
        <v>2.274E-3</v>
      </c>
      <c r="F50" s="1">
        <v>2.7310000000000002E-4</v>
      </c>
      <c r="J50">
        <v>0.04</v>
      </c>
      <c r="L50" s="1">
        <v>2.52E-4</v>
      </c>
    </row>
    <row r="51" spans="1:13" x14ac:dyDescent="0.25">
      <c r="A51" s="16" t="str">
        <f>HYPERLINK("http://amigo.geneontology.org/amigo/term/GO:0006351","GO:0006351")</f>
        <v>GO:0006351</v>
      </c>
      <c r="B51" t="s">
        <v>1073</v>
      </c>
      <c r="C51">
        <v>1683</v>
      </c>
      <c r="F51" s="1">
        <v>8.6790000000000001E-4</v>
      </c>
      <c r="K51" s="1">
        <v>1.3789999999999999E-4</v>
      </c>
    </row>
    <row r="52" spans="1:13" x14ac:dyDescent="0.25">
      <c r="A52" s="16" t="str">
        <f>HYPERLINK("http://amigo.geneontology.org/amigo/term/GO:0097659","GO:0097659")</f>
        <v>GO:0097659</v>
      </c>
      <c r="B52" t="s">
        <v>1074</v>
      </c>
      <c r="C52">
        <v>1685</v>
      </c>
      <c r="F52" s="1">
        <v>8.7779999999999998E-4</v>
      </c>
      <c r="K52" s="1">
        <v>1.393E-4</v>
      </c>
    </row>
    <row r="53" spans="1:13" x14ac:dyDescent="0.25">
      <c r="A53" s="16" t="str">
        <f>HYPERLINK("http://amigo.geneontology.org/amigo/term/GO:0046395","GO:0046395")</f>
        <v>GO:0046395</v>
      </c>
      <c r="B53" t="s">
        <v>210</v>
      </c>
      <c r="C53">
        <v>203</v>
      </c>
      <c r="D53" s="1">
        <v>8.8279999999999999E-4</v>
      </c>
      <c r="H53">
        <v>0.04</v>
      </c>
      <c r="L53" s="1">
        <v>5.6589999999999999E-8</v>
      </c>
    </row>
    <row r="54" spans="1:13" x14ac:dyDescent="0.25">
      <c r="A54" s="16" t="str">
        <f>HYPERLINK("http://amigo.geneontology.org/amigo/term/GO:0032774","GO:0032774")</f>
        <v>GO:0032774</v>
      </c>
      <c r="B54" t="s">
        <v>1075</v>
      </c>
      <c r="C54">
        <v>1692</v>
      </c>
      <c r="F54" s="1">
        <v>9.1299999999999997E-4</v>
      </c>
      <c r="K54" s="1">
        <v>1.4440000000000001E-4</v>
      </c>
    </row>
    <row r="55" spans="1:13" x14ac:dyDescent="0.25">
      <c r="A55" s="16" t="str">
        <f>HYPERLINK("http://amigo.geneontology.org/amigo/term/GO:0009058","GO:0009058")</f>
        <v>GO:0009058</v>
      </c>
      <c r="B55" t="s">
        <v>213</v>
      </c>
      <c r="C55">
        <v>7451</v>
      </c>
      <c r="D55" s="1">
        <v>9.1589999999999998E-4</v>
      </c>
      <c r="I55" s="1">
        <v>3.3379999999999998E-8</v>
      </c>
      <c r="K55">
        <v>0.02</v>
      </c>
    </row>
    <row r="56" spans="1:13" x14ac:dyDescent="0.25">
      <c r="A56" s="16" t="str">
        <f>HYPERLINK("http://amigo.geneontology.org/amigo/term/GO:0040008","GO:0040008")</f>
        <v>GO:0040008</v>
      </c>
      <c r="B56" t="s">
        <v>883</v>
      </c>
      <c r="C56">
        <v>171</v>
      </c>
      <c r="E56" s="1">
        <v>1.065E-3</v>
      </c>
      <c r="H56">
        <v>0.02</v>
      </c>
    </row>
    <row r="57" spans="1:13" x14ac:dyDescent="0.25">
      <c r="A57" s="16" t="str">
        <f>HYPERLINK("http://amigo.geneontology.org/amigo/term/GO:0046394","GO:0046394")</f>
        <v>GO:0046394</v>
      </c>
      <c r="B57" t="s">
        <v>219</v>
      </c>
      <c r="C57">
        <v>812</v>
      </c>
      <c r="D57" s="1">
        <v>1.0759999999999999E-3</v>
      </c>
      <c r="I57" s="1">
        <v>3.7559999999999998E-3</v>
      </c>
      <c r="L57" s="1">
        <v>3.7629999999999999E-3</v>
      </c>
      <c r="M57" s="1">
        <v>3.8049999999999998E-3</v>
      </c>
    </row>
    <row r="58" spans="1:13" x14ac:dyDescent="0.25">
      <c r="A58" s="16" t="str">
        <f>HYPERLINK("http://amigo.geneontology.org/amigo/term/GO:0071103","GO:0071103")</f>
        <v>GO:0071103</v>
      </c>
      <c r="B58" t="s">
        <v>228</v>
      </c>
      <c r="C58">
        <v>367</v>
      </c>
      <c r="D58" s="1">
        <v>1.168E-3</v>
      </c>
      <c r="I58" s="1">
        <v>6.4309999999999997E-4</v>
      </c>
    </row>
    <row r="59" spans="1:13" x14ac:dyDescent="0.25">
      <c r="A59" s="16" t="str">
        <f>HYPERLINK("http://amigo.geneontology.org/amigo/term/GO:0005975","GO:0005975")</f>
        <v>GO:0005975</v>
      </c>
      <c r="B59" t="s">
        <v>295</v>
      </c>
      <c r="C59">
        <v>2685</v>
      </c>
      <c r="D59" s="1">
        <v>2.297E-3</v>
      </c>
      <c r="G59">
        <v>9.3460000000000003E-5</v>
      </c>
      <c r="H59" s="1">
        <v>6.7750000000000004E-4</v>
      </c>
      <c r="I59">
        <v>0.02</v>
      </c>
      <c r="J59" s="1">
        <v>1.236E-5</v>
      </c>
      <c r="L59" s="1">
        <v>3.638E-21</v>
      </c>
      <c r="M59" s="1">
        <v>3.1229999999999997E-5</v>
      </c>
    </row>
    <row r="60" spans="1:13" x14ac:dyDescent="0.25">
      <c r="A60" s="16" t="str">
        <f>HYPERLINK("http://amigo.geneontology.org/amigo/term/GO:0051353","GO:0051353")</f>
        <v>GO:0051353</v>
      </c>
      <c r="B60" t="s">
        <v>237</v>
      </c>
      <c r="C60">
        <v>15</v>
      </c>
      <c r="D60" s="1">
        <v>1.2390000000000001E-3</v>
      </c>
      <c r="J60" s="1">
        <v>2.2000000000000001E-3</v>
      </c>
    </row>
    <row r="61" spans="1:13" x14ac:dyDescent="0.25">
      <c r="A61" s="16" t="str">
        <f>HYPERLINK("http://amigo.geneontology.org/amigo/term/GO:0043455","GO:0043455")</f>
        <v>GO:0043455</v>
      </c>
      <c r="B61" t="s">
        <v>888</v>
      </c>
      <c r="C61">
        <v>23</v>
      </c>
      <c r="E61" s="1">
        <v>1.253E-3</v>
      </c>
      <c r="H61" s="1">
        <v>8.7240000000000009E-3</v>
      </c>
    </row>
    <row r="62" spans="1:13" x14ac:dyDescent="0.25">
      <c r="A62" s="16" t="str">
        <f>HYPERLINK("http://amigo.geneontology.org/amigo/term/GO:0048367","GO:0048367")</f>
        <v>GO:0048367</v>
      </c>
      <c r="B62" t="s">
        <v>909</v>
      </c>
      <c r="C62">
        <v>262</v>
      </c>
      <c r="E62" s="1">
        <v>1.4649999999999999E-3</v>
      </c>
      <c r="J62" s="1">
        <v>8.116E-3</v>
      </c>
    </row>
    <row r="63" spans="1:13" x14ac:dyDescent="0.25">
      <c r="A63" s="16" t="str">
        <f>HYPERLINK("http://amigo.geneontology.org/amigo/term/GO:0006536","GO:0006536")</f>
        <v>GO:0006536</v>
      </c>
      <c r="B63" t="s">
        <v>243</v>
      </c>
      <c r="C63">
        <v>34</v>
      </c>
      <c r="D63" s="1">
        <v>1.4790000000000001E-3</v>
      </c>
      <c r="H63">
        <v>0.02</v>
      </c>
    </row>
    <row r="64" spans="1:13" x14ac:dyDescent="0.25">
      <c r="A64" s="16" t="s">
        <v>1221</v>
      </c>
      <c r="B64" t="s">
        <v>1222</v>
      </c>
      <c r="C64">
        <v>100</v>
      </c>
      <c r="G64">
        <v>1.616E-3</v>
      </c>
      <c r="I64">
        <v>0.01</v>
      </c>
      <c r="K64">
        <v>0.01</v>
      </c>
    </row>
    <row r="65" spans="1:13" x14ac:dyDescent="0.25">
      <c r="A65" s="16" t="str">
        <f>HYPERLINK("http://amigo.geneontology.org/amigo/term/GO:0006575","GO:0006575")</f>
        <v>GO:0006575</v>
      </c>
      <c r="B65" t="s">
        <v>23</v>
      </c>
      <c r="C65">
        <v>464</v>
      </c>
      <c r="D65" s="1">
        <v>3.5479999999999997E-8</v>
      </c>
      <c r="E65" s="1">
        <v>4.9890000000000004E-3</v>
      </c>
      <c r="F65" s="1">
        <v>1.133E-4</v>
      </c>
      <c r="I65">
        <v>0.03</v>
      </c>
      <c r="L65" s="1">
        <v>6.0680000000000002E-5</v>
      </c>
    </row>
    <row r="66" spans="1:13" x14ac:dyDescent="0.25">
      <c r="A66" s="16" t="str">
        <f>HYPERLINK("http://amigo.geneontology.org/amigo/term/GO:1901576","GO:1901576")</f>
        <v>GO:1901576</v>
      </c>
      <c r="B66" t="s">
        <v>249</v>
      </c>
      <c r="C66">
        <v>7032</v>
      </c>
      <c r="D66" s="1">
        <v>1.799E-3</v>
      </c>
      <c r="I66" s="1">
        <v>1.397E-9</v>
      </c>
      <c r="K66">
        <v>0.01</v>
      </c>
    </row>
    <row r="67" spans="1:13" x14ac:dyDescent="0.25">
      <c r="A67" s="16" t="str">
        <f>HYPERLINK("http://amigo.geneontology.org/amigo/term/GO:0044282","GO:0044282")</f>
        <v>GO:0044282</v>
      </c>
      <c r="B67" t="s">
        <v>257</v>
      </c>
      <c r="C67">
        <v>302</v>
      </c>
      <c r="D67" s="1">
        <v>1.8209999999999999E-3</v>
      </c>
      <c r="K67">
        <v>0.01</v>
      </c>
      <c r="L67" s="1">
        <v>3.8070000000000001E-6</v>
      </c>
    </row>
    <row r="68" spans="1:13" x14ac:dyDescent="0.25">
      <c r="A68" s="16" t="str">
        <f>HYPERLINK("http://amigo.geneontology.org/amigo/term/GO:0031497","GO:0031497")</f>
        <v>GO:0031497</v>
      </c>
      <c r="B68" t="s">
        <v>264</v>
      </c>
      <c r="C68">
        <v>263</v>
      </c>
      <c r="D68" s="1">
        <v>1.866E-3</v>
      </c>
      <c r="I68" s="1">
        <v>3.6069999999999999E-5</v>
      </c>
    </row>
    <row r="69" spans="1:13" x14ac:dyDescent="0.25">
      <c r="A69" s="16" t="str">
        <f>HYPERLINK("http://amigo.geneontology.org/amigo/term/GO:1901607","GO:1901607")</f>
        <v>GO:1901607</v>
      </c>
      <c r="B69" t="s">
        <v>267</v>
      </c>
      <c r="C69">
        <v>303</v>
      </c>
      <c r="D69" s="1">
        <v>1.872E-3</v>
      </c>
      <c r="I69" s="1">
        <v>5.373E-4</v>
      </c>
      <c r="M69">
        <v>0.01</v>
      </c>
    </row>
    <row r="70" spans="1:13" x14ac:dyDescent="0.25">
      <c r="A70" s="16" t="str">
        <f>HYPERLINK("http://amigo.geneontology.org/amigo/term/GO:0019222","GO:0019222")</f>
        <v>GO:0019222</v>
      </c>
      <c r="B70" t="s">
        <v>918</v>
      </c>
      <c r="C70">
        <v>5424</v>
      </c>
      <c r="E70" s="1">
        <v>1.8890000000000001E-3</v>
      </c>
      <c r="K70" s="1">
        <v>1.031E-4</v>
      </c>
    </row>
    <row r="71" spans="1:13" x14ac:dyDescent="0.25">
      <c r="A71" s="16" t="str">
        <f>HYPERLINK("http://amigo.geneontology.org/amigo/term/GO:0006721","GO:0006721")</f>
        <v>GO:0006721</v>
      </c>
      <c r="B71" t="s">
        <v>1079</v>
      </c>
      <c r="C71">
        <v>173</v>
      </c>
      <c r="F71" s="1">
        <v>2.1549999999999998E-3</v>
      </c>
      <c r="G71">
        <v>1.817E-3</v>
      </c>
      <c r="K71">
        <v>0.03</v>
      </c>
    </row>
    <row r="72" spans="1:13" x14ac:dyDescent="0.25">
      <c r="A72" s="16" t="str">
        <f>HYPERLINK("http://amigo.geneontology.org/amigo/term/GO:0031323","GO:0031323")</f>
        <v>GO:0031323</v>
      </c>
      <c r="B72" t="s">
        <v>922</v>
      </c>
      <c r="C72">
        <v>5099</v>
      </c>
      <c r="E72" s="1">
        <v>2.0929999999999998E-3</v>
      </c>
      <c r="K72" s="1">
        <v>1.225E-4</v>
      </c>
    </row>
    <row r="73" spans="1:13" x14ac:dyDescent="0.25">
      <c r="A73" s="16" t="str">
        <f>HYPERLINK("http://amigo.geneontology.org/amigo/term/GO:0042430","GO:0042430")</f>
        <v>GO:0042430</v>
      </c>
      <c r="B73" t="s">
        <v>925</v>
      </c>
      <c r="C73">
        <v>86</v>
      </c>
      <c r="E73" s="1">
        <v>2.2769999999999999E-3</v>
      </c>
      <c r="I73" s="1">
        <v>1.1839999999999999E-3</v>
      </c>
    </row>
    <row r="74" spans="1:13" x14ac:dyDescent="0.25">
      <c r="A74" s="16" t="str">
        <f>HYPERLINK("http://amigo.geneontology.org/amigo/term/GO:0006333","GO:0006333")</f>
        <v>GO:0006333</v>
      </c>
      <c r="B74" t="s">
        <v>291</v>
      </c>
      <c r="C74">
        <v>270</v>
      </c>
      <c r="D74" s="1">
        <v>2.2880000000000001E-3</v>
      </c>
      <c r="I74" s="1">
        <v>4.5729999999999998E-5</v>
      </c>
    </row>
    <row r="75" spans="1:13" x14ac:dyDescent="0.25">
      <c r="A75" s="16" t="str">
        <f>HYPERLINK("http://amigo.geneontology.org/amigo/term/GO:0051341","GO:0051341")</f>
        <v>GO:0051341</v>
      </c>
      <c r="B75" t="s">
        <v>310</v>
      </c>
      <c r="C75">
        <v>19</v>
      </c>
      <c r="D75" s="1">
        <v>2.526E-3</v>
      </c>
      <c r="J75" s="1">
        <v>3.539E-3</v>
      </c>
    </row>
    <row r="76" spans="1:13" x14ac:dyDescent="0.25">
      <c r="A76" s="16" t="str">
        <f>HYPERLINK("http://amigo.geneontology.org/amigo/term/GO:0000303","GO:0000303")</f>
        <v>GO:0000303</v>
      </c>
      <c r="B76" t="s">
        <v>305</v>
      </c>
      <c r="C76">
        <v>19</v>
      </c>
      <c r="D76" s="1">
        <v>2.526E-3</v>
      </c>
      <c r="I76">
        <v>0.01</v>
      </c>
    </row>
    <row r="77" spans="1:13" x14ac:dyDescent="0.25">
      <c r="A77" s="16" t="str">
        <f>HYPERLINK("http://amigo.geneontology.org/amigo/term/GO:0000305","GO:0000305")</f>
        <v>GO:0000305</v>
      </c>
      <c r="B77" t="s">
        <v>303</v>
      </c>
      <c r="C77">
        <v>19</v>
      </c>
      <c r="D77" s="1">
        <v>2.526E-3</v>
      </c>
      <c r="I77">
        <v>0.01</v>
      </c>
    </row>
    <row r="78" spans="1:13" x14ac:dyDescent="0.25">
      <c r="A78" s="16" t="str">
        <f>HYPERLINK("http://amigo.geneontology.org/amigo/term/GO:0019430","GO:0019430")</f>
        <v>GO:0019430</v>
      </c>
      <c r="B78" t="s">
        <v>309</v>
      </c>
      <c r="C78">
        <v>19</v>
      </c>
      <c r="D78" s="1">
        <v>2.526E-3</v>
      </c>
      <c r="I78">
        <v>0.01</v>
      </c>
    </row>
    <row r="79" spans="1:13" x14ac:dyDescent="0.25">
      <c r="A79" s="16" t="str">
        <f>HYPERLINK("http://amigo.geneontology.org/amigo/term/GO:0034614","GO:0034614")</f>
        <v>GO:0034614</v>
      </c>
      <c r="B79" t="s">
        <v>306</v>
      </c>
      <c r="C79">
        <v>19</v>
      </c>
      <c r="D79" s="1">
        <v>2.526E-3</v>
      </c>
      <c r="I79">
        <v>0.01</v>
      </c>
    </row>
    <row r="80" spans="1:13" x14ac:dyDescent="0.25">
      <c r="A80" s="16" t="str">
        <f>HYPERLINK("http://amigo.geneontology.org/amigo/term/GO:0071450","GO:0071450")</f>
        <v>GO:0071450</v>
      </c>
      <c r="B80" t="s">
        <v>307</v>
      </c>
      <c r="C80">
        <v>19</v>
      </c>
      <c r="D80" s="1">
        <v>2.526E-3</v>
      </c>
      <c r="I80">
        <v>0.01</v>
      </c>
    </row>
    <row r="81" spans="1:12" x14ac:dyDescent="0.25">
      <c r="A81" s="16" t="str">
        <f>HYPERLINK("http://amigo.geneontology.org/amigo/term/GO:0071451","GO:0071451")</f>
        <v>GO:0071451</v>
      </c>
      <c r="B81" t="s">
        <v>308</v>
      </c>
      <c r="C81">
        <v>19</v>
      </c>
      <c r="D81" s="1">
        <v>2.526E-3</v>
      </c>
      <c r="I81">
        <v>0.01</v>
      </c>
    </row>
    <row r="82" spans="1:12" x14ac:dyDescent="0.25">
      <c r="A82" s="16" t="str">
        <f>HYPERLINK("http://amigo.geneontology.org/amigo/term/GO:0071396","GO:0071396")</f>
        <v>GO:0071396</v>
      </c>
      <c r="B82" t="s">
        <v>931</v>
      </c>
      <c r="C82">
        <v>192</v>
      </c>
      <c r="E82" s="1">
        <v>2.6619999999999999E-3</v>
      </c>
      <c r="J82">
        <v>0.01</v>
      </c>
      <c r="K82">
        <v>0.04</v>
      </c>
    </row>
    <row r="83" spans="1:12" x14ac:dyDescent="0.25">
      <c r="A83" s="16" t="str">
        <f>HYPERLINK("http://amigo.geneontology.org/amigo/term/GO:0009628","GO:0009628")</f>
        <v>GO:0009628</v>
      </c>
      <c r="B83" t="s">
        <v>317</v>
      </c>
      <c r="C83">
        <v>1079</v>
      </c>
      <c r="D83" s="1">
        <v>2.908E-3</v>
      </c>
      <c r="I83" s="1">
        <v>2.8249999999999999E-5</v>
      </c>
      <c r="K83" s="1">
        <v>2.4290000000000002E-3</v>
      </c>
      <c r="L83" s="1">
        <v>3.7369999999999999E-3</v>
      </c>
    </row>
    <row r="84" spans="1:12" x14ac:dyDescent="0.25">
      <c r="A84" s="16" t="str">
        <f>HYPERLINK("http://amigo.geneontology.org/amigo/term/GO:0009737","GO:0009737")</f>
        <v>GO:0009737</v>
      </c>
      <c r="B84" t="s">
        <v>935</v>
      </c>
      <c r="C84">
        <v>284</v>
      </c>
      <c r="E84" s="1">
        <v>3.0599999999999998E-3</v>
      </c>
      <c r="J84">
        <v>0.05</v>
      </c>
      <c r="K84" s="1">
        <v>1.4109999999999999E-3</v>
      </c>
    </row>
    <row r="85" spans="1:12" x14ac:dyDescent="0.25">
      <c r="A85" s="16" t="str">
        <f>HYPERLINK("http://amigo.geneontology.org/amigo/term/GO:0097305","GO:0097305")</f>
        <v>GO:0097305</v>
      </c>
      <c r="B85" t="s">
        <v>934</v>
      </c>
      <c r="C85">
        <v>284</v>
      </c>
      <c r="E85" s="1">
        <v>3.0599999999999998E-3</v>
      </c>
      <c r="J85">
        <v>0.05</v>
      </c>
      <c r="K85" s="1">
        <v>1.4109999999999999E-3</v>
      </c>
    </row>
    <row r="86" spans="1:12" x14ac:dyDescent="0.25">
      <c r="A86" s="16" t="str">
        <f>HYPERLINK("http://amigo.geneontology.org/amigo/term/GO:0044249","GO:0044249")</f>
        <v>GO:0044249</v>
      </c>
      <c r="B86" t="s">
        <v>329</v>
      </c>
      <c r="C86">
        <v>6840</v>
      </c>
      <c r="D86" s="1">
        <v>3.1779999999999998E-3</v>
      </c>
      <c r="I86" s="1">
        <v>8.6469999999999996E-9</v>
      </c>
      <c r="K86">
        <v>0.01</v>
      </c>
    </row>
    <row r="87" spans="1:12" x14ac:dyDescent="0.25">
      <c r="A87" s="16" t="str">
        <f>HYPERLINK("http://amigo.geneontology.org/amigo/term/GO:0006542","GO:0006542")</f>
        <v>GO:0006542</v>
      </c>
      <c r="B87" t="s">
        <v>937</v>
      </c>
      <c r="C87">
        <v>15</v>
      </c>
      <c r="E87" s="1">
        <v>3.4940000000000001E-3</v>
      </c>
      <c r="I87" s="1">
        <v>3.1750000000000002E-4</v>
      </c>
    </row>
    <row r="88" spans="1:12" x14ac:dyDescent="0.25">
      <c r="A88" s="16" t="str">
        <f>HYPERLINK("http://amigo.geneontology.org/amigo/term/GO:1901700","GO:1901700")</f>
        <v>GO:1901700</v>
      </c>
      <c r="B88" t="s">
        <v>183</v>
      </c>
      <c r="C88">
        <v>819</v>
      </c>
      <c r="D88" s="1">
        <v>5.4480000000000002E-4</v>
      </c>
      <c r="E88" s="1">
        <v>2.9009999999999998E-6</v>
      </c>
      <c r="F88">
        <v>0.01</v>
      </c>
      <c r="J88" s="1">
        <v>5.6969999999999998E-3</v>
      </c>
      <c r="K88" s="1">
        <v>5.0100000000000003E-4</v>
      </c>
      <c r="L88" s="1">
        <v>4.0540000000000003E-3</v>
      </c>
    </row>
    <row r="89" spans="1:12" x14ac:dyDescent="0.25">
      <c r="A89" s="16" t="str">
        <f>HYPERLINK("http://amigo.geneontology.org/amigo/term/GO:0006323","GO:0006323")</f>
        <v>GO:0006323</v>
      </c>
      <c r="B89" t="s">
        <v>334</v>
      </c>
      <c r="C89">
        <v>286</v>
      </c>
      <c r="D89" s="1">
        <v>3.5439999999999998E-3</v>
      </c>
      <c r="I89" s="1">
        <v>7.6509999999999998E-5</v>
      </c>
    </row>
    <row r="90" spans="1:12" x14ac:dyDescent="0.25">
      <c r="A90" s="16" t="str">
        <f>HYPERLINK("http://amigo.geneontology.org/amigo/term/GO:0042026","GO:0042026")</f>
        <v>GO:0042026</v>
      </c>
      <c r="B90" t="s">
        <v>336</v>
      </c>
      <c r="C90">
        <v>43</v>
      </c>
      <c r="D90" s="1">
        <v>3.5490000000000001E-3</v>
      </c>
      <c r="K90" s="1">
        <v>2.4239999999999999E-3</v>
      </c>
    </row>
    <row r="91" spans="1:12" x14ac:dyDescent="0.25">
      <c r="A91" s="16" t="s">
        <v>1231</v>
      </c>
      <c r="B91" t="s">
        <v>1232</v>
      </c>
      <c r="C91">
        <v>18</v>
      </c>
      <c r="G91">
        <v>3.5739999999999999E-3</v>
      </c>
      <c r="K91">
        <v>0.03</v>
      </c>
      <c r="L91" s="1">
        <v>7.9319999999999998E-3</v>
      </c>
    </row>
    <row r="92" spans="1:12" x14ac:dyDescent="0.25">
      <c r="A92" s="16" t="str">
        <f>HYPERLINK("http://amigo.geneontology.org/amigo/term/GO:0006796","GO:0006796")</f>
        <v>GO:0006796</v>
      </c>
      <c r="B92" t="s">
        <v>716</v>
      </c>
      <c r="C92">
        <v>6989</v>
      </c>
      <c r="E92" s="1">
        <v>4.8270000000000001E-52</v>
      </c>
      <c r="F92" s="1">
        <v>1.7769999999999999E-3</v>
      </c>
      <c r="G92">
        <v>9.1920000000000005E-3</v>
      </c>
      <c r="H92" s="1">
        <v>3.398E-3</v>
      </c>
    </row>
    <row r="93" spans="1:12" x14ac:dyDescent="0.25">
      <c r="A93" s="16" t="str">
        <f>HYPERLINK("http://amigo.geneontology.org/amigo/term/GO:0016310","GO:0016310")</f>
        <v>GO:0016310</v>
      </c>
      <c r="B93" t="s">
        <v>713</v>
      </c>
      <c r="C93">
        <v>5575</v>
      </c>
      <c r="E93" s="1">
        <v>4.1539999999999998E-67</v>
      </c>
      <c r="F93" s="1">
        <v>8.1370000000000001E-3</v>
      </c>
      <c r="G93">
        <v>2.9030000000000002E-3</v>
      </c>
      <c r="H93" s="1">
        <v>1.085E-3</v>
      </c>
    </row>
    <row r="94" spans="1:12" x14ac:dyDescent="0.25">
      <c r="A94" s="16" t="str">
        <f>HYPERLINK("http://amigo.geneontology.org/amigo/term/GO:0043603","GO:0043603")</f>
        <v>GO:0043603</v>
      </c>
      <c r="B94" t="s">
        <v>339</v>
      </c>
      <c r="C94">
        <v>2353</v>
      </c>
      <c r="D94" s="1">
        <v>3.8319999999999999E-3</v>
      </c>
      <c r="I94" s="1">
        <v>1.4980000000000001E-15</v>
      </c>
    </row>
    <row r="95" spans="1:12" x14ac:dyDescent="0.25">
      <c r="A95" s="16" t="str">
        <f>HYPERLINK("http://amigo.geneontology.org/amigo/term/GO:0006793","GO:0006793")</f>
        <v>GO:0006793</v>
      </c>
      <c r="B95" t="s">
        <v>717</v>
      </c>
      <c r="C95">
        <v>7010</v>
      </c>
      <c r="E95" s="1">
        <v>9.551E-52</v>
      </c>
      <c r="F95" s="1">
        <v>1.8699999999999999E-3</v>
      </c>
      <c r="G95">
        <v>9.6900000000000007E-3</v>
      </c>
      <c r="H95" s="1">
        <v>3.6289999999999998E-3</v>
      </c>
    </row>
    <row r="96" spans="1:12" x14ac:dyDescent="0.25">
      <c r="A96" s="16" t="str">
        <f>HYPERLINK("http://amigo.geneontology.org/amigo/term/GO:0006468","GO:0006468")</f>
        <v>GO:0006468</v>
      </c>
      <c r="B96" t="s">
        <v>712</v>
      </c>
      <c r="C96">
        <v>5255</v>
      </c>
      <c r="E96" s="1">
        <v>4.3129999999999996E-71</v>
      </c>
      <c r="F96">
        <v>0.01</v>
      </c>
      <c r="G96">
        <v>1.707E-3</v>
      </c>
      <c r="H96" s="1">
        <v>1.477E-3</v>
      </c>
    </row>
    <row r="97" spans="1:13" x14ac:dyDescent="0.25">
      <c r="A97" s="16" t="str">
        <f>HYPERLINK("http://amigo.geneontology.org/amigo/term/GO:0018130","GO:0018130")</f>
        <v>GO:0018130</v>
      </c>
      <c r="B97" t="s">
        <v>1080</v>
      </c>
      <c r="C97">
        <v>2659</v>
      </c>
      <c r="F97" s="1">
        <v>4.1460000000000004E-3</v>
      </c>
      <c r="K97" s="1">
        <v>1.641E-4</v>
      </c>
    </row>
    <row r="98" spans="1:13" x14ac:dyDescent="0.25">
      <c r="A98" s="16" t="s">
        <v>1233</v>
      </c>
      <c r="B98" t="s">
        <v>1234</v>
      </c>
      <c r="C98">
        <v>130</v>
      </c>
      <c r="G98">
        <v>4.1669999999999997E-3</v>
      </c>
      <c r="H98">
        <v>0.05</v>
      </c>
    </row>
    <row r="99" spans="1:13" x14ac:dyDescent="0.25">
      <c r="A99" s="16" t="str">
        <f>HYPERLINK("http://amigo.geneontology.org/amigo/term/GO:0006334","GO:0006334")</f>
        <v>GO:0006334</v>
      </c>
      <c r="B99" t="s">
        <v>344</v>
      </c>
      <c r="C99">
        <v>252</v>
      </c>
      <c r="D99" s="1">
        <v>4.267E-3</v>
      </c>
      <c r="I99" s="1">
        <v>2.4430000000000002E-5</v>
      </c>
    </row>
    <row r="100" spans="1:13" x14ac:dyDescent="0.25">
      <c r="A100" s="16" t="str">
        <f>HYPERLINK("http://amigo.geneontology.org/amigo/term/GO:0008652","GO:0008652")</f>
        <v>GO:0008652</v>
      </c>
      <c r="B100" t="s">
        <v>350</v>
      </c>
      <c r="C100">
        <v>338</v>
      </c>
      <c r="D100" s="1">
        <v>4.5079999999999999E-3</v>
      </c>
      <c r="I100" s="1">
        <v>1.2290000000000001E-3</v>
      </c>
      <c r="M100" s="1">
        <v>6.5620000000000001E-4</v>
      </c>
    </row>
    <row r="101" spans="1:13" x14ac:dyDescent="0.25">
      <c r="A101" s="16" t="str">
        <f>HYPERLINK("http://amigo.geneontology.org/amigo/term/GO:0006355","GO:0006355")</f>
        <v>GO:0006355</v>
      </c>
      <c r="B101" t="s">
        <v>811</v>
      </c>
      <c r="C101">
        <v>4287</v>
      </c>
      <c r="E101" s="1">
        <v>5.0760000000000002E-5</v>
      </c>
      <c r="F101">
        <v>0.01</v>
      </c>
      <c r="K101" s="1">
        <v>1.047E-4</v>
      </c>
    </row>
    <row r="102" spans="1:13" x14ac:dyDescent="0.25">
      <c r="A102" s="16" t="str">
        <f>HYPERLINK("http://amigo.geneontology.org/amigo/term/GO:1903506","GO:1903506")</f>
        <v>GO:1903506</v>
      </c>
      <c r="B102" t="s">
        <v>813</v>
      </c>
      <c r="C102">
        <v>4290</v>
      </c>
      <c r="E102" s="1">
        <v>5.2320000000000001E-5</v>
      </c>
      <c r="F102">
        <v>0.01</v>
      </c>
      <c r="K102" s="1">
        <v>1.0569999999999999E-4</v>
      </c>
    </row>
    <row r="103" spans="1:13" x14ac:dyDescent="0.25">
      <c r="A103" s="16" t="str">
        <f>HYPERLINK("http://amigo.geneontology.org/amigo/term/GO:2001141","GO:2001141")</f>
        <v>GO:2001141</v>
      </c>
      <c r="B103" t="s">
        <v>812</v>
      </c>
      <c r="C103">
        <v>4290</v>
      </c>
      <c r="E103" s="1">
        <v>5.2320000000000001E-5</v>
      </c>
      <c r="F103">
        <v>0.01</v>
      </c>
      <c r="K103" s="1">
        <v>1.0569999999999999E-4</v>
      </c>
    </row>
    <row r="104" spans="1:13" x14ac:dyDescent="0.25">
      <c r="A104" s="16" t="str">
        <f>HYPERLINK("http://amigo.geneontology.org/amigo/term/GO:0042221","GO:0042221")</f>
        <v>GO:0042221</v>
      </c>
      <c r="B104" t="s">
        <v>413</v>
      </c>
      <c r="C104">
        <v>1733</v>
      </c>
      <c r="D104" s="1">
        <v>9.639E-3</v>
      </c>
      <c r="E104" s="1">
        <v>7.4330000000000002E-4</v>
      </c>
      <c r="J104">
        <v>0.04</v>
      </c>
      <c r="K104" s="1">
        <v>9.2339999999999992E-3</v>
      </c>
    </row>
    <row r="105" spans="1:13" x14ac:dyDescent="0.25">
      <c r="A105" s="16" t="str">
        <f>HYPERLINK("http://amigo.geneontology.org/amigo/term/GO:1901566","GO:1901566")</f>
        <v>GO:1901566</v>
      </c>
      <c r="B105" t="s">
        <v>364</v>
      </c>
      <c r="C105">
        <v>3496</v>
      </c>
      <c r="D105" s="1">
        <v>5.3309999999999998E-3</v>
      </c>
      <c r="I105" s="1">
        <v>1.311E-16</v>
      </c>
    </row>
    <row r="106" spans="1:13" x14ac:dyDescent="0.25">
      <c r="A106" s="16" t="str">
        <f>HYPERLINK("http://amigo.geneontology.org/amigo/term/GO:0034728","GO:0034728")</f>
        <v>GO:0034728</v>
      </c>
      <c r="B106" t="s">
        <v>367</v>
      </c>
      <c r="C106">
        <v>261</v>
      </c>
      <c r="D106" s="1">
        <v>5.4349999999999997E-3</v>
      </c>
      <c r="I106" s="1">
        <v>3.3649999999999998E-5</v>
      </c>
    </row>
    <row r="107" spans="1:13" x14ac:dyDescent="0.25">
      <c r="A107" s="16" t="s">
        <v>1241</v>
      </c>
      <c r="B107" t="s">
        <v>1242</v>
      </c>
      <c r="C107">
        <v>144</v>
      </c>
      <c r="G107">
        <v>5.9709999999999997E-3</v>
      </c>
      <c r="J107">
        <v>0.03</v>
      </c>
    </row>
    <row r="108" spans="1:13" x14ac:dyDescent="0.25">
      <c r="A108" s="16" t="str">
        <f>HYPERLINK("http://amigo.geneontology.org/amigo/term/GO:0006518","GO:0006518")</f>
        <v>GO:0006518</v>
      </c>
      <c r="B108" t="s">
        <v>377</v>
      </c>
      <c r="C108">
        <v>2184</v>
      </c>
      <c r="D108" s="1">
        <v>6.0730000000000003E-3</v>
      </c>
      <c r="I108" s="1">
        <v>1.9339999999999999E-15</v>
      </c>
    </row>
    <row r="109" spans="1:13" x14ac:dyDescent="0.25">
      <c r="A109" s="16" t="str">
        <f>HYPERLINK("http://amigo.geneontology.org/amigo/term/GO:0016101","GO:0016101")</f>
        <v>GO:0016101</v>
      </c>
      <c r="B109" t="s">
        <v>1081</v>
      </c>
      <c r="C109">
        <v>38</v>
      </c>
      <c r="F109" s="1">
        <v>6.2509999999999996E-3</v>
      </c>
      <c r="K109" s="1">
        <v>1.8979999999999999E-3</v>
      </c>
    </row>
    <row r="110" spans="1:13" x14ac:dyDescent="0.25">
      <c r="A110" s="16" t="str">
        <f>HYPERLINK("http://amigo.geneontology.org/amigo/term/GO:0006970","GO:0006970")</f>
        <v>GO:0006970</v>
      </c>
      <c r="B110" t="s">
        <v>960</v>
      </c>
      <c r="C110">
        <v>249</v>
      </c>
      <c r="E110" s="1">
        <v>6.9459999999999999E-3</v>
      </c>
      <c r="I110">
        <v>0.03</v>
      </c>
      <c r="K110" s="1">
        <v>8.696E-4</v>
      </c>
      <c r="L110">
        <v>0.01</v>
      </c>
    </row>
    <row r="111" spans="1:13" x14ac:dyDescent="0.25">
      <c r="A111" s="16" t="str">
        <f>HYPERLINK("http://amigo.geneontology.org/amigo/term/GO:0006813","GO:0006813")</f>
        <v>GO:0006813</v>
      </c>
      <c r="B111" t="s">
        <v>965</v>
      </c>
      <c r="C111">
        <v>160</v>
      </c>
      <c r="E111" s="1">
        <v>7.0349999999999996E-3</v>
      </c>
      <c r="H111" s="1">
        <v>3.2060000000000001E-3</v>
      </c>
    </row>
    <row r="112" spans="1:13" x14ac:dyDescent="0.25">
      <c r="A112" s="16" t="str">
        <f>HYPERLINK("http://amigo.geneontology.org/amigo/term/GO:0051276","GO:0051276")</f>
        <v>GO:0051276</v>
      </c>
      <c r="B112" t="s">
        <v>388</v>
      </c>
      <c r="C112">
        <v>592</v>
      </c>
      <c r="D112" s="1">
        <v>7.0569999999999999E-3</v>
      </c>
      <c r="I112">
        <v>0.02</v>
      </c>
    </row>
    <row r="113" spans="1:12" x14ac:dyDescent="0.25">
      <c r="A113" s="16" t="str">
        <f>HYPERLINK("http://amigo.geneontology.org/amigo/term/GO:0009765","GO:0009765")</f>
        <v>GO:0009765</v>
      </c>
      <c r="B113" t="s">
        <v>948</v>
      </c>
      <c r="C113">
        <v>99</v>
      </c>
      <c r="E113" s="1">
        <v>4.9950000000000003E-3</v>
      </c>
      <c r="G113">
        <v>0.01</v>
      </c>
      <c r="I113" s="1">
        <v>3.4849999999999998E-7</v>
      </c>
      <c r="L113">
        <v>0.04</v>
      </c>
    </row>
    <row r="114" spans="1:12" x14ac:dyDescent="0.25">
      <c r="A114" s="16" t="str">
        <f>HYPERLINK("http://amigo.geneontology.org/amigo/term/GO:0006596","GO:0006596")</f>
        <v>GO:0006596</v>
      </c>
      <c r="B114" t="s">
        <v>395</v>
      </c>
      <c r="C114">
        <v>53</v>
      </c>
      <c r="D114" s="1">
        <v>7.5100000000000002E-3</v>
      </c>
      <c r="J114">
        <v>0.03</v>
      </c>
    </row>
    <row r="115" spans="1:12" x14ac:dyDescent="0.25">
      <c r="A115" s="16" t="str">
        <f>HYPERLINK("http://amigo.geneontology.org/amigo/term/GO:0006801","GO:0006801")</f>
        <v>GO:0006801</v>
      </c>
      <c r="B115" t="s">
        <v>400</v>
      </c>
      <c r="C115">
        <v>28</v>
      </c>
      <c r="D115" s="1">
        <v>7.7470000000000004E-3</v>
      </c>
      <c r="I115">
        <v>0.03</v>
      </c>
    </row>
    <row r="116" spans="1:12" x14ac:dyDescent="0.25">
      <c r="A116" s="16" t="str">
        <f>HYPERLINK("http://amigo.geneontology.org/amigo/term/GO:0006595","GO:0006595")</f>
        <v>GO:0006595</v>
      </c>
      <c r="B116" t="s">
        <v>402</v>
      </c>
      <c r="C116">
        <v>55</v>
      </c>
      <c r="D116" s="1">
        <v>8.5489999999999993E-3</v>
      </c>
      <c r="J116">
        <v>0.03</v>
      </c>
    </row>
    <row r="117" spans="1:12" x14ac:dyDescent="0.25">
      <c r="A117" s="16" t="str">
        <f>HYPERLINK("http://amigo.geneontology.org/amigo/term/GO:0065004","GO:0065004")</f>
        <v>GO:0065004</v>
      </c>
      <c r="B117" t="s">
        <v>410</v>
      </c>
      <c r="C117">
        <v>328</v>
      </c>
      <c r="D117" s="1">
        <v>9.5479999999999992E-3</v>
      </c>
      <c r="I117" s="1">
        <v>2.5169999999999999E-4</v>
      </c>
    </row>
    <row r="118" spans="1:12" x14ac:dyDescent="0.25">
      <c r="A118" s="16" t="str">
        <f>HYPERLINK("http://amigo.geneontology.org/amigo/term/GO:0006338","GO:0006338")</f>
        <v>GO:0006338</v>
      </c>
      <c r="B118" t="s">
        <v>425</v>
      </c>
      <c r="C118">
        <v>298</v>
      </c>
      <c r="D118">
        <v>0.01</v>
      </c>
      <c r="I118" s="1">
        <v>1.099E-4</v>
      </c>
    </row>
    <row r="119" spans="1:12" x14ac:dyDescent="0.25">
      <c r="A119" s="16" t="str">
        <f>HYPERLINK("http://amigo.geneontology.org/amigo/term/GO:0034654","GO:0034654")</f>
        <v>GO:0034654</v>
      </c>
      <c r="B119" t="s">
        <v>1087</v>
      </c>
      <c r="C119">
        <v>2248</v>
      </c>
      <c r="F119">
        <v>0.01</v>
      </c>
      <c r="K119" s="1">
        <v>1.142E-4</v>
      </c>
    </row>
    <row r="120" spans="1:12" x14ac:dyDescent="0.25">
      <c r="A120" s="16" t="str">
        <f>HYPERLINK("http://amigo.geneontology.org/amigo/term/GO:0071824","GO:0071824")</f>
        <v>GO:0071824</v>
      </c>
      <c r="B120" t="s">
        <v>427</v>
      </c>
      <c r="C120">
        <v>338</v>
      </c>
      <c r="D120">
        <v>0.01</v>
      </c>
      <c r="I120" s="1">
        <v>3.2459999999999998E-4</v>
      </c>
    </row>
    <row r="121" spans="1:12" x14ac:dyDescent="0.25">
      <c r="A121" s="16" t="str">
        <f>HYPERLINK("http://amigo.geneontology.org/amigo/term/GO:0090698","GO:0090698")</f>
        <v>GO:0090698</v>
      </c>
      <c r="B121" t="s">
        <v>977</v>
      </c>
      <c r="C121">
        <v>68</v>
      </c>
      <c r="E121">
        <v>0.01</v>
      </c>
      <c r="J121" s="1">
        <v>4.0600000000000002E-3</v>
      </c>
    </row>
    <row r="122" spans="1:12" x14ac:dyDescent="0.25">
      <c r="A122" s="16" t="str">
        <f>HYPERLINK("http://amigo.geneontology.org/amigo/term/GO:0006950","GO:0006950")</f>
        <v>GO:0006950</v>
      </c>
      <c r="B122" t="s">
        <v>419</v>
      </c>
      <c r="C122">
        <v>3133</v>
      </c>
      <c r="D122">
        <v>0.01</v>
      </c>
      <c r="I122" s="1">
        <v>5.8300000000000001E-3</v>
      </c>
      <c r="L122">
        <v>0.02</v>
      </c>
    </row>
    <row r="123" spans="1:12" x14ac:dyDescent="0.25">
      <c r="A123" s="16" t="str">
        <f>HYPERLINK("http://amigo.geneontology.org/amigo/term/GO:0006576","GO:0006576")</f>
        <v>GO:0006576</v>
      </c>
      <c r="B123" t="s">
        <v>444</v>
      </c>
      <c r="C123">
        <v>162</v>
      </c>
      <c r="D123">
        <v>0.01</v>
      </c>
      <c r="I123">
        <v>0.02</v>
      </c>
    </row>
    <row r="124" spans="1:12" x14ac:dyDescent="0.25">
      <c r="A124" s="16" t="str">
        <f>HYPERLINK("http://amigo.geneontology.org/amigo/term/GO:0009084","GO:0009084")</f>
        <v>GO:0009084</v>
      </c>
      <c r="B124" t="s">
        <v>979</v>
      </c>
      <c r="C124">
        <v>63</v>
      </c>
      <c r="E124">
        <v>0.01</v>
      </c>
      <c r="I124">
        <v>0.02</v>
      </c>
    </row>
    <row r="125" spans="1:12" x14ac:dyDescent="0.25">
      <c r="A125" s="16" t="str">
        <f>HYPERLINK("http://amigo.geneontology.org/amigo/term/GO:0044106","GO:0044106")</f>
        <v>GO:0044106</v>
      </c>
      <c r="B125" t="s">
        <v>441</v>
      </c>
      <c r="C125">
        <v>162</v>
      </c>
      <c r="D125">
        <v>0.01</v>
      </c>
      <c r="I125">
        <v>0.02</v>
      </c>
    </row>
    <row r="126" spans="1:12" x14ac:dyDescent="0.25">
      <c r="A126" s="16" t="str">
        <f>HYPERLINK("http://amigo.geneontology.org/amigo/term/GO:0006066","GO:0006066")</f>
        <v>GO:0006066</v>
      </c>
      <c r="B126" t="s">
        <v>1091</v>
      </c>
      <c r="C126">
        <v>159</v>
      </c>
      <c r="F126">
        <v>0.01</v>
      </c>
      <c r="K126">
        <v>0.03</v>
      </c>
    </row>
    <row r="127" spans="1:12" x14ac:dyDescent="0.25">
      <c r="A127" s="16" t="str">
        <f>HYPERLINK("http://amigo.geneontology.org/amigo/term/GO:0009308","GO:0009308")</f>
        <v>GO:0009308</v>
      </c>
      <c r="B127" t="s">
        <v>438</v>
      </c>
      <c r="C127">
        <v>245</v>
      </c>
      <c r="D127">
        <v>0.01</v>
      </c>
      <c r="I127">
        <v>0.03</v>
      </c>
    </row>
    <row r="128" spans="1:12" x14ac:dyDescent="0.25">
      <c r="A128" s="16" t="str">
        <f>HYPERLINK("http://amigo.geneontology.org/amigo/term/GO:0048827","GO:0048827")</f>
        <v>GO:0048827</v>
      </c>
      <c r="B128" t="s">
        <v>982</v>
      </c>
      <c r="C128">
        <v>145</v>
      </c>
      <c r="E128">
        <v>0.01</v>
      </c>
      <c r="J128">
        <v>0.03</v>
      </c>
    </row>
    <row r="129" spans="1:13" x14ac:dyDescent="0.25">
      <c r="A129" s="16" t="str">
        <f>HYPERLINK("http://amigo.geneontology.org/amigo/term/GO:0019725","GO:0019725")</f>
        <v>GO:0019725</v>
      </c>
      <c r="B129" t="s">
        <v>422</v>
      </c>
      <c r="C129">
        <v>474</v>
      </c>
      <c r="D129">
        <v>0.01</v>
      </c>
      <c r="K129">
        <v>0.05</v>
      </c>
      <c r="M129" s="1">
        <v>5.9660000000000005E-17</v>
      </c>
    </row>
    <row r="130" spans="1:13" x14ac:dyDescent="0.25">
      <c r="A130" s="16" t="str">
        <f>HYPERLINK("http://amigo.geneontology.org/amigo/term/GO:0044237","GO:0044237")</f>
        <v>GO:0044237</v>
      </c>
      <c r="B130" t="s">
        <v>806</v>
      </c>
      <c r="C130">
        <v>20463</v>
      </c>
      <c r="E130" s="1">
        <v>3.888E-5</v>
      </c>
      <c r="F130">
        <v>0.02</v>
      </c>
      <c r="I130" s="1">
        <v>1.56E-4</v>
      </c>
    </row>
    <row r="131" spans="1:13" x14ac:dyDescent="0.25">
      <c r="A131" s="16" t="str">
        <f>HYPERLINK("http://amigo.geneontology.org/amigo/term/GO:0051252","GO:0051252")</f>
        <v>GO:0051252</v>
      </c>
      <c r="B131" t="s">
        <v>816</v>
      </c>
      <c r="C131">
        <v>4387</v>
      </c>
      <c r="E131" s="1">
        <v>6.1589999999999998E-5</v>
      </c>
      <c r="F131">
        <v>0.02</v>
      </c>
      <c r="K131" s="1">
        <v>1.4109999999999999E-4</v>
      </c>
    </row>
    <row r="132" spans="1:13" x14ac:dyDescent="0.25">
      <c r="A132" s="16" t="str">
        <f>HYPERLINK("http://amigo.geneontology.org/amigo/term/GO:0019219","GO:0019219")</f>
        <v>GO:0019219</v>
      </c>
      <c r="B132" t="s">
        <v>821</v>
      </c>
      <c r="C132">
        <v>4433</v>
      </c>
      <c r="E132" s="1">
        <v>9.6180000000000004E-5</v>
      </c>
      <c r="F132">
        <v>0.02</v>
      </c>
      <c r="K132" s="1">
        <v>1.6129999999999999E-4</v>
      </c>
    </row>
    <row r="133" spans="1:13" x14ac:dyDescent="0.25">
      <c r="A133" s="16" t="str">
        <f>HYPERLINK("http://amigo.geneontology.org/amigo/term/GO:0009072","GO:0009072")</f>
        <v>GO:0009072</v>
      </c>
      <c r="B133" t="s">
        <v>429</v>
      </c>
      <c r="C133">
        <v>214</v>
      </c>
      <c r="D133">
        <v>0.01</v>
      </c>
      <c r="E133">
        <v>0.02</v>
      </c>
      <c r="I133">
        <v>0.05</v>
      </c>
      <c r="L133" s="1">
        <v>2.364E-4</v>
      </c>
    </row>
    <row r="134" spans="1:13" x14ac:dyDescent="0.25">
      <c r="A134" s="16" t="str">
        <f>HYPERLINK("http://amigo.geneontology.org/amigo/term/GO:0050789","GO:0050789")</f>
        <v>GO:0050789</v>
      </c>
      <c r="B134" t="s">
        <v>795</v>
      </c>
      <c r="C134">
        <v>7510</v>
      </c>
      <c r="E134" s="1">
        <v>1.8729999999999999E-5</v>
      </c>
      <c r="F134">
        <v>0.03</v>
      </c>
      <c r="K134" s="1">
        <v>1.641E-5</v>
      </c>
      <c r="M134">
        <v>0.02</v>
      </c>
    </row>
    <row r="135" spans="1:13" x14ac:dyDescent="0.25">
      <c r="A135" s="16" t="str">
        <f>HYPERLINK("http://amigo.geneontology.org/amigo/term/GO:0031326","GO:0031326")</f>
        <v>GO:0031326</v>
      </c>
      <c r="B135" t="s">
        <v>822</v>
      </c>
      <c r="C135">
        <v>4599</v>
      </c>
      <c r="E135" s="1">
        <v>9.925E-5</v>
      </c>
      <c r="F135">
        <v>0.03</v>
      </c>
      <c r="K135" s="1">
        <v>8.742E-5</v>
      </c>
    </row>
    <row r="136" spans="1:13" x14ac:dyDescent="0.25">
      <c r="A136" s="16" t="str">
        <f>HYPERLINK("http://amigo.geneontology.org/amigo/term/GO:0009889","GO:0009889")</f>
        <v>GO:0009889</v>
      </c>
      <c r="B136" t="s">
        <v>824</v>
      </c>
      <c r="C136">
        <v>4605</v>
      </c>
      <c r="E136" s="1">
        <v>1.05E-4</v>
      </c>
      <c r="F136">
        <v>0.03</v>
      </c>
      <c r="K136" s="1">
        <v>8.8980000000000005E-5</v>
      </c>
    </row>
    <row r="137" spans="1:13" x14ac:dyDescent="0.25">
      <c r="A137" s="16" t="str">
        <f>HYPERLINK("http://amigo.geneontology.org/amigo/term/GO:0010468","GO:0010468")</f>
        <v>GO:0010468</v>
      </c>
      <c r="B137" t="s">
        <v>843</v>
      </c>
      <c r="C137">
        <v>4846</v>
      </c>
      <c r="E137" s="1">
        <v>2.095E-4</v>
      </c>
      <c r="F137">
        <v>0.03</v>
      </c>
      <c r="K137" s="1">
        <v>1.763E-4</v>
      </c>
    </row>
    <row r="138" spans="1:13" x14ac:dyDescent="0.25">
      <c r="A138" s="16" t="str">
        <f>HYPERLINK("http://amigo.geneontology.org/amigo/term/GO:2000112","GO:2000112")</f>
        <v>GO:2000112</v>
      </c>
      <c r="B138" t="s">
        <v>857</v>
      </c>
      <c r="C138">
        <v>4546</v>
      </c>
      <c r="E138" s="1">
        <v>3.8640000000000001E-4</v>
      </c>
      <c r="F138">
        <v>0.03</v>
      </c>
      <c r="K138" s="1">
        <v>7.4649999999999998E-5</v>
      </c>
    </row>
    <row r="139" spans="1:13" x14ac:dyDescent="0.25">
      <c r="A139" s="16" t="str">
        <f>HYPERLINK("http://amigo.geneontology.org/amigo/term/GO:0010556","GO:0010556")</f>
        <v>GO:0010556</v>
      </c>
      <c r="B139" t="s">
        <v>858</v>
      </c>
      <c r="C139">
        <v>4551</v>
      </c>
      <c r="E139" s="1">
        <v>4.0329999999999999E-4</v>
      </c>
      <c r="F139">
        <v>0.03</v>
      </c>
      <c r="K139" s="1">
        <v>7.5779999999999996E-5</v>
      </c>
    </row>
    <row r="140" spans="1:13" x14ac:dyDescent="0.25">
      <c r="A140" s="16" t="str">
        <f>HYPERLINK("http://amigo.geneontology.org/amigo/term/GO:0010035","GO:0010035")</f>
        <v>GO:0010035</v>
      </c>
      <c r="B140" t="s">
        <v>72</v>
      </c>
      <c r="C140">
        <v>519</v>
      </c>
      <c r="D140" s="1">
        <v>1.1260000000000001E-5</v>
      </c>
      <c r="E140">
        <v>0.03</v>
      </c>
      <c r="F140">
        <v>0.02</v>
      </c>
      <c r="I140" s="1">
        <v>1.082E-4</v>
      </c>
      <c r="K140">
        <v>0.01</v>
      </c>
      <c r="L140" s="1">
        <v>1.1759999999999999E-5</v>
      </c>
    </row>
    <row r="141" spans="1:13" x14ac:dyDescent="0.25">
      <c r="A141" s="16" t="str">
        <f>HYPERLINK("http://amigo.geneontology.org/amigo/term/GO:0008299","GO:0008299")</f>
        <v>GO:0008299</v>
      </c>
      <c r="B141" t="s">
        <v>512</v>
      </c>
      <c r="C141">
        <v>229</v>
      </c>
      <c r="D141">
        <v>0.02</v>
      </c>
      <c r="F141">
        <v>0.03</v>
      </c>
      <c r="G141">
        <v>5.9870000000000001E-3</v>
      </c>
      <c r="H141" s="1">
        <v>3.0730000000000002E-3</v>
      </c>
    </row>
    <row r="142" spans="1:13" x14ac:dyDescent="0.25">
      <c r="A142" s="16" t="str">
        <f>HYPERLINK("http://amigo.geneontology.org/amigo/term/GO:0006720","GO:0006720")</f>
        <v>GO:0006720</v>
      </c>
      <c r="B142" t="s">
        <v>675</v>
      </c>
      <c r="C142">
        <v>261</v>
      </c>
      <c r="D142">
        <v>0.04</v>
      </c>
      <c r="F142" s="1">
        <v>9.1549999999999999E-3</v>
      </c>
      <c r="G142">
        <v>0.01</v>
      </c>
      <c r="H142" s="1">
        <v>5.7739999999999996E-3</v>
      </c>
      <c r="K142" s="1">
        <v>9.9439999999999997E-3</v>
      </c>
    </row>
    <row r="143" spans="1:13" x14ac:dyDescent="0.25">
      <c r="A143" s="16" t="str">
        <f>HYPERLINK("http://amigo.geneontology.org/amigo/term/GO:0015977","GO:0015977")</f>
        <v>GO:0015977</v>
      </c>
      <c r="B143" t="s">
        <v>1095</v>
      </c>
      <c r="C143">
        <v>51</v>
      </c>
      <c r="F143">
        <v>0.01</v>
      </c>
      <c r="G143">
        <v>0.03</v>
      </c>
      <c r="I143" s="1">
        <v>4.1880000000000002E-7</v>
      </c>
      <c r="M143" s="1">
        <v>5.287E-4</v>
      </c>
    </row>
    <row r="144" spans="1:13" x14ac:dyDescent="0.25">
      <c r="A144" s="16" t="str">
        <f>HYPERLINK("http://amigo.geneontology.org/amigo/term/GO:0046620","GO:0046620")</f>
        <v>GO:0046620</v>
      </c>
      <c r="B144" t="s">
        <v>1014</v>
      </c>
      <c r="C144">
        <v>30</v>
      </c>
      <c r="E144">
        <v>0.02</v>
      </c>
      <c r="H144" s="1">
        <v>3.3760000000000002E-5</v>
      </c>
    </row>
    <row r="145" spans="1:13" x14ac:dyDescent="0.25">
      <c r="A145" s="16" t="str">
        <f>HYPERLINK("http://amigo.geneontology.org/amigo/term/GO:0006325","GO:0006325")</f>
        <v>GO:0006325</v>
      </c>
      <c r="B145" t="s">
        <v>477</v>
      </c>
      <c r="C145">
        <v>354</v>
      </c>
      <c r="D145">
        <v>0.02</v>
      </c>
      <c r="I145" s="1">
        <v>4.7780000000000001E-4</v>
      </c>
    </row>
    <row r="146" spans="1:13" x14ac:dyDescent="0.25">
      <c r="A146" s="16" t="s">
        <v>1273</v>
      </c>
      <c r="B146" t="s">
        <v>1274</v>
      </c>
      <c r="C146">
        <v>40</v>
      </c>
      <c r="G146">
        <v>0.02</v>
      </c>
      <c r="I146" s="1">
        <v>4.8460000000000002E-4</v>
      </c>
      <c r="M146" s="1">
        <v>6.7380000000000001E-3</v>
      </c>
    </row>
    <row r="147" spans="1:13" x14ac:dyDescent="0.25">
      <c r="A147" s="16" t="str">
        <f>HYPERLINK("http://amigo.geneontology.org/amigo/term/GO:0003002","GO:0003002")</f>
        <v>GO:0003002</v>
      </c>
      <c r="B147" t="s">
        <v>479</v>
      </c>
      <c r="C147">
        <v>42</v>
      </c>
      <c r="D147">
        <v>0.02</v>
      </c>
      <c r="J147" s="1">
        <v>1.0169999999999999E-3</v>
      </c>
    </row>
    <row r="148" spans="1:13" x14ac:dyDescent="0.25">
      <c r="A148" s="16" t="str">
        <f>HYPERLINK("http://amigo.geneontology.org/amigo/term/GO:0009793","GO:0009793")</f>
        <v>GO:0009793</v>
      </c>
      <c r="B148" t="s">
        <v>525</v>
      </c>
      <c r="C148">
        <v>184</v>
      </c>
      <c r="D148">
        <v>0.02</v>
      </c>
      <c r="J148" s="1">
        <v>1.8289999999999999E-3</v>
      </c>
    </row>
    <row r="149" spans="1:13" x14ac:dyDescent="0.25">
      <c r="A149" s="16" t="str">
        <f>HYPERLINK("http://amigo.geneontology.org/amigo/term/GO:0009790","GO:0009790")</f>
        <v>GO:0009790</v>
      </c>
      <c r="B149" t="s">
        <v>522</v>
      </c>
      <c r="C149">
        <v>187</v>
      </c>
      <c r="D149">
        <v>0.02</v>
      </c>
      <c r="J149" s="1">
        <v>1.9620000000000002E-3</v>
      </c>
    </row>
    <row r="150" spans="1:13" x14ac:dyDescent="0.25">
      <c r="A150" s="16" t="str">
        <f>HYPERLINK("http://amigo.geneontology.org/amigo/term/GO:0031667","GO:0031667")</f>
        <v>GO:0031667</v>
      </c>
      <c r="B150" t="s">
        <v>1004</v>
      </c>
      <c r="C150">
        <v>99</v>
      </c>
      <c r="E150">
        <v>0.02</v>
      </c>
      <c r="H150" s="1">
        <v>3.3249999999999998E-3</v>
      </c>
    </row>
    <row r="151" spans="1:13" x14ac:dyDescent="0.25">
      <c r="A151" s="16" t="str">
        <f>HYPERLINK("http://amigo.geneontology.org/amigo/term/GO:0048316","GO:0048316")</f>
        <v>GO:0048316</v>
      </c>
      <c r="B151" t="s">
        <v>510</v>
      </c>
      <c r="C151">
        <v>228</v>
      </c>
      <c r="D151">
        <v>0.02</v>
      </c>
      <c r="J151" s="1">
        <v>4.5750000000000001E-3</v>
      </c>
    </row>
    <row r="152" spans="1:13" x14ac:dyDescent="0.25">
      <c r="A152" s="16" t="str">
        <f>HYPERLINK("http://amigo.geneontology.org/amigo/term/GO:0010154","GO:0010154")</f>
        <v>GO:0010154</v>
      </c>
      <c r="B152" t="s">
        <v>507</v>
      </c>
      <c r="C152">
        <v>237</v>
      </c>
      <c r="D152">
        <v>0.02</v>
      </c>
      <c r="J152" s="1">
        <v>5.3759999999999997E-3</v>
      </c>
    </row>
    <row r="153" spans="1:13" x14ac:dyDescent="0.25">
      <c r="A153" s="16" t="str">
        <f>HYPERLINK("http://amigo.geneontology.org/amigo/term/GO:0046655","GO:0046655")</f>
        <v>GO:0046655</v>
      </c>
      <c r="B153" t="s">
        <v>489</v>
      </c>
      <c r="C153">
        <v>16</v>
      </c>
      <c r="D153">
        <v>0.02</v>
      </c>
      <c r="I153" s="1">
        <v>9.1739999999999999E-3</v>
      </c>
    </row>
    <row r="154" spans="1:13" x14ac:dyDescent="0.25">
      <c r="A154" s="16" t="str">
        <f>HYPERLINK("http://amigo.geneontology.org/amigo/term/GO:0006722","GO:0006722")</f>
        <v>GO:0006722</v>
      </c>
      <c r="B154" t="s">
        <v>527</v>
      </c>
      <c r="C154">
        <v>36</v>
      </c>
      <c r="D154">
        <v>0.02</v>
      </c>
      <c r="J154">
        <v>0.01</v>
      </c>
    </row>
    <row r="155" spans="1:13" x14ac:dyDescent="0.25">
      <c r="A155" s="16" t="str">
        <f>HYPERLINK("http://amigo.geneontology.org/amigo/term/GO:0016104","GO:0016104")</f>
        <v>GO:0016104</v>
      </c>
      <c r="B155" t="s">
        <v>529</v>
      </c>
      <c r="C155">
        <v>36</v>
      </c>
      <c r="D155">
        <v>0.02</v>
      </c>
      <c r="J155">
        <v>0.01</v>
      </c>
    </row>
    <row r="156" spans="1:13" x14ac:dyDescent="0.25">
      <c r="A156" s="16" t="str">
        <f>HYPERLINK("http://amigo.geneontology.org/amigo/term/GO:0098869","GO:0098869")</f>
        <v>GO:0098869</v>
      </c>
      <c r="B156" t="s">
        <v>468</v>
      </c>
      <c r="C156">
        <v>147</v>
      </c>
      <c r="D156">
        <v>0.02</v>
      </c>
      <c r="I156">
        <v>0.01</v>
      </c>
    </row>
    <row r="157" spans="1:13" x14ac:dyDescent="0.25">
      <c r="A157" s="16" t="str">
        <f>HYPERLINK("http://amigo.geneontology.org/amigo/term/GO:0009409","GO:0009409")</f>
        <v>GO:0009409</v>
      </c>
      <c r="B157" t="s">
        <v>1005</v>
      </c>
      <c r="C157">
        <v>161</v>
      </c>
      <c r="E157">
        <v>0.02</v>
      </c>
      <c r="I157">
        <v>0.02</v>
      </c>
      <c r="K157" s="1">
        <v>1.6799999999999999E-4</v>
      </c>
      <c r="L157">
        <v>0.03</v>
      </c>
    </row>
    <row r="158" spans="1:13" x14ac:dyDescent="0.25">
      <c r="A158" s="16" t="str">
        <f>HYPERLINK("http://amigo.geneontology.org/amigo/term/GO:0042435","GO:0042435")</f>
        <v>GO:0042435</v>
      </c>
      <c r="B158" t="s">
        <v>1017</v>
      </c>
      <c r="C158">
        <v>30</v>
      </c>
      <c r="E158">
        <v>0.02</v>
      </c>
      <c r="I158">
        <v>0.03</v>
      </c>
    </row>
    <row r="159" spans="1:13" x14ac:dyDescent="0.25">
      <c r="A159" s="16" t="str">
        <f>HYPERLINK("http://amigo.geneontology.org/amigo/term/GO:0071704","GO:0071704")</f>
        <v>GO:0071704</v>
      </c>
      <c r="B159" t="s">
        <v>454</v>
      </c>
      <c r="C159">
        <v>22718</v>
      </c>
      <c r="D159">
        <v>0.02</v>
      </c>
      <c r="E159" s="1">
        <v>6.4819999999999999E-7</v>
      </c>
      <c r="F159">
        <v>0.04</v>
      </c>
      <c r="H159">
        <v>0.02</v>
      </c>
      <c r="L159" s="1">
        <v>2.3600000000000001E-3</v>
      </c>
    </row>
    <row r="160" spans="1:13" x14ac:dyDescent="0.25">
      <c r="A160" s="16" t="str">
        <f>HYPERLINK("http://amigo.geneontology.org/amigo/term/GO:1901605","GO:1901605")</f>
        <v>GO:1901605</v>
      </c>
      <c r="B160" t="s">
        <v>81</v>
      </c>
      <c r="C160">
        <v>575</v>
      </c>
      <c r="D160" s="1">
        <v>1.802E-5</v>
      </c>
      <c r="E160">
        <v>0.04</v>
      </c>
      <c r="H160">
        <v>0.03</v>
      </c>
      <c r="I160" s="1">
        <v>2.7729999999999999E-3</v>
      </c>
      <c r="L160" s="1">
        <v>4.8359999999999999E-4</v>
      </c>
      <c r="M160" s="1">
        <v>2.1129999999999999E-3</v>
      </c>
    </row>
    <row r="161" spans="1:13" x14ac:dyDescent="0.25">
      <c r="A161" s="16" t="str">
        <f>HYPERLINK("http://amigo.geneontology.org/amigo/term/GO:0006629","GO:0006629")</f>
        <v>GO:0006629</v>
      </c>
      <c r="B161" t="s">
        <v>685</v>
      </c>
      <c r="C161">
        <v>2008</v>
      </c>
      <c r="D161">
        <v>0.05</v>
      </c>
      <c r="F161">
        <v>0.01</v>
      </c>
      <c r="G161">
        <v>2.186E-4</v>
      </c>
      <c r="H161">
        <v>0.02</v>
      </c>
    </row>
    <row r="162" spans="1:13" x14ac:dyDescent="0.25">
      <c r="A162" s="16" t="str">
        <f>HYPERLINK("http://amigo.geneontology.org/amigo/term/GO:0050794","GO:0050794")</f>
        <v>GO:0050794</v>
      </c>
      <c r="B162" t="s">
        <v>879</v>
      </c>
      <c r="C162">
        <v>6861</v>
      </c>
      <c r="E162" s="1">
        <v>9.5929999999999995E-4</v>
      </c>
      <c r="F162">
        <v>0.04</v>
      </c>
      <c r="K162" s="1">
        <v>2.4709999999999999E-5</v>
      </c>
      <c r="M162" s="1">
        <v>6.4190000000000002E-3</v>
      </c>
    </row>
    <row r="163" spans="1:13" x14ac:dyDescent="0.25">
      <c r="A163" s="16" t="str">
        <f>HYPERLINK("http://amigo.geneontology.org/amigo/term/GO:0016054","GO:0016054")</f>
        <v>GO:0016054</v>
      </c>
      <c r="B163" t="s">
        <v>241</v>
      </c>
      <c r="C163">
        <v>217</v>
      </c>
      <c r="D163" s="1">
        <v>1.457E-3</v>
      </c>
      <c r="E163">
        <v>0.04</v>
      </c>
      <c r="H163">
        <v>0.05</v>
      </c>
      <c r="L163" s="1">
        <v>1.171E-7</v>
      </c>
    </row>
    <row r="164" spans="1:13" x14ac:dyDescent="0.25">
      <c r="A164" s="16" t="str">
        <f>HYPERLINK("http://amigo.geneontology.org/amigo/term/GO:0051171","GO:0051171")</f>
        <v>GO:0051171</v>
      </c>
      <c r="B164" t="s">
        <v>923</v>
      </c>
      <c r="C164">
        <v>4980</v>
      </c>
      <c r="E164" s="1">
        <v>2.2169999999999998E-3</v>
      </c>
      <c r="F164">
        <v>0.04</v>
      </c>
      <c r="K164" s="1">
        <v>2.522E-4</v>
      </c>
    </row>
    <row r="165" spans="1:13" x14ac:dyDescent="0.25">
      <c r="A165" s="16" t="str">
        <f>HYPERLINK("http://amigo.geneontology.org/amigo/term/GO:0060255","GO:0060255")</f>
        <v>GO:0060255</v>
      </c>
      <c r="B165" t="s">
        <v>944</v>
      </c>
      <c r="C165">
        <v>5293</v>
      </c>
      <c r="E165" s="1">
        <v>4.3229999999999996E-3</v>
      </c>
      <c r="F165">
        <v>0.04</v>
      </c>
      <c r="K165" s="1">
        <v>7.2230000000000005E-5</v>
      </c>
    </row>
    <row r="166" spans="1:13" x14ac:dyDescent="0.25">
      <c r="A166" s="16" t="str">
        <f>HYPERLINK("http://amigo.geneontology.org/amigo/term/GO:0080090","GO:0080090")</f>
        <v>GO:0080090</v>
      </c>
      <c r="B166" t="s">
        <v>957</v>
      </c>
      <c r="C166">
        <v>5012</v>
      </c>
      <c r="E166" s="1">
        <v>6.4120000000000002E-3</v>
      </c>
      <c r="F166">
        <v>0.04</v>
      </c>
      <c r="K166" s="1">
        <v>2.7409999999999999E-4</v>
      </c>
    </row>
    <row r="167" spans="1:13" x14ac:dyDescent="0.25">
      <c r="A167" s="16" t="str">
        <f>HYPERLINK("http://amigo.geneontology.org/amigo/term/GO:1901362","GO:1901362")</f>
        <v>GO:1901362</v>
      </c>
      <c r="B167" t="s">
        <v>616</v>
      </c>
      <c r="C167">
        <v>2877</v>
      </c>
      <c r="D167">
        <v>0.04</v>
      </c>
      <c r="F167" s="1">
        <v>8.7980000000000003E-3</v>
      </c>
      <c r="K167" s="1">
        <v>3.6430000000000002E-4</v>
      </c>
    </row>
    <row r="168" spans="1:13" x14ac:dyDescent="0.25">
      <c r="A168" s="16" t="str">
        <f>HYPERLINK("http://amigo.geneontology.org/amigo/term/GO:0009611","GO:0009611")</f>
        <v>GO:0009611</v>
      </c>
      <c r="B168" t="s">
        <v>1006</v>
      </c>
      <c r="C168">
        <v>244</v>
      </c>
      <c r="E168">
        <v>0.02</v>
      </c>
      <c r="G168">
        <v>0.03</v>
      </c>
      <c r="K168" s="1">
        <v>8.2869999999999992E-3</v>
      </c>
    </row>
    <row r="169" spans="1:13" x14ac:dyDescent="0.25">
      <c r="A169" s="16" t="str">
        <f>HYPERLINK("http://amigo.geneontology.org/amigo/term/GO:0006082","GO:0006082")</f>
        <v>GO:0006082</v>
      </c>
      <c r="B169" t="s">
        <v>93</v>
      </c>
      <c r="C169">
        <v>1975</v>
      </c>
      <c r="D169" s="1">
        <v>2.283E-5</v>
      </c>
      <c r="F169">
        <v>0.05</v>
      </c>
      <c r="I169" s="1">
        <v>5.2469999999999999E-3</v>
      </c>
      <c r="L169" s="1">
        <v>4.5770000000000003E-3</v>
      </c>
      <c r="M169">
        <v>0.04</v>
      </c>
    </row>
    <row r="170" spans="1:13" x14ac:dyDescent="0.25">
      <c r="A170" s="16" t="str">
        <f>HYPERLINK("http://amigo.geneontology.org/amigo/term/GO:0007165","GO:0007165")</f>
        <v>GO:0007165</v>
      </c>
      <c r="B170" t="s">
        <v>974</v>
      </c>
      <c r="C170">
        <v>1278</v>
      </c>
      <c r="E170" s="1">
        <v>9.2860000000000009E-3</v>
      </c>
      <c r="F170">
        <v>0.05</v>
      </c>
      <c r="H170">
        <v>0.03</v>
      </c>
      <c r="J170">
        <v>0.02</v>
      </c>
    </row>
    <row r="171" spans="1:13" x14ac:dyDescent="0.25">
      <c r="A171" s="16" t="str">
        <f>HYPERLINK("http://amigo.geneontology.org/amigo/term/GO:0019438","GO:0019438")</f>
        <v>GO:0019438</v>
      </c>
      <c r="B171" t="s">
        <v>613</v>
      </c>
      <c r="C171">
        <v>2655</v>
      </c>
      <c r="D171">
        <v>0.04</v>
      </c>
      <c r="F171">
        <v>0.02</v>
      </c>
      <c r="K171" s="1">
        <v>1.616E-4</v>
      </c>
    </row>
    <row r="172" spans="1:13" x14ac:dyDescent="0.25">
      <c r="A172" s="16" t="str">
        <f>HYPERLINK("http://amigo.geneontology.org/amigo/term/GO:0009266","GO:0009266")</f>
        <v>GO:0009266</v>
      </c>
      <c r="B172" t="s">
        <v>1029</v>
      </c>
      <c r="C172">
        <v>312</v>
      </c>
      <c r="E172">
        <v>0.03</v>
      </c>
      <c r="I172" s="1">
        <v>2.5119999999999999E-3</v>
      </c>
      <c r="K172" s="1">
        <v>1.9859999999999999E-3</v>
      </c>
    </row>
    <row r="173" spans="1:13" x14ac:dyDescent="0.25">
      <c r="A173" s="16" t="str">
        <f>HYPERLINK("http://amigo.geneontology.org/amigo/term/GO:0009991","GO:0009991")</f>
        <v>GO:0009991</v>
      </c>
      <c r="B173" t="s">
        <v>1025</v>
      </c>
      <c r="C173">
        <v>112</v>
      </c>
      <c r="E173">
        <v>0.03</v>
      </c>
      <c r="H173" s="1">
        <v>5.156E-3</v>
      </c>
    </row>
    <row r="174" spans="1:13" x14ac:dyDescent="0.25">
      <c r="A174" s="16" t="str">
        <f>HYPERLINK("http://amigo.geneontology.org/amigo/term/GO:0048366","GO:0048366")</f>
        <v>GO:0048366</v>
      </c>
      <c r="B174" t="s">
        <v>1030</v>
      </c>
      <c r="C174">
        <v>82</v>
      </c>
      <c r="E174">
        <v>0.03</v>
      </c>
      <c r="J174" s="1">
        <v>6.8380000000000003E-3</v>
      </c>
    </row>
    <row r="175" spans="1:13" x14ac:dyDescent="0.25">
      <c r="A175" s="16" t="str">
        <f>HYPERLINK("http://amigo.geneontology.org/amigo/term/GO:0019751","GO:0019751")</f>
        <v>GO:0019751</v>
      </c>
      <c r="B175" t="s">
        <v>535</v>
      </c>
      <c r="C175">
        <v>83</v>
      </c>
      <c r="D175">
        <v>0.03</v>
      </c>
      <c r="K175" s="1">
        <v>8.7449999999999993E-3</v>
      </c>
    </row>
    <row r="176" spans="1:13" x14ac:dyDescent="0.25">
      <c r="A176" s="16" t="str">
        <f>HYPERLINK("http://amigo.geneontology.org/amigo/term/GO:0000162","GO:0000162")</f>
        <v>GO:0000162</v>
      </c>
      <c r="B176" t="s">
        <v>598</v>
      </c>
      <c r="C176">
        <v>20</v>
      </c>
      <c r="D176">
        <v>0.03</v>
      </c>
      <c r="I176">
        <v>0.01</v>
      </c>
    </row>
    <row r="177" spans="1:11" x14ac:dyDescent="0.25">
      <c r="A177" s="16" t="str">
        <f>HYPERLINK("http://amigo.geneontology.org/amigo/term/GO:0046219","GO:0046219")</f>
        <v>GO:0046219</v>
      </c>
      <c r="B177" t="s">
        <v>595</v>
      </c>
      <c r="C177">
        <v>20</v>
      </c>
      <c r="D177">
        <v>0.03</v>
      </c>
      <c r="I177">
        <v>0.01</v>
      </c>
    </row>
    <row r="178" spans="1:11" x14ac:dyDescent="0.25">
      <c r="A178" s="16" t="s">
        <v>1295</v>
      </c>
      <c r="B178" t="s">
        <v>1296</v>
      </c>
      <c r="C178">
        <v>142</v>
      </c>
      <c r="G178">
        <v>0.03</v>
      </c>
      <c r="I178">
        <v>0.01</v>
      </c>
      <c r="J178">
        <v>0.03</v>
      </c>
    </row>
    <row r="179" spans="1:11" x14ac:dyDescent="0.25">
      <c r="A179" s="16" t="str">
        <f>HYPERLINK("http://amigo.geneontology.org/amigo/term/GO:0048638","GO:0048638")</f>
        <v>GO:0048638</v>
      </c>
      <c r="B179" t="s">
        <v>416</v>
      </c>
      <c r="C179">
        <v>93</v>
      </c>
      <c r="D179">
        <v>0.01</v>
      </c>
      <c r="E179">
        <v>0.05</v>
      </c>
      <c r="H179" s="1">
        <v>2.6540000000000001E-3</v>
      </c>
    </row>
    <row r="180" spans="1:11" x14ac:dyDescent="0.25">
      <c r="A180" s="16" t="str">
        <f>HYPERLINK("http://amigo.geneontology.org/amigo/term/GO:0016103","GO:0016103")</f>
        <v>GO:0016103</v>
      </c>
      <c r="B180" t="s">
        <v>1121</v>
      </c>
      <c r="C180">
        <v>14</v>
      </c>
      <c r="F180">
        <v>0.04</v>
      </c>
      <c r="K180" s="1">
        <v>2.5230000000000001E-4</v>
      </c>
    </row>
    <row r="181" spans="1:11" x14ac:dyDescent="0.25">
      <c r="A181" s="16" t="str">
        <f>HYPERLINK("http://amigo.geneontology.org/amigo/term/GO:0016115","GO:0016115")</f>
        <v>GO:0016115</v>
      </c>
      <c r="B181" t="s">
        <v>1120</v>
      </c>
      <c r="C181">
        <v>14</v>
      </c>
      <c r="F181">
        <v>0.04</v>
      </c>
      <c r="K181" s="1">
        <v>2.5230000000000001E-4</v>
      </c>
    </row>
    <row r="182" spans="1:11" x14ac:dyDescent="0.25">
      <c r="A182" s="16" t="str">
        <f>HYPERLINK("http://amigo.geneontology.org/amigo/term/GO:0045487","GO:0045487")</f>
        <v>GO:0045487</v>
      </c>
      <c r="B182" t="s">
        <v>1122</v>
      </c>
      <c r="C182">
        <v>14</v>
      </c>
      <c r="F182">
        <v>0.04</v>
      </c>
      <c r="K182" s="1">
        <v>2.5230000000000001E-4</v>
      </c>
    </row>
    <row r="183" spans="1:11" x14ac:dyDescent="0.25">
      <c r="A183" s="16" t="str">
        <f>HYPERLINK("http://amigo.geneontology.org/amigo/term/GO:0007389","GO:0007389")</f>
        <v>GO:0007389</v>
      </c>
      <c r="B183" t="s">
        <v>631</v>
      </c>
      <c r="C183">
        <v>53</v>
      </c>
      <c r="D183">
        <v>0.04</v>
      </c>
      <c r="J183" s="1">
        <v>1.9980000000000002E-3</v>
      </c>
    </row>
    <row r="184" spans="1:11" x14ac:dyDescent="0.25">
      <c r="A184" s="16" t="str">
        <f>HYPERLINK("http://amigo.geneontology.org/amigo/term/GO:2000012","GO:2000012")</f>
        <v>GO:2000012</v>
      </c>
      <c r="B184" t="s">
        <v>1124</v>
      </c>
      <c r="C184">
        <v>13</v>
      </c>
      <c r="F184">
        <v>0.04</v>
      </c>
      <c r="H184" s="1">
        <v>2.8010000000000001E-3</v>
      </c>
    </row>
    <row r="185" spans="1:11" x14ac:dyDescent="0.25">
      <c r="A185" s="16" t="str">
        <f>HYPERLINK("http://amigo.geneontology.org/amigo/term/GO:0010218","GO:0010218")</f>
        <v>GO:0010218</v>
      </c>
      <c r="B185" t="s">
        <v>1060</v>
      </c>
      <c r="C185">
        <v>15</v>
      </c>
      <c r="E185">
        <v>0.04</v>
      </c>
      <c r="I185" s="1">
        <v>8.0750000000000006E-3</v>
      </c>
    </row>
    <row r="186" spans="1:11" x14ac:dyDescent="0.25">
      <c r="A186" s="16" t="str">
        <f>HYPERLINK("http://amigo.geneontology.org/amigo/term/GO:0010114","GO:0010114")</f>
        <v>GO:0010114</v>
      </c>
      <c r="B186" t="s">
        <v>1059</v>
      </c>
      <c r="C186">
        <v>16</v>
      </c>
      <c r="E186">
        <v>0.04</v>
      </c>
      <c r="I186" s="1">
        <v>9.1739999999999999E-3</v>
      </c>
    </row>
    <row r="187" spans="1:11" x14ac:dyDescent="0.25">
      <c r="A187" s="16" t="str">
        <f>HYPERLINK("http://amigo.geneontology.org/amigo/term/GO:0006591","GO:0006591")</f>
        <v>GO:0006591</v>
      </c>
      <c r="B187" t="s">
        <v>1125</v>
      </c>
      <c r="C187">
        <v>14</v>
      </c>
      <c r="F187">
        <v>0.04</v>
      </c>
      <c r="K187">
        <v>0.02</v>
      </c>
    </row>
    <row r="188" spans="1:11" x14ac:dyDescent="0.25">
      <c r="A188" s="16" t="str">
        <f>HYPERLINK("http://amigo.geneontology.org/amigo/term/GO:0010020","GO:0010020")</f>
        <v>GO:0010020</v>
      </c>
      <c r="B188" t="s">
        <v>659</v>
      </c>
      <c r="C188">
        <v>23</v>
      </c>
      <c r="D188">
        <v>0.04</v>
      </c>
      <c r="K188">
        <v>0.04</v>
      </c>
    </row>
    <row r="189" spans="1:11" x14ac:dyDescent="0.25">
      <c r="A189" s="16" t="str">
        <f>HYPERLINK("http://amigo.geneontology.org/amigo/term/GO:0043572","GO:0043572")</f>
        <v>GO:0043572</v>
      </c>
      <c r="B189" t="s">
        <v>657</v>
      </c>
      <c r="C189">
        <v>23</v>
      </c>
      <c r="D189">
        <v>0.04</v>
      </c>
      <c r="K189">
        <v>0.04</v>
      </c>
    </row>
    <row r="190" spans="1:11" x14ac:dyDescent="0.25">
      <c r="A190" s="16" t="str">
        <f>HYPERLINK("http://amigo.geneontology.org/amigo/term/GO:0034641","GO:0034641")</f>
        <v>GO:0034641</v>
      </c>
      <c r="B190" t="s">
        <v>688</v>
      </c>
      <c r="C190">
        <v>7697</v>
      </c>
      <c r="D190">
        <v>0.05</v>
      </c>
      <c r="I190" s="1">
        <v>3.1889999999999998E-7</v>
      </c>
    </row>
    <row r="191" spans="1:11" x14ac:dyDescent="0.25">
      <c r="A191" s="16" t="str">
        <f>HYPERLINK("http://amigo.geneontology.org/amigo/term/GO:0007167","GO:0007167")</f>
        <v>GO:0007167</v>
      </c>
      <c r="B191" t="s">
        <v>1062</v>
      </c>
      <c r="C191">
        <v>39</v>
      </c>
      <c r="E191">
        <v>0.05</v>
      </c>
      <c r="H191">
        <v>0.02</v>
      </c>
    </row>
    <row r="192" spans="1:11" x14ac:dyDescent="0.25">
      <c r="A192" s="16" t="str">
        <f>HYPERLINK("http://amigo.geneontology.org/amigo/term/GO:0007178","GO:0007178")</f>
        <v>GO:0007178</v>
      </c>
      <c r="B192" t="s">
        <v>1063</v>
      </c>
      <c r="C192">
        <v>39</v>
      </c>
      <c r="E192">
        <v>0.05</v>
      </c>
      <c r="H192">
        <v>0.02</v>
      </c>
    </row>
    <row r="193" spans="1:13" x14ac:dyDescent="0.25">
      <c r="A193" s="16" t="str">
        <f>HYPERLINK("http://amigo.geneontology.org/amigo/term/GO:0010496","GO:0010496")</f>
        <v>GO:0010496</v>
      </c>
      <c r="B193" t="s">
        <v>1127</v>
      </c>
      <c r="C193">
        <v>15</v>
      </c>
      <c r="F193">
        <v>0.05</v>
      </c>
      <c r="K193">
        <v>0.02</v>
      </c>
    </row>
    <row r="194" spans="1:13" x14ac:dyDescent="0.25">
      <c r="A194" s="16" t="str">
        <f>HYPERLINK("http://amigo.geneontology.org/amigo/term/GO:0010497","GO:0010497")</f>
        <v>GO:0010497</v>
      </c>
      <c r="B194" t="s">
        <v>1128</v>
      </c>
      <c r="C194">
        <v>15</v>
      </c>
      <c r="F194">
        <v>0.05</v>
      </c>
      <c r="K194">
        <v>0.02</v>
      </c>
    </row>
    <row r="195" spans="1:13" x14ac:dyDescent="0.25">
      <c r="A195" s="17"/>
      <c r="B195" s="3"/>
      <c r="C195" s="3"/>
      <c r="D195" s="15"/>
      <c r="E195" s="3"/>
      <c r="F195" s="3"/>
      <c r="G195" s="3"/>
      <c r="H195" s="3"/>
      <c r="I195" s="3"/>
      <c r="J195" s="3"/>
      <c r="K195" s="3"/>
      <c r="L195" s="15"/>
      <c r="M195" s="3"/>
    </row>
    <row r="196" spans="1:13" x14ac:dyDescent="0.25">
      <c r="A196" s="16" t="str">
        <f>HYPERLINK("http://amigo.geneontology.org/amigo/term/GO:0044267","GO:0044267")</f>
        <v>GO:0044267</v>
      </c>
      <c r="B196" t="s">
        <v>719</v>
      </c>
      <c r="C196">
        <v>9710</v>
      </c>
      <c r="E196" s="1">
        <v>1.577E-29</v>
      </c>
    </row>
    <row r="197" spans="1:13" x14ac:dyDescent="0.25">
      <c r="A197" s="16" t="str">
        <f>HYPERLINK("http://amigo.geneontology.org/amigo/term/GO:0019538","GO:0019538")</f>
        <v>GO:0019538</v>
      </c>
      <c r="B197" t="s">
        <v>720</v>
      </c>
      <c r="C197">
        <v>11500</v>
      </c>
      <c r="E197" s="1">
        <v>4.0480000000000002E-26</v>
      </c>
    </row>
    <row r="198" spans="1:13" x14ac:dyDescent="0.25">
      <c r="A198" s="16" t="str">
        <f>HYPERLINK("http://amigo.geneontology.org/amigo/term/GO:1901564","GO:1901564")</f>
        <v>GO:1901564</v>
      </c>
      <c r="B198" t="s">
        <v>721</v>
      </c>
      <c r="C198">
        <v>14105</v>
      </c>
      <c r="E198" s="1">
        <v>8.6010000000000002E-26</v>
      </c>
    </row>
    <row r="199" spans="1:13" x14ac:dyDescent="0.25">
      <c r="A199" s="16" t="str">
        <f>HYPERLINK("http://amigo.geneontology.org/amigo/term/GO:0031347","GO:0031347")</f>
        <v>GO:0031347</v>
      </c>
      <c r="B199" t="s">
        <v>722</v>
      </c>
      <c r="C199">
        <v>138</v>
      </c>
      <c r="E199" s="1">
        <v>6.0129999999999995E-23</v>
      </c>
    </row>
    <row r="200" spans="1:13" x14ac:dyDescent="0.25">
      <c r="A200" s="16" t="str">
        <f>HYPERLINK("http://amigo.geneontology.org/amigo/term/GO:0002831","GO:0002831")</f>
        <v>GO:0002831</v>
      </c>
      <c r="B200" t="s">
        <v>723</v>
      </c>
      <c r="C200">
        <v>118</v>
      </c>
      <c r="E200" s="1">
        <v>9.5079999999999997E-23</v>
      </c>
    </row>
    <row r="201" spans="1:13" x14ac:dyDescent="0.25">
      <c r="A201" s="16" t="str">
        <f>HYPERLINK("http://amigo.geneontology.org/amigo/term/GO:0032101","GO:0032101")</f>
        <v>GO:0032101</v>
      </c>
      <c r="B201" t="s">
        <v>724</v>
      </c>
      <c r="C201">
        <v>123</v>
      </c>
      <c r="E201" s="1">
        <v>3.3840000000000002E-22</v>
      </c>
    </row>
    <row r="202" spans="1:13" x14ac:dyDescent="0.25">
      <c r="A202" s="16" t="str">
        <f>HYPERLINK("http://amigo.geneontology.org/amigo/term/GO:0080134","GO:0080134")</f>
        <v>GO:0080134</v>
      </c>
      <c r="B202" t="s">
        <v>725</v>
      </c>
      <c r="C202">
        <v>215</v>
      </c>
      <c r="E202" s="1">
        <v>8.0629999999999995E-21</v>
      </c>
    </row>
    <row r="203" spans="1:13" x14ac:dyDescent="0.25">
      <c r="A203" s="16" t="str">
        <f>HYPERLINK("http://amigo.geneontology.org/amigo/term/GO:0048583","GO:0048583")</f>
        <v>GO:0048583</v>
      </c>
      <c r="B203" t="s">
        <v>726</v>
      </c>
      <c r="C203">
        <v>438</v>
      </c>
      <c r="E203" s="1">
        <v>3.7950000000000002E-18</v>
      </c>
    </row>
    <row r="204" spans="1:13" x14ac:dyDescent="0.25">
      <c r="A204" s="16" t="str">
        <f>HYPERLINK("http://amigo.geneontology.org/amigo/term/GO:0044260","GO:0044260")</f>
        <v>GO:0044260</v>
      </c>
      <c r="B204" t="s">
        <v>727</v>
      </c>
      <c r="C204">
        <v>12995</v>
      </c>
      <c r="E204" s="1">
        <v>9.3500000000000001E-16</v>
      </c>
    </row>
    <row r="205" spans="1:13" x14ac:dyDescent="0.25">
      <c r="A205" s="16" t="str">
        <f>HYPERLINK("http://amigo.geneontology.org/amigo/term/GO:0010112","GO:0010112")</f>
        <v>GO:0010112</v>
      </c>
      <c r="B205" t="s">
        <v>728</v>
      </c>
      <c r="C205">
        <v>24</v>
      </c>
      <c r="E205" s="1">
        <v>1.5349999999999999E-14</v>
      </c>
    </row>
    <row r="206" spans="1:13" x14ac:dyDescent="0.25">
      <c r="A206" s="16" t="s">
        <v>1145</v>
      </c>
      <c r="B206" t="s">
        <v>1146</v>
      </c>
      <c r="C206">
        <v>108</v>
      </c>
      <c r="G206">
        <v>3.4490000000000002E-13</v>
      </c>
      <c r="L206">
        <v>0.05</v>
      </c>
    </row>
    <row r="207" spans="1:13" x14ac:dyDescent="0.25">
      <c r="A207" s="16" t="str">
        <f>HYPERLINK("http://amigo.geneontology.org/amigo/term/GO:0009751","GO:0009751")</f>
        <v>GO:0009751</v>
      </c>
      <c r="B207" t="s">
        <v>729</v>
      </c>
      <c r="C207">
        <v>54</v>
      </c>
      <c r="E207" s="1">
        <v>4.6209999999999998E-12</v>
      </c>
    </row>
    <row r="208" spans="1:13" x14ac:dyDescent="0.25">
      <c r="A208" s="16" t="str">
        <f>HYPERLINK("http://amigo.geneontology.org/amigo/term/GO:0043207","GO:0043207")</f>
        <v>GO:0043207</v>
      </c>
      <c r="B208" t="s">
        <v>730</v>
      </c>
      <c r="C208">
        <v>348</v>
      </c>
      <c r="E208" s="1">
        <v>5.0060000000000003E-12</v>
      </c>
      <c r="L208" s="1">
        <v>1.5780000000000001E-5</v>
      </c>
    </row>
    <row r="209" spans="1:13" x14ac:dyDescent="0.25">
      <c r="A209" s="16" t="str">
        <f>HYPERLINK("http://amigo.geneontology.org/amigo/term/GO:0051707","GO:0051707")</f>
        <v>GO:0051707</v>
      </c>
      <c r="B209" t="s">
        <v>731</v>
      </c>
      <c r="C209">
        <v>348</v>
      </c>
      <c r="E209" s="1">
        <v>5.0060000000000003E-12</v>
      </c>
      <c r="L209" s="1">
        <v>1.5780000000000001E-5</v>
      </c>
    </row>
    <row r="210" spans="1:13" x14ac:dyDescent="0.25">
      <c r="A210" s="16" t="str">
        <f>HYPERLINK("http://amigo.geneontology.org/amigo/term/GO:0014070","GO:0014070")</f>
        <v>GO:0014070</v>
      </c>
      <c r="B210" t="s">
        <v>732</v>
      </c>
      <c r="C210">
        <v>117</v>
      </c>
      <c r="E210" s="1">
        <v>6.0110000000000001E-12</v>
      </c>
    </row>
    <row r="211" spans="1:13" x14ac:dyDescent="0.25">
      <c r="A211" s="16" t="s">
        <v>1147</v>
      </c>
      <c r="B211" t="s">
        <v>1148</v>
      </c>
      <c r="C211">
        <v>217</v>
      </c>
      <c r="G211">
        <v>6.7719999999999998E-12</v>
      </c>
    </row>
    <row r="212" spans="1:13" x14ac:dyDescent="0.25">
      <c r="A212" s="16" t="s">
        <v>1149</v>
      </c>
      <c r="B212" t="s">
        <v>1150</v>
      </c>
      <c r="C212">
        <v>147</v>
      </c>
      <c r="G212">
        <v>1.3940000000000001E-11</v>
      </c>
    </row>
    <row r="213" spans="1:13" x14ac:dyDescent="0.25">
      <c r="A213" s="16" t="str">
        <f>HYPERLINK("http://amigo.geneontology.org/amigo/term/GO:1900424","GO:1900424")</f>
        <v>GO:1900424</v>
      </c>
      <c r="B213" t="s">
        <v>733</v>
      </c>
      <c r="C213">
        <v>13</v>
      </c>
      <c r="E213" s="1">
        <v>4.4000000000000003E-11</v>
      </c>
    </row>
    <row r="214" spans="1:13" x14ac:dyDescent="0.25">
      <c r="A214" s="16" t="s">
        <v>1151</v>
      </c>
      <c r="B214" t="s">
        <v>1152</v>
      </c>
      <c r="C214">
        <v>163</v>
      </c>
      <c r="G214">
        <v>4.6989999999999997E-11</v>
      </c>
    </row>
    <row r="215" spans="1:13" x14ac:dyDescent="0.25">
      <c r="A215" s="16" t="str">
        <f>HYPERLINK("http://amigo.geneontology.org/amigo/term/GO:0009625","GO:0009625")</f>
        <v>GO:0009625</v>
      </c>
      <c r="B215" t="s">
        <v>734</v>
      </c>
      <c r="C215">
        <v>9</v>
      </c>
      <c r="E215" s="1">
        <v>6.2220000000000006E-11</v>
      </c>
    </row>
    <row r="216" spans="1:13" x14ac:dyDescent="0.25">
      <c r="A216" s="16" t="str">
        <f>HYPERLINK("http://amigo.geneontology.org/amigo/term/GO:2000068","GO:2000068")</f>
        <v>GO:2000068</v>
      </c>
      <c r="B216" t="s">
        <v>735</v>
      </c>
      <c r="C216">
        <v>9</v>
      </c>
      <c r="E216" s="1">
        <v>6.2220000000000006E-11</v>
      </c>
    </row>
    <row r="217" spans="1:13" x14ac:dyDescent="0.25">
      <c r="A217" s="16" t="s">
        <v>1153</v>
      </c>
      <c r="B217" t="s">
        <v>1154</v>
      </c>
      <c r="C217">
        <v>272</v>
      </c>
      <c r="G217">
        <v>1.367E-10</v>
      </c>
    </row>
    <row r="218" spans="1:13" x14ac:dyDescent="0.25">
      <c r="A218" s="16" t="str">
        <f>HYPERLINK("http://amigo.geneontology.org/amigo/term/GO:0009617","GO:0009617")</f>
        <v>GO:0009617</v>
      </c>
      <c r="B218" t="s">
        <v>736</v>
      </c>
      <c r="C218">
        <v>177</v>
      </c>
      <c r="E218" s="1">
        <v>2.148E-10</v>
      </c>
      <c r="L218">
        <v>0.01</v>
      </c>
    </row>
    <row r="219" spans="1:13" x14ac:dyDescent="0.25">
      <c r="A219" s="16" t="str">
        <f>HYPERLINK("http://amigo.geneontology.org/amigo/term/GO:0006807","GO:0006807")</f>
        <v>GO:0006807</v>
      </c>
      <c r="B219" t="s">
        <v>737</v>
      </c>
      <c r="C219">
        <v>18195</v>
      </c>
      <c r="E219" s="1">
        <v>3.3190000000000001E-10</v>
      </c>
    </row>
    <row r="220" spans="1:13" x14ac:dyDescent="0.25">
      <c r="A220" s="16" t="str">
        <f>HYPERLINK("http://amigo.geneontology.org/amigo/term/GO:0010337","GO:0010337")</f>
        <v>GO:0010337</v>
      </c>
      <c r="B220" t="s">
        <v>738</v>
      </c>
      <c r="C220">
        <v>16</v>
      </c>
      <c r="E220" s="1">
        <v>4.1589999999999998E-10</v>
      </c>
    </row>
    <row r="221" spans="1:13" x14ac:dyDescent="0.25">
      <c r="A221" s="16" t="s">
        <v>1155</v>
      </c>
      <c r="B221" t="s">
        <v>1156</v>
      </c>
      <c r="C221">
        <v>202</v>
      </c>
      <c r="G221">
        <v>5.6270000000000003E-10</v>
      </c>
    </row>
    <row r="222" spans="1:13" x14ac:dyDescent="0.25">
      <c r="A222" s="16" t="s">
        <v>1157</v>
      </c>
      <c r="B222" t="s">
        <v>1158</v>
      </c>
      <c r="C222">
        <v>307</v>
      </c>
      <c r="G222">
        <v>6.6229999999999998E-10</v>
      </c>
    </row>
    <row r="223" spans="1:13" x14ac:dyDescent="0.25">
      <c r="A223" s="16" t="str">
        <f>HYPERLINK("http://amigo.geneontology.org/amigo/term/GO:0002833","GO:0002833")</f>
        <v>GO:0002833</v>
      </c>
      <c r="B223" t="s">
        <v>739</v>
      </c>
      <c r="C223">
        <v>42</v>
      </c>
      <c r="E223" s="1">
        <v>8.08E-10</v>
      </c>
    </row>
    <row r="224" spans="1:13" x14ac:dyDescent="0.25">
      <c r="A224" s="16" t="str">
        <f>HYPERLINK("http://amigo.geneontology.org/amigo/term/GO:0009607","GO:0009607")</f>
        <v>GO:0009607</v>
      </c>
      <c r="B224" t="s">
        <v>740</v>
      </c>
      <c r="C224">
        <v>427</v>
      </c>
      <c r="E224" s="1">
        <v>9.4169999999999996E-10</v>
      </c>
      <c r="L224" s="1">
        <v>6.1909999999999998E-9</v>
      </c>
      <c r="M224">
        <v>0.04</v>
      </c>
    </row>
    <row r="225" spans="1:13" x14ac:dyDescent="0.25">
      <c r="A225" s="16" t="str">
        <f>HYPERLINK("http://amigo.geneontology.org/amigo/term/GO:0031349","GO:0031349")</f>
        <v>GO:0031349</v>
      </c>
      <c r="B225" t="s">
        <v>741</v>
      </c>
      <c r="C225">
        <v>43</v>
      </c>
      <c r="E225" s="1">
        <v>1.0649999999999999E-9</v>
      </c>
    </row>
    <row r="226" spans="1:13" x14ac:dyDescent="0.25">
      <c r="A226" s="16" t="str">
        <f>HYPERLINK("http://amigo.geneontology.org/amigo/term/GO:0010200","GO:0010200")</f>
        <v>GO:0010200</v>
      </c>
      <c r="B226" t="s">
        <v>742</v>
      </c>
      <c r="C226">
        <v>12</v>
      </c>
      <c r="E226" s="1">
        <v>1.295E-9</v>
      </c>
    </row>
    <row r="227" spans="1:13" x14ac:dyDescent="0.25">
      <c r="A227" s="16" t="s">
        <v>1159</v>
      </c>
      <c r="B227" t="s">
        <v>1160</v>
      </c>
      <c r="C227">
        <v>458</v>
      </c>
      <c r="G227">
        <v>1.8910000000000002E-9</v>
      </c>
    </row>
    <row r="228" spans="1:13" x14ac:dyDescent="0.25">
      <c r="A228" s="16" t="str">
        <f>HYPERLINK("http://amigo.geneontology.org/amigo/term/GO:0009862","GO:0009862")</f>
        <v>GO:0009862</v>
      </c>
      <c r="B228" t="s">
        <v>744</v>
      </c>
      <c r="C228">
        <v>13</v>
      </c>
      <c r="E228" s="1">
        <v>2.7550000000000001E-9</v>
      </c>
    </row>
    <row r="229" spans="1:13" x14ac:dyDescent="0.25">
      <c r="A229" s="16" t="str">
        <f>HYPERLINK("http://amigo.geneontology.org/amigo/term/GO:0032103","GO:0032103")</f>
        <v>GO:0032103</v>
      </c>
      <c r="B229" t="s">
        <v>745</v>
      </c>
      <c r="C229">
        <v>47</v>
      </c>
      <c r="E229" s="1">
        <v>2.9859999999999998E-9</v>
      </c>
    </row>
    <row r="230" spans="1:13" x14ac:dyDescent="0.25">
      <c r="A230" s="16" t="str">
        <f>HYPERLINK("http://amigo.geneontology.org/amigo/term/GO:0071407","GO:0071407")</f>
        <v>GO:0071407</v>
      </c>
      <c r="B230" t="s">
        <v>746</v>
      </c>
      <c r="C230">
        <v>59</v>
      </c>
      <c r="E230" s="1">
        <v>3.224E-9</v>
      </c>
    </row>
    <row r="231" spans="1:13" x14ac:dyDescent="0.25">
      <c r="A231" s="16" t="s">
        <v>1161</v>
      </c>
      <c r="B231" t="s">
        <v>1162</v>
      </c>
      <c r="C231">
        <v>356</v>
      </c>
      <c r="G231">
        <v>4.4130000000000004E-9</v>
      </c>
    </row>
    <row r="232" spans="1:13" x14ac:dyDescent="0.25">
      <c r="A232" s="16" t="str">
        <f>HYPERLINK("http://amigo.geneontology.org/amigo/term/GO:0009863","GO:0009863")</f>
        <v>GO:0009863</v>
      </c>
      <c r="B232" t="s">
        <v>747</v>
      </c>
      <c r="C232">
        <v>14</v>
      </c>
      <c r="E232" s="1">
        <v>5.4089999999999998E-9</v>
      </c>
    </row>
    <row r="233" spans="1:13" x14ac:dyDescent="0.25">
      <c r="A233" s="16" t="str">
        <f>HYPERLINK("http://amigo.geneontology.org/amigo/term/GO:2000022","GO:2000022")</f>
        <v>GO:2000022</v>
      </c>
      <c r="B233" t="s">
        <v>748</v>
      </c>
      <c r="C233">
        <v>21</v>
      </c>
      <c r="E233" s="1">
        <v>5.9879999999999996E-9</v>
      </c>
    </row>
    <row r="234" spans="1:13" x14ac:dyDescent="0.25">
      <c r="A234" s="16" t="str">
        <f>HYPERLINK("http://amigo.geneontology.org/amigo/term/GO:0043170","GO:0043170")</f>
        <v>GO:0043170</v>
      </c>
      <c r="B234" t="s">
        <v>749</v>
      </c>
      <c r="C234">
        <v>16199</v>
      </c>
      <c r="E234" s="1">
        <v>6.0339999999999996E-9</v>
      </c>
    </row>
    <row r="235" spans="1:13" x14ac:dyDescent="0.25">
      <c r="A235" s="16" t="str">
        <f>HYPERLINK("http://amigo.geneontology.org/amigo/term/GO:2000031","GO:2000031")</f>
        <v>GO:2000031</v>
      </c>
      <c r="B235" t="s">
        <v>750</v>
      </c>
      <c r="C235">
        <v>15</v>
      </c>
      <c r="E235" s="1">
        <v>9.9559999999999999E-9</v>
      </c>
    </row>
    <row r="236" spans="1:13" x14ac:dyDescent="0.25">
      <c r="A236" s="16" t="str">
        <f>HYPERLINK("http://amigo.geneontology.org/amigo/term/GO:0009605","GO:0009605")</f>
        <v>GO:0009605</v>
      </c>
      <c r="B236" t="s">
        <v>751</v>
      </c>
      <c r="C236">
        <v>580</v>
      </c>
      <c r="E236" s="1">
        <v>1.301E-8</v>
      </c>
      <c r="L236" s="1">
        <v>5.2400000000000005E-4</v>
      </c>
    </row>
    <row r="237" spans="1:13" x14ac:dyDescent="0.25">
      <c r="A237" s="16" t="str">
        <f>HYPERLINK("http://amigo.geneontology.org/amigo/term/GO:0080142","GO:0080142")</f>
        <v>GO:0080142</v>
      </c>
      <c r="B237" t="s">
        <v>752</v>
      </c>
      <c r="C237">
        <v>10</v>
      </c>
      <c r="E237" s="1">
        <v>1.672E-8</v>
      </c>
    </row>
    <row r="238" spans="1:13" x14ac:dyDescent="0.25">
      <c r="A238" s="16" t="str">
        <f>HYPERLINK("http://amigo.geneontology.org/amigo/term/GO:0044085","GO:0044085")</f>
        <v>GO:0044085</v>
      </c>
      <c r="B238" t="s">
        <v>20</v>
      </c>
      <c r="C238">
        <v>1818</v>
      </c>
      <c r="D238" s="1">
        <v>1.7780000000000001E-8</v>
      </c>
    </row>
    <row r="239" spans="1:13" x14ac:dyDescent="0.25">
      <c r="A239" s="16" t="str">
        <f>HYPERLINK("http://amigo.geneontology.org/amigo/term/GO:0048584","GO:0048584")</f>
        <v>GO:0048584</v>
      </c>
      <c r="B239" t="s">
        <v>753</v>
      </c>
      <c r="C239">
        <v>148</v>
      </c>
      <c r="E239" s="1">
        <v>1.7949999999999999E-8</v>
      </c>
      <c r="M239">
        <v>0.01</v>
      </c>
    </row>
    <row r="240" spans="1:13" x14ac:dyDescent="0.25">
      <c r="A240" s="16" t="str">
        <f>HYPERLINK("http://amigo.geneontology.org/amigo/term/GO:1900367","GO:1900367")</f>
        <v>GO:1900367</v>
      </c>
      <c r="B240" t="s">
        <v>754</v>
      </c>
      <c r="C240">
        <v>6</v>
      </c>
      <c r="E240" s="1">
        <v>2.4080000000000001E-8</v>
      </c>
    </row>
    <row r="241" spans="1:13" x14ac:dyDescent="0.25">
      <c r="A241" s="16" t="str">
        <f>HYPERLINK("http://amigo.geneontology.org/amigo/term/GO:0071446","GO:0071446")</f>
        <v>GO:0071446</v>
      </c>
      <c r="B241" t="s">
        <v>755</v>
      </c>
      <c r="C241">
        <v>17</v>
      </c>
      <c r="E241" s="1">
        <v>2.9000000000000002E-8</v>
      </c>
    </row>
    <row r="242" spans="1:13" x14ac:dyDescent="0.25">
      <c r="A242" s="16" t="str">
        <f>HYPERLINK("http://amigo.geneontology.org/amigo/term/GO:1900426","GO:1900426")</f>
        <v>GO:1900426</v>
      </c>
      <c r="B242" t="s">
        <v>756</v>
      </c>
      <c r="C242">
        <v>11</v>
      </c>
      <c r="E242" s="1">
        <v>3.613E-8</v>
      </c>
    </row>
    <row r="243" spans="1:13" x14ac:dyDescent="0.25">
      <c r="A243" s="16" t="str">
        <f>HYPERLINK("http://amigo.geneontology.org/amigo/term/GO:0042742","GO:0042742")</f>
        <v>GO:0042742</v>
      </c>
      <c r="B243" t="s">
        <v>757</v>
      </c>
      <c r="C243">
        <v>158</v>
      </c>
      <c r="E243" s="1">
        <v>4.7689999999999999E-8</v>
      </c>
      <c r="L243" s="1">
        <v>7.0219999999999996E-3</v>
      </c>
    </row>
    <row r="244" spans="1:13" x14ac:dyDescent="0.25">
      <c r="A244" s="16" t="str">
        <f>HYPERLINK("http://amigo.geneontology.org/amigo/term/GO:0098542","GO:0098542")</f>
        <v>GO:0098542</v>
      </c>
      <c r="B244" t="s">
        <v>758</v>
      </c>
      <c r="C244">
        <v>309</v>
      </c>
      <c r="E244" s="1">
        <v>5.7930000000000003E-8</v>
      </c>
      <c r="L244" s="1">
        <v>4.8060000000000002E-6</v>
      </c>
    </row>
    <row r="245" spans="1:13" x14ac:dyDescent="0.25">
      <c r="A245" s="16" t="str">
        <f>HYPERLINK("http://amigo.geneontology.org/amigo/term/GO:0006564","GO:0006564")</f>
        <v>GO:0006564</v>
      </c>
      <c r="B245" t="s">
        <v>26</v>
      </c>
      <c r="C245">
        <v>16</v>
      </c>
      <c r="D245" s="1">
        <v>6.7539999999999995E-8</v>
      </c>
    </row>
    <row r="246" spans="1:13" x14ac:dyDescent="0.25">
      <c r="A246" s="16" t="str">
        <f>HYPERLINK("http://amigo.geneontology.org/amigo/term/GO:0010410","GO:0010410")</f>
        <v>GO:0010410</v>
      </c>
      <c r="B246" t="s">
        <v>29</v>
      </c>
      <c r="C246">
        <v>210</v>
      </c>
      <c r="D246" s="1">
        <v>1.044E-7</v>
      </c>
    </row>
    <row r="247" spans="1:13" x14ac:dyDescent="0.25">
      <c r="A247" s="16" t="str">
        <f>HYPERLINK("http://amigo.geneontology.org/amigo/term/GO:0010383","GO:0010383")</f>
        <v>GO:0010383</v>
      </c>
      <c r="B247" t="s">
        <v>32</v>
      </c>
      <c r="C247">
        <v>218</v>
      </c>
      <c r="D247" s="1">
        <v>1.7429999999999999E-7</v>
      </c>
    </row>
    <row r="248" spans="1:13" x14ac:dyDescent="0.25">
      <c r="A248" s="16" t="str">
        <f>HYPERLINK("http://amigo.geneontology.org/amigo/term/GO:1901698","GO:1901698")</f>
        <v>GO:1901698</v>
      </c>
      <c r="B248" t="s">
        <v>760</v>
      </c>
      <c r="C248">
        <v>86</v>
      </c>
      <c r="E248" s="1">
        <v>2.614E-7</v>
      </c>
      <c r="M248" s="1">
        <v>2.4020000000000001E-3</v>
      </c>
    </row>
    <row r="249" spans="1:13" x14ac:dyDescent="0.25">
      <c r="A249" s="16" t="str">
        <f>HYPERLINK("http://amigo.geneontology.org/amigo/term/GO:0006457","GO:0006457")</f>
        <v>GO:0006457</v>
      </c>
      <c r="B249" t="s">
        <v>34</v>
      </c>
      <c r="C249">
        <v>361</v>
      </c>
      <c r="D249" s="1">
        <v>5.2030000000000002E-7</v>
      </c>
    </row>
    <row r="250" spans="1:13" x14ac:dyDescent="0.25">
      <c r="A250" s="16" t="str">
        <f>HYPERLINK("http://amigo.geneontology.org/amigo/term/GO:0071840","GO:0071840")</f>
        <v>GO:0071840</v>
      </c>
      <c r="B250" t="s">
        <v>37</v>
      </c>
      <c r="C250">
        <v>3537</v>
      </c>
      <c r="D250" s="1">
        <v>6.1490000000000003E-7</v>
      </c>
    </row>
    <row r="251" spans="1:13" x14ac:dyDescent="0.25">
      <c r="A251" s="16" t="s">
        <v>1163</v>
      </c>
      <c r="B251" t="s">
        <v>1164</v>
      </c>
      <c r="C251">
        <v>102</v>
      </c>
      <c r="G251">
        <v>8.7029999999999995E-7</v>
      </c>
      <c r="L251" s="1">
        <v>7.4570000000000001E-3</v>
      </c>
    </row>
    <row r="252" spans="1:13" x14ac:dyDescent="0.25">
      <c r="A252" s="16" t="str">
        <f>HYPERLINK("http://amigo.geneontology.org/amigo/term/GO:0007584","GO:0007584")</f>
        <v>GO:0007584</v>
      </c>
      <c r="B252" t="s">
        <v>761</v>
      </c>
      <c r="C252">
        <v>5</v>
      </c>
      <c r="E252" s="1">
        <v>9.5729999999999992E-7</v>
      </c>
    </row>
    <row r="253" spans="1:13" x14ac:dyDescent="0.25">
      <c r="A253" s="16" t="str">
        <f>HYPERLINK("http://amigo.geneontology.org/amigo/term/GO:0010565","GO:0010565")</f>
        <v>GO:0010565</v>
      </c>
      <c r="B253" t="s">
        <v>763</v>
      </c>
      <c r="C253">
        <v>40</v>
      </c>
      <c r="E253" s="1">
        <v>1.587E-6</v>
      </c>
    </row>
    <row r="254" spans="1:13" x14ac:dyDescent="0.25">
      <c r="A254" s="16" t="str">
        <f>HYPERLINK("http://amigo.geneontology.org/amigo/term/GO:1900150","GO:1900150")</f>
        <v>GO:1900150</v>
      </c>
      <c r="B254" t="s">
        <v>762</v>
      </c>
      <c r="C254">
        <v>40</v>
      </c>
      <c r="E254" s="1">
        <v>1.587E-6</v>
      </c>
    </row>
    <row r="255" spans="1:13" x14ac:dyDescent="0.25">
      <c r="A255" s="16" t="s">
        <v>1165</v>
      </c>
      <c r="B255" t="s">
        <v>1166</v>
      </c>
      <c r="C255">
        <v>6</v>
      </c>
      <c r="G255">
        <v>2.407E-6</v>
      </c>
    </row>
    <row r="256" spans="1:13" x14ac:dyDescent="0.25">
      <c r="A256" s="16" t="str">
        <f>HYPERLINK("http://amigo.geneontology.org/amigo/term/GO:0044036","GO:0044036")</f>
        <v>GO:0044036</v>
      </c>
      <c r="B256" t="s">
        <v>51</v>
      </c>
      <c r="C256">
        <v>301</v>
      </c>
      <c r="D256" s="1">
        <v>2.8059999999999999E-6</v>
      </c>
      <c r="L256" s="1">
        <v>2.0229999999999999E-10</v>
      </c>
    </row>
    <row r="257" spans="1:5" x14ac:dyDescent="0.25">
      <c r="A257" s="16" t="str">
        <f>HYPERLINK("http://amigo.geneontology.org/amigo/term/GO:0009163","GO:0009163")</f>
        <v>GO:0009163</v>
      </c>
      <c r="B257" t="s">
        <v>57</v>
      </c>
      <c r="C257">
        <v>17</v>
      </c>
      <c r="D257" s="1">
        <v>3.5159999999999999E-6</v>
      </c>
    </row>
    <row r="258" spans="1:5" x14ac:dyDescent="0.25">
      <c r="A258" s="16" t="str">
        <f>HYPERLINK("http://amigo.geneontology.org/amigo/term/GO:0034404","GO:0034404")</f>
        <v>GO:0034404</v>
      </c>
      <c r="B258" t="s">
        <v>54</v>
      </c>
      <c r="C258">
        <v>17</v>
      </c>
      <c r="D258" s="1">
        <v>3.5159999999999999E-6</v>
      </c>
    </row>
    <row r="259" spans="1:5" x14ac:dyDescent="0.25">
      <c r="A259" s="16" t="str">
        <f>HYPERLINK("http://amigo.geneontology.org/amigo/term/GO:0042451","GO:0042451")</f>
        <v>GO:0042451</v>
      </c>
      <c r="B259" t="s">
        <v>58</v>
      </c>
      <c r="C259">
        <v>17</v>
      </c>
      <c r="D259" s="1">
        <v>3.5159999999999999E-6</v>
      </c>
    </row>
    <row r="260" spans="1:5" x14ac:dyDescent="0.25">
      <c r="A260" s="16" t="str">
        <f>HYPERLINK("http://amigo.geneontology.org/amigo/term/GO:0042455","GO:0042455")</f>
        <v>GO:0042455</v>
      </c>
      <c r="B260" t="s">
        <v>59</v>
      </c>
      <c r="C260">
        <v>17</v>
      </c>
      <c r="D260" s="1">
        <v>3.5159999999999999E-6</v>
      </c>
    </row>
    <row r="261" spans="1:5" x14ac:dyDescent="0.25">
      <c r="A261" s="16" t="str">
        <f>HYPERLINK("http://amigo.geneontology.org/amigo/term/GO:0046129","GO:0046129")</f>
        <v>GO:0046129</v>
      </c>
      <c r="B261" t="s">
        <v>60</v>
      </c>
      <c r="C261">
        <v>17</v>
      </c>
      <c r="D261" s="1">
        <v>3.5159999999999999E-6</v>
      </c>
    </row>
    <row r="262" spans="1:5" x14ac:dyDescent="0.25">
      <c r="A262" s="16" t="str">
        <f>HYPERLINK("http://amigo.geneontology.org/amigo/term/GO:0009966","GO:0009966")</f>
        <v>GO:0009966</v>
      </c>
      <c r="B262" t="s">
        <v>766</v>
      </c>
      <c r="C262">
        <v>192</v>
      </c>
      <c r="E262" s="1">
        <v>3.642E-6</v>
      </c>
    </row>
    <row r="263" spans="1:5" x14ac:dyDescent="0.25">
      <c r="A263" s="16" t="str">
        <f>HYPERLINK("http://amigo.geneontology.org/amigo/term/GO:0023051","GO:0023051")</f>
        <v>GO:0023051</v>
      </c>
      <c r="B263" t="s">
        <v>765</v>
      </c>
      <c r="C263">
        <v>192</v>
      </c>
      <c r="E263" s="1">
        <v>3.642E-6</v>
      </c>
    </row>
    <row r="264" spans="1:5" x14ac:dyDescent="0.25">
      <c r="A264" s="16" t="str">
        <f>HYPERLINK("http://amigo.geneontology.org/amigo/term/GO:0016043","GO:0016043")</f>
        <v>GO:0016043</v>
      </c>
      <c r="B264" t="s">
        <v>61</v>
      </c>
      <c r="C264">
        <v>3068</v>
      </c>
      <c r="D264" s="1">
        <v>3.9400000000000004E-6</v>
      </c>
    </row>
    <row r="265" spans="1:5" x14ac:dyDescent="0.25">
      <c r="A265" s="16" t="str">
        <f>HYPERLINK("http://amigo.geneontology.org/amigo/term/GO:0022607","GO:0022607")</f>
        <v>GO:0022607</v>
      </c>
      <c r="B265" t="s">
        <v>64</v>
      </c>
      <c r="C265">
        <v>1198</v>
      </c>
      <c r="D265" s="1">
        <v>4.2699999999999998E-6</v>
      </c>
    </row>
    <row r="266" spans="1:5" x14ac:dyDescent="0.25">
      <c r="A266" s="16" t="str">
        <f>HYPERLINK("http://amigo.geneontology.org/amigo/term/GO:0010243","GO:0010243")</f>
        <v>GO:0010243</v>
      </c>
      <c r="B266" t="s">
        <v>767</v>
      </c>
      <c r="C266">
        <v>60</v>
      </c>
      <c r="E266" s="1">
        <v>4.4279999999999998E-6</v>
      </c>
    </row>
    <row r="267" spans="1:5" x14ac:dyDescent="0.25">
      <c r="A267" s="16" t="str">
        <f>HYPERLINK("http://amigo.geneontology.org/amigo/term/GO:0010646","GO:0010646")</f>
        <v>GO:0010646</v>
      </c>
      <c r="B267" t="s">
        <v>769</v>
      </c>
      <c r="C267">
        <v>197</v>
      </c>
      <c r="E267" s="1">
        <v>5.0679999999999996E-6</v>
      </c>
    </row>
    <row r="268" spans="1:5" x14ac:dyDescent="0.25">
      <c r="A268" s="16" t="str">
        <f>HYPERLINK("http://amigo.geneontology.org/amigo/term/GO:0009411","GO:0009411")</f>
        <v>GO:0009411</v>
      </c>
      <c r="B268" t="s">
        <v>770</v>
      </c>
      <c r="C268">
        <v>62</v>
      </c>
      <c r="E268" s="1">
        <v>5.852E-6</v>
      </c>
    </row>
    <row r="269" spans="1:5" x14ac:dyDescent="0.25">
      <c r="A269" s="16" t="str">
        <f>HYPERLINK("http://amigo.geneontology.org/amigo/term/GO:1901659","GO:1901659")</f>
        <v>GO:1901659</v>
      </c>
      <c r="B269" t="s">
        <v>67</v>
      </c>
      <c r="C269">
        <v>19</v>
      </c>
      <c r="D269" s="1">
        <v>6.4489999999999996E-6</v>
      </c>
    </row>
    <row r="270" spans="1:5" x14ac:dyDescent="0.25">
      <c r="A270" s="16" t="str">
        <f>HYPERLINK("http://amigo.geneontology.org/amigo/term/GO:0009856","GO:0009856")</f>
        <v>GO:0009856</v>
      </c>
      <c r="B270" t="s">
        <v>772</v>
      </c>
      <c r="C270">
        <v>516</v>
      </c>
      <c r="E270" s="1">
        <v>6.7549999999999997E-6</v>
      </c>
    </row>
    <row r="271" spans="1:5" x14ac:dyDescent="0.25">
      <c r="A271" s="16" t="str">
        <f>HYPERLINK("http://amigo.geneontology.org/amigo/term/GO:0044706","GO:0044706")</f>
        <v>GO:0044706</v>
      </c>
      <c r="B271" t="s">
        <v>771</v>
      </c>
      <c r="C271">
        <v>516</v>
      </c>
      <c r="E271" s="1">
        <v>6.7549999999999997E-6</v>
      </c>
    </row>
    <row r="272" spans="1:5" x14ac:dyDescent="0.25">
      <c r="A272" s="16" t="str">
        <f>HYPERLINK("http://amigo.geneontology.org/amigo/term/GO:0010310","GO:0010310")</f>
        <v>GO:0010310</v>
      </c>
      <c r="B272" t="s">
        <v>774</v>
      </c>
      <c r="C272">
        <v>14</v>
      </c>
      <c r="E272" s="1">
        <v>6.9800000000000001E-6</v>
      </c>
    </row>
    <row r="273" spans="1:7" x14ac:dyDescent="0.25">
      <c r="A273" s="16" t="str">
        <f>HYPERLINK("http://amigo.geneontology.org/amigo/term/GO:0010262","GO:0010262")</f>
        <v>GO:0010262</v>
      </c>
      <c r="B273" t="s">
        <v>775</v>
      </c>
      <c r="C273">
        <v>3</v>
      </c>
      <c r="E273" s="1">
        <v>9.2790000000000004E-6</v>
      </c>
    </row>
    <row r="274" spans="1:7" x14ac:dyDescent="0.25">
      <c r="A274" s="16" t="str">
        <f>HYPERLINK("http://amigo.geneontology.org/amigo/term/GO:0010618","GO:0010618")</f>
        <v>GO:0010618</v>
      </c>
      <c r="B274" t="s">
        <v>777</v>
      </c>
      <c r="C274">
        <v>3</v>
      </c>
      <c r="E274" s="1">
        <v>9.2790000000000004E-6</v>
      </c>
    </row>
    <row r="275" spans="1:7" x14ac:dyDescent="0.25">
      <c r="A275" s="16" t="str">
        <f>HYPERLINK("http://amigo.geneontology.org/amigo/term/GO:0045041","GO:0045041")</f>
        <v>GO:0045041</v>
      </c>
      <c r="B275" t="s">
        <v>776</v>
      </c>
      <c r="C275">
        <v>3</v>
      </c>
      <c r="E275" s="1">
        <v>9.2790000000000004E-6</v>
      </c>
    </row>
    <row r="276" spans="1:7" x14ac:dyDescent="0.25">
      <c r="A276" s="16" t="str">
        <f>HYPERLINK("http://amigo.geneontology.org/amigo/term/GO:0050829","GO:0050829")</f>
        <v>GO:0050829</v>
      </c>
      <c r="B276" t="s">
        <v>778</v>
      </c>
      <c r="C276">
        <v>3</v>
      </c>
      <c r="E276" s="1">
        <v>9.2790000000000004E-6</v>
      </c>
    </row>
    <row r="277" spans="1:7" x14ac:dyDescent="0.25">
      <c r="A277" s="16" t="str">
        <f>HYPERLINK("http://amigo.geneontology.org/amigo/term/GO:0052318","GO:0052318")</f>
        <v>GO:0052318</v>
      </c>
      <c r="B277" t="s">
        <v>782</v>
      </c>
      <c r="C277">
        <v>3</v>
      </c>
      <c r="E277" s="1">
        <v>9.2790000000000004E-6</v>
      </c>
    </row>
    <row r="278" spans="1:7" x14ac:dyDescent="0.25">
      <c r="A278" s="16" t="str">
        <f>HYPERLINK("http://amigo.geneontology.org/amigo/term/GO:0052319","GO:0052319")</f>
        <v>GO:0052319</v>
      </c>
      <c r="B278" t="s">
        <v>783</v>
      </c>
      <c r="C278">
        <v>3</v>
      </c>
      <c r="E278" s="1">
        <v>9.2790000000000004E-6</v>
      </c>
    </row>
    <row r="279" spans="1:7" x14ac:dyDescent="0.25">
      <c r="A279" s="16" t="str">
        <f>HYPERLINK("http://amigo.geneontology.org/amigo/term/GO:0052320","GO:0052320")</f>
        <v>GO:0052320</v>
      </c>
      <c r="B279" t="s">
        <v>784</v>
      </c>
      <c r="C279">
        <v>3</v>
      </c>
      <c r="E279" s="1">
        <v>9.2790000000000004E-6</v>
      </c>
    </row>
    <row r="280" spans="1:7" x14ac:dyDescent="0.25">
      <c r="A280" s="16" t="str">
        <f>HYPERLINK("http://amigo.geneontology.org/amigo/term/GO:0052322","GO:0052322")</f>
        <v>GO:0052322</v>
      </c>
      <c r="B280" t="s">
        <v>786</v>
      </c>
      <c r="C280">
        <v>3</v>
      </c>
      <c r="E280" s="1">
        <v>9.2790000000000004E-6</v>
      </c>
    </row>
    <row r="281" spans="1:7" x14ac:dyDescent="0.25">
      <c r="A281" s="16" t="str">
        <f>HYPERLINK("http://amigo.geneontology.org/amigo/term/GO:0060866","GO:0060866")</f>
        <v>GO:0060866</v>
      </c>
      <c r="B281" t="s">
        <v>779</v>
      </c>
      <c r="C281">
        <v>3</v>
      </c>
      <c r="E281" s="1">
        <v>9.2790000000000004E-6</v>
      </c>
    </row>
    <row r="282" spans="1:7" x14ac:dyDescent="0.25">
      <c r="A282" s="16" t="str">
        <f>HYPERLINK("http://amigo.geneontology.org/amigo/term/GO:0071327","GO:0071327")</f>
        <v>GO:0071327</v>
      </c>
      <c r="B282" t="s">
        <v>780</v>
      </c>
      <c r="C282">
        <v>3</v>
      </c>
      <c r="E282" s="1">
        <v>9.2790000000000004E-6</v>
      </c>
    </row>
    <row r="283" spans="1:7" x14ac:dyDescent="0.25">
      <c r="A283" s="16" t="str">
        <f>HYPERLINK("http://amigo.geneontology.org/amigo/term/GO:0080151","GO:0080151")</f>
        <v>GO:0080151</v>
      </c>
      <c r="B283" t="s">
        <v>781</v>
      </c>
      <c r="C283">
        <v>3</v>
      </c>
      <c r="E283" s="1">
        <v>9.2790000000000004E-6</v>
      </c>
    </row>
    <row r="284" spans="1:7" x14ac:dyDescent="0.25">
      <c r="A284" s="16" t="str">
        <f>HYPERLINK("http://amigo.geneontology.org/amigo/term/GO:1900378","GO:1900378")</f>
        <v>GO:1900378</v>
      </c>
      <c r="B284" t="s">
        <v>785</v>
      </c>
      <c r="C284">
        <v>3</v>
      </c>
      <c r="E284" s="1">
        <v>9.2790000000000004E-6</v>
      </c>
    </row>
    <row r="285" spans="1:7" x14ac:dyDescent="0.25">
      <c r="A285" s="16" t="str">
        <f>HYPERLINK("http://amigo.geneontology.org/amigo/term/GO:1901182","GO:1901182")</f>
        <v>GO:1901182</v>
      </c>
      <c r="B285" t="s">
        <v>787</v>
      </c>
      <c r="C285">
        <v>3</v>
      </c>
      <c r="E285" s="1">
        <v>9.2790000000000004E-6</v>
      </c>
    </row>
    <row r="286" spans="1:7" x14ac:dyDescent="0.25">
      <c r="A286" s="16" t="str">
        <f>HYPERLINK("http://amigo.geneontology.org/amigo/term/GO:1901183","GO:1901183")</f>
        <v>GO:1901183</v>
      </c>
      <c r="B286" t="s">
        <v>788</v>
      </c>
      <c r="C286">
        <v>3</v>
      </c>
      <c r="E286" s="1">
        <v>9.2790000000000004E-6</v>
      </c>
    </row>
    <row r="287" spans="1:7" x14ac:dyDescent="0.25">
      <c r="A287" s="16" t="s">
        <v>1167</v>
      </c>
      <c r="B287" t="s">
        <v>1168</v>
      </c>
      <c r="C287">
        <v>97</v>
      </c>
      <c r="G287">
        <v>9.7580000000000004E-6</v>
      </c>
    </row>
    <row r="288" spans="1:7" x14ac:dyDescent="0.25">
      <c r="A288" s="16" t="str">
        <f>HYPERLINK("http://amigo.geneontology.org/amigo/term/GO:0008037","GO:0008037")</f>
        <v>GO:0008037</v>
      </c>
      <c r="B288" t="s">
        <v>789</v>
      </c>
      <c r="C288">
        <v>441</v>
      </c>
      <c r="E288" s="1">
        <v>9.8609999999999993E-6</v>
      </c>
    </row>
    <row r="289" spans="1:7" x14ac:dyDescent="0.25">
      <c r="A289" s="16" t="str">
        <f>HYPERLINK("http://amigo.geneontology.org/amigo/term/GO:0048544","GO:0048544")</f>
        <v>GO:0048544</v>
      </c>
      <c r="B289" t="s">
        <v>790</v>
      </c>
      <c r="C289">
        <v>441</v>
      </c>
      <c r="E289" s="1">
        <v>9.8609999999999993E-6</v>
      </c>
    </row>
    <row r="290" spans="1:7" x14ac:dyDescent="0.25">
      <c r="A290" s="16" t="str">
        <f>HYPERLINK("http://amigo.geneontology.org/amigo/term/GO:0009069","GO:0009069")</f>
        <v>GO:0009069</v>
      </c>
      <c r="B290" t="s">
        <v>69</v>
      </c>
      <c r="C290">
        <v>118</v>
      </c>
      <c r="D290" s="1">
        <v>9.9410000000000002E-6</v>
      </c>
    </row>
    <row r="291" spans="1:7" x14ac:dyDescent="0.25">
      <c r="A291" s="16" t="s">
        <v>1169</v>
      </c>
      <c r="B291" t="s">
        <v>1170</v>
      </c>
      <c r="C291">
        <v>9</v>
      </c>
      <c r="G291">
        <v>9.9960000000000005E-6</v>
      </c>
    </row>
    <row r="292" spans="1:7" x14ac:dyDescent="0.25">
      <c r="A292" s="16" t="str">
        <f>HYPERLINK("http://amigo.geneontology.org/amigo/term/GO:0033108","GO:0033108")</f>
        <v>GO:0033108</v>
      </c>
      <c r="B292" t="s">
        <v>75</v>
      </c>
      <c r="C292">
        <v>36</v>
      </c>
      <c r="D292" s="1">
        <v>1.2799999999999999E-5</v>
      </c>
    </row>
    <row r="293" spans="1:7" x14ac:dyDescent="0.25">
      <c r="A293" s="16" t="str">
        <f>HYPERLINK("http://amigo.geneontology.org/amigo/term/GO:0009875","GO:0009875")</f>
        <v>GO:0009875</v>
      </c>
      <c r="B293" t="s">
        <v>793</v>
      </c>
      <c r="C293">
        <v>449</v>
      </c>
      <c r="E293" s="1">
        <v>1.3349999999999999E-5</v>
      </c>
    </row>
    <row r="294" spans="1:7" x14ac:dyDescent="0.25">
      <c r="A294" s="16" t="str">
        <f>HYPERLINK("http://amigo.geneontology.org/amigo/term/GO:0009119","GO:0009119")</f>
        <v>GO:0009119</v>
      </c>
      <c r="B294" t="s">
        <v>78</v>
      </c>
      <c r="C294">
        <v>37</v>
      </c>
      <c r="D294" s="1">
        <v>1.509E-5</v>
      </c>
    </row>
    <row r="295" spans="1:7" x14ac:dyDescent="0.25">
      <c r="A295" s="16" t="s">
        <v>1171</v>
      </c>
      <c r="B295" t="s">
        <v>1172</v>
      </c>
      <c r="C295">
        <v>290</v>
      </c>
      <c r="G295">
        <v>1.7390000000000001E-5</v>
      </c>
    </row>
    <row r="296" spans="1:7" x14ac:dyDescent="0.25">
      <c r="A296" s="16" t="str">
        <f>HYPERLINK("http://amigo.geneontology.org/amigo/term/GO:0009968","GO:0009968")</f>
        <v>GO:0009968</v>
      </c>
      <c r="B296" t="s">
        <v>798</v>
      </c>
      <c r="C296">
        <v>55</v>
      </c>
      <c r="E296" s="1">
        <v>1.9009999999999999E-5</v>
      </c>
    </row>
    <row r="297" spans="1:7" x14ac:dyDescent="0.25">
      <c r="A297" s="16" t="str">
        <f>HYPERLINK("http://amigo.geneontology.org/amigo/term/GO:0010648","GO:0010648")</f>
        <v>GO:0010648</v>
      </c>
      <c r="B297" t="s">
        <v>796</v>
      </c>
      <c r="C297">
        <v>55</v>
      </c>
      <c r="E297" s="1">
        <v>1.9009999999999999E-5</v>
      </c>
    </row>
    <row r="298" spans="1:7" x14ac:dyDescent="0.25">
      <c r="A298" s="16" t="str">
        <f>HYPERLINK("http://amigo.geneontology.org/amigo/term/GO:0023057","GO:0023057")</f>
        <v>GO:0023057</v>
      </c>
      <c r="B298" t="s">
        <v>797</v>
      </c>
      <c r="C298">
        <v>55</v>
      </c>
      <c r="E298" s="1">
        <v>1.9009999999999999E-5</v>
      </c>
    </row>
    <row r="299" spans="1:7" x14ac:dyDescent="0.25">
      <c r="A299" s="16" t="str">
        <f>HYPERLINK("http://amigo.geneontology.org/amigo/term/GO:0007005","GO:0007005")</f>
        <v>GO:0007005</v>
      </c>
      <c r="B299" t="s">
        <v>87</v>
      </c>
      <c r="C299">
        <v>184</v>
      </c>
      <c r="D299" s="1">
        <v>1.9449999999999998E-5</v>
      </c>
    </row>
    <row r="300" spans="1:7" x14ac:dyDescent="0.25">
      <c r="A300" s="16" t="str">
        <f>HYPERLINK("http://amigo.geneontology.org/amigo/term/GO:0009838","GO:0009838")</f>
        <v>GO:0009838</v>
      </c>
      <c r="B300" t="s">
        <v>800</v>
      </c>
      <c r="C300">
        <v>9</v>
      </c>
      <c r="E300" s="1">
        <v>2.2549999999999999E-5</v>
      </c>
    </row>
    <row r="301" spans="1:7" x14ac:dyDescent="0.25">
      <c r="A301" s="16" t="str">
        <f>HYPERLINK("http://amigo.geneontology.org/amigo/term/GO:0009938","GO:0009938")</f>
        <v>GO:0009938</v>
      </c>
      <c r="B301" t="s">
        <v>801</v>
      </c>
      <c r="C301">
        <v>9</v>
      </c>
      <c r="E301" s="1">
        <v>2.2549999999999999E-5</v>
      </c>
    </row>
    <row r="302" spans="1:7" x14ac:dyDescent="0.25">
      <c r="A302" s="16" t="s">
        <v>1173</v>
      </c>
      <c r="B302" t="s">
        <v>1174</v>
      </c>
      <c r="C302">
        <v>69</v>
      </c>
      <c r="G302">
        <v>2.552E-5</v>
      </c>
    </row>
    <row r="303" spans="1:7" x14ac:dyDescent="0.25">
      <c r="A303" s="16" t="str">
        <f>HYPERLINK("http://amigo.geneontology.org/amigo/term/GO:0001192","GO:0001192")</f>
        <v>GO:0001192</v>
      </c>
      <c r="B303" t="s">
        <v>96</v>
      </c>
      <c r="C303">
        <v>5</v>
      </c>
      <c r="D303" s="1">
        <v>3.0369999999999999E-5</v>
      </c>
    </row>
    <row r="304" spans="1:7" x14ac:dyDescent="0.25">
      <c r="A304" s="16" t="str">
        <f>HYPERLINK("http://amigo.geneontology.org/amigo/term/GO:0001193","GO:0001193")</f>
        <v>GO:0001193</v>
      </c>
      <c r="B304" t="s">
        <v>99</v>
      </c>
      <c r="C304">
        <v>5</v>
      </c>
      <c r="D304" s="1">
        <v>3.0369999999999999E-5</v>
      </c>
    </row>
    <row r="305" spans="1:12" x14ac:dyDescent="0.25">
      <c r="A305" s="16" t="s">
        <v>1175</v>
      </c>
      <c r="B305" t="s">
        <v>1176</v>
      </c>
      <c r="C305">
        <v>240</v>
      </c>
      <c r="G305">
        <v>3.0759999999999997E-5</v>
      </c>
      <c r="L305" s="1">
        <v>9.9310000000000006E-3</v>
      </c>
    </row>
    <row r="306" spans="1:12" x14ac:dyDescent="0.25">
      <c r="A306" s="16" t="str">
        <f>HYPERLINK("http://amigo.geneontology.org/amigo/term/GO:0009627","GO:0009627")</f>
        <v>GO:0009627</v>
      </c>
      <c r="B306" t="s">
        <v>804</v>
      </c>
      <c r="C306">
        <v>59</v>
      </c>
      <c r="E306" s="1">
        <v>3.2150000000000002E-5</v>
      </c>
    </row>
    <row r="307" spans="1:12" x14ac:dyDescent="0.25">
      <c r="A307" s="16" t="str">
        <f>HYPERLINK("http://amigo.geneontology.org/amigo/term/GO:0051176","GO:0051176")</f>
        <v>GO:0051176</v>
      </c>
      <c r="B307" t="s">
        <v>805</v>
      </c>
      <c r="C307">
        <v>4</v>
      </c>
      <c r="E307" s="1">
        <v>3.6529999999999998E-5</v>
      </c>
    </row>
    <row r="308" spans="1:12" x14ac:dyDescent="0.25">
      <c r="A308" s="16" t="str">
        <f>HYPERLINK("http://amigo.geneontology.org/amigo/term/GO:0042546","GO:0042546")</f>
        <v>GO:0042546</v>
      </c>
      <c r="B308" t="s">
        <v>100</v>
      </c>
      <c r="C308">
        <v>327</v>
      </c>
      <c r="D308" s="1">
        <v>3.1890000000000001E-5</v>
      </c>
      <c r="G308">
        <v>4.4299999999999999E-5</v>
      </c>
    </row>
    <row r="309" spans="1:12" x14ac:dyDescent="0.25">
      <c r="A309" s="16" t="s">
        <v>1177</v>
      </c>
      <c r="B309" t="s">
        <v>1178</v>
      </c>
      <c r="C309">
        <v>14</v>
      </c>
      <c r="G309">
        <v>4.2519999999999999E-5</v>
      </c>
    </row>
    <row r="310" spans="1:12" x14ac:dyDescent="0.25">
      <c r="A310" s="16" t="s">
        <v>1179</v>
      </c>
      <c r="B310" t="s">
        <v>1180</v>
      </c>
      <c r="C310">
        <v>14</v>
      </c>
      <c r="G310">
        <v>4.2519999999999999E-5</v>
      </c>
    </row>
    <row r="311" spans="1:12" x14ac:dyDescent="0.25">
      <c r="A311" s="16" t="s">
        <v>1181</v>
      </c>
      <c r="B311" t="s">
        <v>1182</v>
      </c>
      <c r="C311">
        <v>14</v>
      </c>
      <c r="G311">
        <v>4.2519999999999999E-5</v>
      </c>
    </row>
    <row r="312" spans="1:12" x14ac:dyDescent="0.25">
      <c r="A312" s="16" t="str">
        <f>HYPERLINK("http://amigo.geneontology.org/amigo/term/GO:0044264","GO:0044264")</f>
        <v>GO:0044264</v>
      </c>
      <c r="B312" t="s">
        <v>120</v>
      </c>
      <c r="C312">
        <v>512</v>
      </c>
      <c r="D312" s="1">
        <v>8.5160000000000005E-5</v>
      </c>
      <c r="G312">
        <v>1.264E-9</v>
      </c>
    </row>
    <row r="313" spans="1:12" x14ac:dyDescent="0.25">
      <c r="A313" s="16" t="str">
        <f>HYPERLINK("http://amigo.geneontology.org/amigo/term/GO:0071577","GO:0071577")</f>
        <v>GO:0071577</v>
      </c>
      <c r="B313" t="s">
        <v>809</v>
      </c>
      <c r="C313">
        <v>46</v>
      </c>
      <c r="E313" s="1">
        <v>4.6869999999999997E-5</v>
      </c>
    </row>
    <row r="314" spans="1:12" x14ac:dyDescent="0.25">
      <c r="A314" s="16" t="s">
        <v>1183</v>
      </c>
      <c r="B314" t="s">
        <v>1184</v>
      </c>
      <c r="C314">
        <v>15</v>
      </c>
      <c r="G314">
        <v>5.2960000000000001E-5</v>
      </c>
    </row>
    <row r="315" spans="1:12" x14ac:dyDescent="0.25">
      <c r="A315" s="16" t="s">
        <v>1185</v>
      </c>
      <c r="B315" t="s">
        <v>1186</v>
      </c>
      <c r="C315">
        <v>15</v>
      </c>
      <c r="G315">
        <v>5.2960000000000001E-5</v>
      </c>
    </row>
    <row r="316" spans="1:12" x14ac:dyDescent="0.25">
      <c r="A316" s="16" t="str">
        <f>HYPERLINK("http://amigo.geneontology.org/amigo/term/GO:0006829","GO:0006829")</f>
        <v>GO:0006829</v>
      </c>
      <c r="B316" t="s">
        <v>814</v>
      </c>
      <c r="C316">
        <v>47</v>
      </c>
      <c r="E316" s="1">
        <v>5.4070000000000002E-5</v>
      </c>
    </row>
    <row r="317" spans="1:12" x14ac:dyDescent="0.25">
      <c r="A317" s="16" t="str">
        <f>HYPERLINK("http://amigo.geneontology.org/amigo/term/GO:0035999","GO:0035999")</f>
        <v>GO:0035999</v>
      </c>
      <c r="B317" t="s">
        <v>111</v>
      </c>
      <c r="C317">
        <v>15</v>
      </c>
      <c r="D317" s="1">
        <v>5.4259999999999999E-5</v>
      </c>
    </row>
    <row r="318" spans="1:12" x14ac:dyDescent="0.25">
      <c r="A318" s="16" t="str">
        <f>HYPERLINK("http://amigo.geneontology.org/amigo/term/GO:0002237","GO:0002237")</f>
        <v>GO:0002237</v>
      </c>
      <c r="B318" t="s">
        <v>815</v>
      </c>
      <c r="C318">
        <v>11</v>
      </c>
      <c r="E318" s="1">
        <v>5.7099999999999999E-5</v>
      </c>
    </row>
    <row r="319" spans="1:12" x14ac:dyDescent="0.25">
      <c r="A319" s="16" t="s">
        <v>1187</v>
      </c>
      <c r="B319" t="s">
        <v>1188</v>
      </c>
      <c r="C319">
        <v>16</v>
      </c>
      <c r="G319">
        <v>6.4939999999999998E-5</v>
      </c>
    </row>
    <row r="320" spans="1:12" x14ac:dyDescent="0.25">
      <c r="A320" s="16" t="str">
        <f>HYPERLINK("http://amigo.geneontology.org/amigo/term/GO:0010411","GO:0010411")</f>
        <v>GO:0010411</v>
      </c>
      <c r="B320" t="s">
        <v>117</v>
      </c>
      <c r="C320">
        <v>148</v>
      </c>
      <c r="D320" s="1">
        <v>7.0209999999999994E-5</v>
      </c>
    </row>
    <row r="321" spans="1:12" x14ac:dyDescent="0.25">
      <c r="A321" s="16" t="s">
        <v>1189</v>
      </c>
      <c r="B321" t="s">
        <v>1190</v>
      </c>
      <c r="C321">
        <v>3</v>
      </c>
      <c r="G321">
        <v>7.3620000000000003E-5</v>
      </c>
    </row>
    <row r="322" spans="1:12" x14ac:dyDescent="0.25">
      <c r="A322" s="16" t="s">
        <v>1191</v>
      </c>
      <c r="B322" t="s">
        <v>1192</v>
      </c>
      <c r="C322">
        <v>17</v>
      </c>
      <c r="G322">
        <v>7.8560000000000007E-5</v>
      </c>
    </row>
    <row r="323" spans="1:12" x14ac:dyDescent="0.25">
      <c r="A323" s="16" t="str">
        <f>HYPERLINK("http://amigo.geneontology.org/amigo/term/GO:0009937","GO:0009937")</f>
        <v>GO:0009937</v>
      </c>
      <c r="B323" t="s">
        <v>818</v>
      </c>
      <c r="C323">
        <v>22</v>
      </c>
      <c r="E323" s="1">
        <v>7.9809999999999997E-5</v>
      </c>
    </row>
    <row r="324" spans="1:12" x14ac:dyDescent="0.25">
      <c r="A324" s="16" t="str">
        <f>HYPERLINK("http://amigo.geneontology.org/amigo/term/GO:0071216","GO:0071216")</f>
        <v>GO:0071216</v>
      </c>
      <c r="B324" t="s">
        <v>819</v>
      </c>
      <c r="C324">
        <v>5</v>
      </c>
      <c r="E324" s="1">
        <v>8.9889999999999995E-5</v>
      </c>
    </row>
    <row r="325" spans="1:12" x14ac:dyDescent="0.25">
      <c r="A325" s="16" t="str">
        <f>HYPERLINK("http://amigo.geneontology.org/amigo/term/GO:0071219","GO:0071219")</f>
        <v>GO:0071219</v>
      </c>
      <c r="B325" t="s">
        <v>820</v>
      </c>
      <c r="C325">
        <v>5</v>
      </c>
      <c r="E325" s="1">
        <v>8.9889999999999995E-5</v>
      </c>
    </row>
    <row r="326" spans="1:12" x14ac:dyDescent="0.25">
      <c r="A326" s="16" t="s">
        <v>1193</v>
      </c>
      <c r="B326" t="s">
        <v>1194</v>
      </c>
      <c r="C326">
        <v>18</v>
      </c>
      <c r="G326">
        <v>9.3930000000000004E-5</v>
      </c>
    </row>
    <row r="327" spans="1:12" x14ac:dyDescent="0.25">
      <c r="A327" s="16" t="s">
        <v>1195</v>
      </c>
      <c r="B327" t="s">
        <v>1196</v>
      </c>
      <c r="C327">
        <v>18</v>
      </c>
      <c r="G327">
        <v>9.3930000000000004E-5</v>
      </c>
    </row>
    <row r="328" spans="1:12" x14ac:dyDescent="0.25">
      <c r="A328" s="16" t="s">
        <v>1197</v>
      </c>
      <c r="B328" t="s">
        <v>1198</v>
      </c>
      <c r="C328">
        <v>18</v>
      </c>
      <c r="G328">
        <v>9.3930000000000004E-5</v>
      </c>
    </row>
    <row r="329" spans="1:12" x14ac:dyDescent="0.25">
      <c r="A329" s="16" t="str">
        <f>HYPERLINK("http://amigo.geneontology.org/amigo/term/GO:0110102","GO:0110102")</f>
        <v>GO:0110102</v>
      </c>
      <c r="B329" t="s">
        <v>1068</v>
      </c>
      <c r="C329">
        <v>5</v>
      </c>
      <c r="F329" s="1">
        <v>9.5119999999999997E-5</v>
      </c>
    </row>
    <row r="330" spans="1:12" x14ac:dyDescent="0.25">
      <c r="A330" s="16" t="str">
        <f>HYPERLINK("http://amigo.geneontology.org/amigo/term/GO:2000377","GO:2000377")</f>
        <v>GO:2000377</v>
      </c>
      <c r="B330" t="s">
        <v>823</v>
      </c>
      <c r="C330">
        <v>23</v>
      </c>
      <c r="E330" s="1">
        <v>1.002E-4</v>
      </c>
    </row>
    <row r="331" spans="1:12" x14ac:dyDescent="0.25">
      <c r="A331" s="16" t="str">
        <f>HYPERLINK("http://amigo.geneontology.org/amigo/term/GO:0010224","GO:0010224")</f>
        <v>GO:0010224</v>
      </c>
      <c r="B331" t="s">
        <v>826</v>
      </c>
      <c r="C331">
        <v>37</v>
      </c>
      <c r="E331" s="1">
        <v>1.139E-4</v>
      </c>
    </row>
    <row r="332" spans="1:12" x14ac:dyDescent="0.25">
      <c r="A332" s="16" t="str">
        <f>HYPERLINK("http://amigo.geneontology.org/amigo/term/GO:0042278","GO:0042278")</f>
        <v>GO:0042278</v>
      </c>
      <c r="B332" t="s">
        <v>125</v>
      </c>
      <c r="C332">
        <v>34</v>
      </c>
      <c r="D332" s="1">
        <v>1.2870000000000001E-4</v>
      </c>
    </row>
    <row r="333" spans="1:12" x14ac:dyDescent="0.25">
      <c r="A333" s="16" t="str">
        <f>HYPERLINK("http://amigo.geneontology.org/amigo/term/GO:0046128","GO:0046128")</f>
        <v>GO:0046128</v>
      </c>
      <c r="B333" t="s">
        <v>127</v>
      </c>
      <c r="C333">
        <v>34</v>
      </c>
      <c r="D333" s="1">
        <v>1.2870000000000001E-4</v>
      </c>
    </row>
    <row r="334" spans="1:12" x14ac:dyDescent="0.25">
      <c r="A334" s="16" t="str">
        <f>HYPERLINK("http://amigo.geneontology.org/amigo/term/GO:0009688","GO:0009688")</f>
        <v>GO:0009688</v>
      </c>
      <c r="B334" t="s">
        <v>1071</v>
      </c>
      <c r="C334">
        <v>6</v>
      </c>
      <c r="F334" s="1">
        <v>1.4239999999999999E-4</v>
      </c>
      <c r="L334">
        <v>0.04</v>
      </c>
    </row>
    <row r="335" spans="1:12" x14ac:dyDescent="0.25">
      <c r="A335" s="16" t="str">
        <f>HYPERLINK("http://amigo.geneontology.org/amigo/term/GO:0043289","GO:0043289")</f>
        <v>GO:0043289</v>
      </c>
      <c r="B335" t="s">
        <v>1069</v>
      </c>
      <c r="C335">
        <v>6</v>
      </c>
      <c r="F335" s="1">
        <v>1.4239999999999999E-4</v>
      </c>
      <c r="L335">
        <v>0.04</v>
      </c>
    </row>
    <row r="336" spans="1:12" x14ac:dyDescent="0.25">
      <c r="A336" s="16" t="str">
        <f>HYPERLINK("http://amigo.geneontology.org/amigo/term/GO:1902645","GO:1902645")</f>
        <v>GO:1902645</v>
      </c>
      <c r="B336" t="s">
        <v>1070</v>
      </c>
      <c r="C336">
        <v>6</v>
      </c>
      <c r="F336" s="1">
        <v>1.4239999999999999E-4</v>
      </c>
      <c r="L336">
        <v>0.04</v>
      </c>
    </row>
    <row r="337" spans="1:13" x14ac:dyDescent="0.25">
      <c r="A337" s="16" t="str">
        <f>HYPERLINK("http://amigo.geneontology.org/amigo/term/GO:0009439","GO:0009439")</f>
        <v>GO:0009439</v>
      </c>
      <c r="B337" t="s">
        <v>1072</v>
      </c>
      <c r="C337">
        <v>6</v>
      </c>
      <c r="F337" s="1">
        <v>1.4239999999999999E-4</v>
      </c>
    </row>
    <row r="338" spans="1:13" x14ac:dyDescent="0.25">
      <c r="A338" s="16" t="str">
        <f>HYPERLINK("http://amigo.geneontology.org/amigo/term/GO:0048585","GO:0048585")</f>
        <v>GO:0048585</v>
      </c>
      <c r="B338" t="s">
        <v>827</v>
      </c>
      <c r="C338">
        <v>114</v>
      </c>
      <c r="E338" s="1">
        <v>1.5469999999999999E-4</v>
      </c>
      <c r="M338" s="1">
        <v>5.3010000000000002E-3</v>
      </c>
    </row>
    <row r="339" spans="1:13" x14ac:dyDescent="0.25">
      <c r="A339" s="16" t="str">
        <f>HYPERLINK("http://amigo.geneontology.org/amigo/term/GO:0006283","GO:0006283")</f>
        <v>GO:0006283</v>
      </c>
      <c r="B339" t="s">
        <v>131</v>
      </c>
      <c r="C339">
        <v>8</v>
      </c>
      <c r="D339" s="1">
        <v>1.6459999999999999E-4</v>
      </c>
    </row>
    <row r="340" spans="1:13" x14ac:dyDescent="0.25">
      <c r="A340" s="16" t="str">
        <f>HYPERLINK("http://amigo.geneontology.org/amigo/term/GO:0006557","GO:0006557")</f>
        <v>GO:0006557</v>
      </c>
      <c r="B340" t="s">
        <v>135</v>
      </c>
      <c r="C340">
        <v>8</v>
      </c>
      <c r="D340" s="1">
        <v>1.6459999999999999E-4</v>
      </c>
    </row>
    <row r="341" spans="1:13" x14ac:dyDescent="0.25">
      <c r="A341" s="16" t="str">
        <f>HYPERLINK("http://amigo.geneontology.org/amigo/term/GO:0046499","GO:0046499")</f>
        <v>GO:0046499</v>
      </c>
      <c r="B341" t="s">
        <v>133</v>
      </c>
      <c r="C341">
        <v>8</v>
      </c>
      <c r="D341" s="1">
        <v>1.6459999999999999E-4</v>
      </c>
    </row>
    <row r="342" spans="1:13" x14ac:dyDescent="0.25">
      <c r="A342" s="16" t="str">
        <f>HYPERLINK("http://amigo.geneontology.org/amigo/term/GO:0043648","GO:0043648")</f>
        <v>GO:0043648</v>
      </c>
      <c r="B342" t="s">
        <v>136</v>
      </c>
      <c r="C342">
        <v>134</v>
      </c>
      <c r="D342" s="1">
        <v>1.6750000000000001E-4</v>
      </c>
    </row>
    <row r="343" spans="1:13" x14ac:dyDescent="0.25">
      <c r="A343" s="16" t="s">
        <v>1199</v>
      </c>
      <c r="B343" t="s">
        <v>1200</v>
      </c>
      <c r="C343">
        <v>22</v>
      </c>
      <c r="G343">
        <v>1.7469999999999999E-4</v>
      </c>
    </row>
    <row r="344" spans="1:13" x14ac:dyDescent="0.25">
      <c r="A344" s="16" t="str">
        <f>HYPERLINK("http://amigo.geneontology.org/amigo/term/GO:0009403","GO:0009403")</f>
        <v>GO:0009403</v>
      </c>
      <c r="B344" t="s">
        <v>833</v>
      </c>
      <c r="C344">
        <v>6</v>
      </c>
      <c r="E344" s="1">
        <v>1.7699999999999999E-4</v>
      </c>
    </row>
    <row r="345" spans="1:13" x14ac:dyDescent="0.25">
      <c r="A345" s="16" t="str">
        <f>HYPERLINK("http://amigo.geneontology.org/amigo/term/GO:0009404","GO:0009404")</f>
        <v>GO:0009404</v>
      </c>
      <c r="B345" t="s">
        <v>830</v>
      </c>
      <c r="C345">
        <v>6</v>
      </c>
      <c r="E345" s="1">
        <v>1.7699999999999999E-4</v>
      </c>
    </row>
    <row r="346" spans="1:13" x14ac:dyDescent="0.25">
      <c r="A346" s="16" t="str">
        <f>HYPERLINK("http://amigo.geneontology.org/amigo/term/GO:0009700","GO:0009700")</f>
        <v>GO:0009700</v>
      </c>
      <c r="B346" t="s">
        <v>835</v>
      </c>
      <c r="C346">
        <v>6</v>
      </c>
      <c r="E346" s="1">
        <v>1.7699999999999999E-4</v>
      </c>
    </row>
    <row r="347" spans="1:13" x14ac:dyDescent="0.25">
      <c r="A347" s="16" t="str">
        <f>HYPERLINK("http://amigo.geneontology.org/amigo/term/GO:0010120","GO:0010120")</f>
        <v>GO:0010120</v>
      </c>
      <c r="B347" t="s">
        <v>837</v>
      </c>
      <c r="C347">
        <v>6</v>
      </c>
      <c r="E347" s="1">
        <v>1.7699999999999999E-4</v>
      </c>
    </row>
    <row r="348" spans="1:13" x14ac:dyDescent="0.25">
      <c r="A348" s="16" t="str">
        <f>HYPERLINK("http://amigo.geneontology.org/amigo/term/GO:0010353","GO:0010353")</f>
        <v>GO:0010353</v>
      </c>
      <c r="B348" t="s">
        <v>840</v>
      </c>
      <c r="C348">
        <v>6</v>
      </c>
      <c r="E348" s="1">
        <v>1.7699999999999999E-4</v>
      </c>
    </row>
    <row r="349" spans="1:13" x14ac:dyDescent="0.25">
      <c r="A349" s="16" t="str">
        <f>HYPERLINK("http://amigo.geneontology.org/amigo/term/GO:0031099","GO:0031099")</f>
        <v>GO:0031099</v>
      </c>
      <c r="B349" t="s">
        <v>829</v>
      </c>
      <c r="C349">
        <v>6</v>
      </c>
      <c r="E349" s="1">
        <v>1.7699999999999999E-4</v>
      </c>
    </row>
    <row r="350" spans="1:13" x14ac:dyDescent="0.25">
      <c r="A350" s="16" t="str">
        <f>HYPERLINK("http://amigo.geneontology.org/amigo/term/GO:0034975","GO:0034975")</f>
        <v>GO:0034975</v>
      </c>
      <c r="B350" t="s">
        <v>842</v>
      </c>
      <c r="C350">
        <v>6</v>
      </c>
      <c r="E350" s="1">
        <v>1.7699999999999999E-4</v>
      </c>
    </row>
    <row r="351" spans="1:13" x14ac:dyDescent="0.25">
      <c r="A351" s="16" t="str">
        <f>HYPERLINK("http://amigo.geneontology.org/amigo/term/GO:0046217","GO:0046217")</f>
        <v>GO:0046217</v>
      </c>
      <c r="B351" t="s">
        <v>832</v>
      </c>
      <c r="C351">
        <v>6</v>
      </c>
      <c r="E351" s="1">
        <v>1.7699999999999999E-4</v>
      </c>
    </row>
    <row r="352" spans="1:13" x14ac:dyDescent="0.25">
      <c r="A352" s="16" t="str">
        <f>HYPERLINK("http://amigo.geneontology.org/amigo/term/GO:0052314","GO:0052314")</f>
        <v>GO:0052314</v>
      </c>
      <c r="B352" t="s">
        <v>831</v>
      </c>
      <c r="C352">
        <v>6</v>
      </c>
      <c r="E352" s="1">
        <v>1.7699999999999999E-4</v>
      </c>
    </row>
    <row r="353" spans="1:7" x14ac:dyDescent="0.25">
      <c r="A353" s="16" t="str">
        <f>HYPERLINK("http://amigo.geneontology.org/amigo/term/GO:0052315","GO:0052315")</f>
        <v>GO:0052315</v>
      </c>
      <c r="B353" t="s">
        <v>834</v>
      </c>
      <c r="C353">
        <v>6</v>
      </c>
      <c r="E353" s="1">
        <v>1.7699999999999999E-4</v>
      </c>
    </row>
    <row r="354" spans="1:7" x14ac:dyDescent="0.25">
      <c r="A354" s="16" t="str">
        <f>HYPERLINK("http://amigo.geneontology.org/amigo/term/GO:0052317","GO:0052317")</f>
        <v>GO:0052317</v>
      </c>
      <c r="B354" t="s">
        <v>836</v>
      </c>
      <c r="C354">
        <v>6</v>
      </c>
      <c r="E354" s="1">
        <v>1.7699999999999999E-4</v>
      </c>
    </row>
    <row r="355" spans="1:7" x14ac:dyDescent="0.25">
      <c r="A355" s="16" t="str">
        <f>HYPERLINK("http://amigo.geneontology.org/amigo/term/GO:0070574","GO:0070574")</f>
        <v>GO:0070574</v>
      </c>
      <c r="B355" t="s">
        <v>841</v>
      </c>
      <c r="C355">
        <v>6</v>
      </c>
      <c r="E355" s="1">
        <v>1.7699999999999999E-4</v>
      </c>
    </row>
    <row r="356" spans="1:7" x14ac:dyDescent="0.25">
      <c r="A356" s="16" t="str">
        <f>HYPERLINK("http://amigo.geneontology.org/amigo/term/GO:0080136","GO:0080136")</f>
        <v>GO:0080136</v>
      </c>
      <c r="B356" t="s">
        <v>838</v>
      </c>
      <c r="C356">
        <v>6</v>
      </c>
      <c r="E356" s="1">
        <v>1.7699999999999999E-4</v>
      </c>
    </row>
    <row r="357" spans="1:7" x14ac:dyDescent="0.25">
      <c r="A357" s="16" t="str">
        <f>HYPERLINK("http://amigo.geneontology.org/amigo/term/GO:1902065","GO:1902065")</f>
        <v>GO:1902065</v>
      </c>
      <c r="B357" t="s">
        <v>839</v>
      </c>
      <c r="C357">
        <v>6</v>
      </c>
      <c r="E357" s="1">
        <v>1.7699999999999999E-4</v>
      </c>
    </row>
    <row r="358" spans="1:7" x14ac:dyDescent="0.25">
      <c r="A358" s="16" t="s">
        <v>1201</v>
      </c>
      <c r="B358" t="s">
        <v>1202</v>
      </c>
      <c r="C358">
        <v>104</v>
      </c>
      <c r="G358">
        <v>1.8120000000000001E-4</v>
      </c>
    </row>
    <row r="359" spans="1:7" x14ac:dyDescent="0.25">
      <c r="A359" s="16" t="str">
        <f>HYPERLINK("http://amigo.geneontology.org/amigo/term/GO:0001666","GO:0001666")</f>
        <v>GO:0001666</v>
      </c>
      <c r="B359" t="s">
        <v>845</v>
      </c>
      <c r="C359">
        <v>15</v>
      </c>
      <c r="E359" s="1">
        <v>2.208E-4</v>
      </c>
    </row>
    <row r="360" spans="1:7" x14ac:dyDescent="0.25">
      <c r="A360" s="16" t="str">
        <f>HYPERLINK("http://amigo.geneontology.org/amigo/term/GO:0010118","GO:0010118")</f>
        <v>GO:0010118</v>
      </c>
      <c r="B360" t="s">
        <v>844</v>
      </c>
      <c r="C360">
        <v>15</v>
      </c>
      <c r="E360" s="1">
        <v>2.208E-4</v>
      </c>
    </row>
    <row r="361" spans="1:7" x14ac:dyDescent="0.25">
      <c r="A361" s="16" t="str">
        <f>HYPERLINK("http://amigo.geneontology.org/amigo/term/GO:0002684","GO:0002684")</f>
        <v>GO:0002684</v>
      </c>
      <c r="B361" t="s">
        <v>846</v>
      </c>
      <c r="C361">
        <v>27</v>
      </c>
      <c r="E361" s="1">
        <v>2.242E-4</v>
      </c>
    </row>
    <row r="362" spans="1:7" x14ac:dyDescent="0.25">
      <c r="A362" s="16" t="str">
        <f>HYPERLINK("http://amigo.geneontology.org/amigo/term/GO:0031348","GO:0031348")</f>
        <v>GO:0031348</v>
      </c>
      <c r="B362" t="s">
        <v>849</v>
      </c>
      <c r="C362">
        <v>27</v>
      </c>
      <c r="E362" s="1">
        <v>2.242E-4</v>
      </c>
    </row>
    <row r="363" spans="1:7" x14ac:dyDescent="0.25">
      <c r="A363" s="16" t="str">
        <f>HYPERLINK("http://amigo.geneontology.org/amigo/term/GO:0045089","GO:0045089")</f>
        <v>GO:0045089</v>
      </c>
      <c r="B363" t="s">
        <v>848</v>
      </c>
      <c r="C363">
        <v>27</v>
      </c>
      <c r="E363" s="1">
        <v>2.242E-4</v>
      </c>
    </row>
    <row r="364" spans="1:7" x14ac:dyDescent="0.25">
      <c r="A364" s="16" t="str">
        <f>HYPERLINK("http://amigo.geneontology.org/amigo/term/GO:0050778","GO:0050778")</f>
        <v>GO:0050778</v>
      </c>
      <c r="B364" t="s">
        <v>847</v>
      </c>
      <c r="C364">
        <v>27</v>
      </c>
      <c r="E364" s="1">
        <v>2.242E-4</v>
      </c>
    </row>
    <row r="365" spans="1:7" x14ac:dyDescent="0.25">
      <c r="A365" s="16" t="str">
        <f>HYPERLINK("http://amigo.geneontology.org/amigo/term/GO:0015914","GO:0015914")</f>
        <v>GO:0015914</v>
      </c>
      <c r="B365" t="s">
        <v>850</v>
      </c>
      <c r="C365">
        <v>42</v>
      </c>
      <c r="E365" s="1">
        <v>2.3499999999999999E-4</v>
      </c>
    </row>
    <row r="366" spans="1:7" x14ac:dyDescent="0.25">
      <c r="A366" s="16" t="str">
        <f>HYPERLINK("http://amigo.geneontology.org/amigo/term/GO:0006597","GO:0006597")</f>
        <v>GO:0006597</v>
      </c>
      <c r="B366" t="s">
        <v>147</v>
      </c>
      <c r="C366">
        <v>9</v>
      </c>
      <c r="D366" s="1">
        <v>2.441E-4</v>
      </c>
    </row>
    <row r="367" spans="1:7" x14ac:dyDescent="0.25">
      <c r="A367" s="16" t="str">
        <f>HYPERLINK("http://amigo.geneontology.org/amigo/term/GO:0002682","GO:0002682")</f>
        <v>GO:0002682</v>
      </c>
      <c r="B367" t="s">
        <v>851</v>
      </c>
      <c r="C367">
        <v>43</v>
      </c>
      <c r="E367" s="1">
        <v>2.6820000000000001E-4</v>
      </c>
    </row>
    <row r="368" spans="1:7" x14ac:dyDescent="0.25">
      <c r="A368" s="16" t="str">
        <f>HYPERLINK("http://amigo.geneontology.org/amigo/term/GO:0050776","GO:0050776")</f>
        <v>GO:0050776</v>
      </c>
      <c r="B368" t="s">
        <v>852</v>
      </c>
      <c r="C368">
        <v>43</v>
      </c>
      <c r="E368" s="1">
        <v>2.6820000000000001E-4</v>
      </c>
    </row>
    <row r="369" spans="1:12" x14ac:dyDescent="0.25">
      <c r="A369" s="16" t="str">
        <f>HYPERLINK("http://amigo.geneontology.org/amigo/term/GO:0072527","GO:0072527")</f>
        <v>GO:0072527</v>
      </c>
      <c r="B369" t="s">
        <v>155</v>
      </c>
      <c r="C369">
        <v>144</v>
      </c>
      <c r="D369" s="1">
        <v>2.8689999999999998E-4</v>
      </c>
    </row>
    <row r="370" spans="1:12" x14ac:dyDescent="0.25">
      <c r="A370" s="16" t="str">
        <f>HYPERLINK("http://amigo.geneontology.org/amigo/term/GO:0015691","GO:0015691")</f>
        <v>GO:0015691</v>
      </c>
      <c r="B370" t="s">
        <v>855</v>
      </c>
      <c r="C370">
        <v>7</v>
      </c>
      <c r="E370" s="1">
        <v>3.0479999999999998E-4</v>
      </c>
    </row>
    <row r="371" spans="1:12" x14ac:dyDescent="0.25">
      <c r="A371" s="16" t="str">
        <f>HYPERLINK("http://amigo.geneontology.org/amigo/term/GO:0043200","GO:0043200")</f>
        <v>GO:0043200</v>
      </c>
      <c r="B371" t="s">
        <v>854</v>
      </c>
      <c r="C371">
        <v>7</v>
      </c>
      <c r="E371" s="1">
        <v>3.0479999999999998E-4</v>
      </c>
    </row>
    <row r="372" spans="1:12" x14ac:dyDescent="0.25">
      <c r="A372" s="16" t="str">
        <f>HYPERLINK("http://amigo.geneontology.org/amigo/term/GO:0050826","GO:0050826")</f>
        <v>GO:0050826</v>
      </c>
      <c r="B372" t="s">
        <v>853</v>
      </c>
      <c r="C372">
        <v>7</v>
      </c>
      <c r="E372" s="1">
        <v>3.0479999999999998E-4</v>
      </c>
    </row>
    <row r="373" spans="1:12" x14ac:dyDescent="0.25">
      <c r="A373" s="16" t="str">
        <f>HYPERLINK("http://amigo.geneontology.org/amigo/term/GO:0008215","GO:0008215")</f>
        <v>GO:0008215</v>
      </c>
      <c r="B373" t="s">
        <v>164</v>
      </c>
      <c r="C373">
        <v>10</v>
      </c>
      <c r="D373" s="1">
        <v>3.4499999999999998E-4</v>
      </c>
    </row>
    <row r="374" spans="1:12" x14ac:dyDescent="0.25">
      <c r="A374" s="16" t="str">
        <f>HYPERLINK("http://amigo.geneontology.org/amigo/term/GO:0008535","GO:0008535")</f>
        <v>GO:0008535</v>
      </c>
      <c r="B374" t="s">
        <v>161</v>
      </c>
      <c r="C374">
        <v>10</v>
      </c>
      <c r="D374" s="1">
        <v>3.4499999999999998E-4</v>
      </c>
    </row>
    <row r="375" spans="1:12" x14ac:dyDescent="0.25">
      <c r="A375" s="16" t="str">
        <f>HYPERLINK("http://amigo.geneontology.org/amigo/term/GO:0033617","GO:0033617")</f>
        <v>GO:0033617</v>
      </c>
      <c r="B375" t="s">
        <v>163</v>
      </c>
      <c r="C375">
        <v>10</v>
      </c>
      <c r="D375" s="1">
        <v>3.4499999999999998E-4</v>
      </c>
    </row>
    <row r="376" spans="1:12" x14ac:dyDescent="0.25">
      <c r="A376" s="16" t="str">
        <f>HYPERLINK("http://amigo.geneontology.org/amigo/term/GO:0033962","GO:0033962")</f>
        <v>GO:0033962</v>
      </c>
      <c r="B376" t="s">
        <v>158</v>
      </c>
      <c r="C376">
        <v>10</v>
      </c>
      <c r="D376" s="1">
        <v>3.4499999999999998E-4</v>
      </c>
    </row>
    <row r="377" spans="1:12" x14ac:dyDescent="0.25">
      <c r="A377" s="16" t="str">
        <f>HYPERLINK("http://amigo.geneontology.org/amigo/term/GO:0045491","GO:0045491")</f>
        <v>GO:0045491</v>
      </c>
      <c r="B377" t="s">
        <v>165</v>
      </c>
      <c r="C377">
        <v>64</v>
      </c>
      <c r="D377" s="1">
        <v>3.4850000000000001E-4</v>
      </c>
    </row>
    <row r="378" spans="1:12" x14ac:dyDescent="0.25">
      <c r="A378" s="16" t="str">
        <f>HYPERLINK("http://amigo.geneontology.org/amigo/term/GO:0071310","GO:0071310")</f>
        <v>GO:0071310</v>
      </c>
      <c r="B378" t="s">
        <v>856</v>
      </c>
      <c r="C378">
        <v>459</v>
      </c>
      <c r="E378" s="1">
        <v>3.5790000000000003E-4</v>
      </c>
    </row>
    <row r="379" spans="1:12" x14ac:dyDescent="0.25">
      <c r="A379" s="16" t="str">
        <f>HYPERLINK("http://amigo.geneontology.org/amigo/term/GO:0009269","GO:0009269")</f>
        <v>GO:0009269</v>
      </c>
      <c r="B379" t="s">
        <v>168</v>
      </c>
      <c r="C379">
        <v>24</v>
      </c>
      <c r="D379" s="1">
        <v>3.8039999999999998E-4</v>
      </c>
      <c r="L379">
        <v>0.01</v>
      </c>
    </row>
    <row r="380" spans="1:12" x14ac:dyDescent="0.25">
      <c r="A380" s="16" t="str">
        <f>HYPERLINK("http://amigo.geneontology.org/amigo/term/GO:0006544","GO:0006544")</f>
        <v>GO:0006544</v>
      </c>
      <c r="B380" t="s">
        <v>171</v>
      </c>
      <c r="C380">
        <v>24</v>
      </c>
      <c r="D380" s="1">
        <v>3.8039999999999998E-4</v>
      </c>
    </row>
    <row r="381" spans="1:12" x14ac:dyDescent="0.25">
      <c r="A381" s="16" t="str">
        <f>HYPERLINK("http://amigo.geneontology.org/amigo/term/GO:0006790","GO:0006790")</f>
        <v>GO:0006790</v>
      </c>
      <c r="B381" t="s">
        <v>103</v>
      </c>
      <c r="C381">
        <v>770</v>
      </c>
      <c r="D381" s="1">
        <v>3.5639999999999998E-5</v>
      </c>
      <c r="F381" s="1">
        <v>7.4430000000000004E-4</v>
      </c>
      <c r="L381" s="1">
        <v>2.9050000000000001E-4</v>
      </c>
    </row>
    <row r="382" spans="1:12" x14ac:dyDescent="0.25">
      <c r="A382" s="16" t="str">
        <f>HYPERLINK("http://amigo.geneontology.org/amigo/term/GO:0006996","GO:0006996")</f>
        <v>GO:0006996</v>
      </c>
      <c r="B382" t="s">
        <v>173</v>
      </c>
      <c r="C382">
        <v>1745</v>
      </c>
      <c r="D382" s="1">
        <v>4.1310000000000001E-4</v>
      </c>
    </row>
    <row r="383" spans="1:12" x14ac:dyDescent="0.25">
      <c r="A383" s="16" t="str">
        <f>HYPERLINK("http://amigo.geneontology.org/amigo/term/GO:1900425","GO:1900425")</f>
        <v>GO:1900425</v>
      </c>
      <c r="B383" t="s">
        <v>860</v>
      </c>
      <c r="C383">
        <v>2</v>
      </c>
      <c r="E383" s="1">
        <v>4.4180000000000001E-4</v>
      </c>
    </row>
    <row r="384" spans="1:12" x14ac:dyDescent="0.25">
      <c r="A384" s="16" t="str">
        <f>HYPERLINK("http://amigo.geneontology.org/amigo/term/GO:1990573","GO:1990573")</f>
        <v>GO:1990573</v>
      </c>
      <c r="B384" t="s">
        <v>859</v>
      </c>
      <c r="C384">
        <v>2</v>
      </c>
      <c r="E384" s="1">
        <v>4.4180000000000001E-4</v>
      </c>
    </row>
    <row r="385" spans="1:12" x14ac:dyDescent="0.25">
      <c r="A385" s="16" t="str">
        <f>HYPERLINK("http://amigo.geneontology.org/amigo/term/GO:0006379","GO:0006379")</f>
        <v>GO:0006379</v>
      </c>
      <c r="B385" t="s">
        <v>176</v>
      </c>
      <c r="C385">
        <v>11</v>
      </c>
      <c r="D385" s="1">
        <v>4.6920000000000002E-4</v>
      </c>
    </row>
    <row r="386" spans="1:12" x14ac:dyDescent="0.25">
      <c r="A386" s="16" t="str">
        <f>HYPERLINK("http://amigo.geneontology.org/amigo/term/GO:0010225","GO:0010225")</f>
        <v>GO:0010225</v>
      </c>
      <c r="B386" t="s">
        <v>864</v>
      </c>
      <c r="C386">
        <v>8</v>
      </c>
      <c r="E386" s="1">
        <v>4.8010000000000001E-4</v>
      </c>
    </row>
    <row r="387" spans="1:12" x14ac:dyDescent="0.25">
      <c r="A387" s="16" t="str">
        <f>HYPERLINK("http://amigo.geneontology.org/amigo/term/GO:0010942","GO:0010942")</f>
        <v>GO:0010942</v>
      </c>
      <c r="B387" t="s">
        <v>865</v>
      </c>
      <c r="C387">
        <v>8</v>
      </c>
      <c r="E387" s="1">
        <v>4.8010000000000001E-4</v>
      </c>
    </row>
    <row r="388" spans="1:12" x14ac:dyDescent="0.25">
      <c r="A388" s="16" t="str">
        <f>HYPERLINK("http://amigo.geneontology.org/amigo/term/GO:0051091","GO:0051091")</f>
        <v>GO:0051091</v>
      </c>
      <c r="B388" t="s">
        <v>862</v>
      </c>
      <c r="C388">
        <v>8</v>
      </c>
      <c r="E388" s="1">
        <v>4.8010000000000001E-4</v>
      </c>
    </row>
    <row r="389" spans="1:12" x14ac:dyDescent="0.25">
      <c r="A389" s="16" t="s">
        <v>1203</v>
      </c>
      <c r="B389" t="s">
        <v>1204</v>
      </c>
      <c r="C389">
        <v>31</v>
      </c>
      <c r="G389">
        <v>4.9319999999999995E-4</v>
      </c>
    </row>
    <row r="390" spans="1:12" x14ac:dyDescent="0.25">
      <c r="A390" s="16" t="str">
        <f>HYPERLINK("http://amigo.geneontology.org/amigo/term/GO:0071554","GO:0071554")</f>
        <v>GO:0071554</v>
      </c>
      <c r="B390" t="s">
        <v>202</v>
      </c>
      <c r="C390">
        <v>931</v>
      </c>
      <c r="D390" s="1">
        <v>7.2190000000000004E-4</v>
      </c>
      <c r="G390">
        <v>2.8210000000000003E-4</v>
      </c>
      <c r="L390" s="1">
        <v>3.9439999999999996E-9</v>
      </c>
    </row>
    <row r="391" spans="1:12" x14ac:dyDescent="0.25">
      <c r="A391" s="16" t="str">
        <f>HYPERLINK("http://amigo.geneontology.org/amigo/term/GO:0009687","GO:0009687")</f>
        <v>GO:0009687</v>
      </c>
      <c r="B391" t="s">
        <v>875</v>
      </c>
      <c r="C391">
        <v>9</v>
      </c>
      <c r="E391" s="1">
        <v>7.0879999999999999E-4</v>
      </c>
      <c r="F391" s="1">
        <v>3.3960000000000001E-4</v>
      </c>
    </row>
    <row r="392" spans="1:12" x14ac:dyDescent="0.25">
      <c r="A392" s="16" t="str">
        <f>HYPERLINK("http://amigo.geneontology.org/amigo/term/GO:0043288","GO:0043288")</f>
        <v>GO:0043288</v>
      </c>
      <c r="B392" t="s">
        <v>873</v>
      </c>
      <c r="C392">
        <v>9</v>
      </c>
      <c r="E392" s="1">
        <v>7.0879999999999999E-4</v>
      </c>
      <c r="F392" s="1">
        <v>3.3960000000000001E-4</v>
      </c>
    </row>
    <row r="393" spans="1:12" x14ac:dyDescent="0.25">
      <c r="A393" s="16" t="str">
        <f>HYPERLINK("http://amigo.geneontology.org/amigo/term/GO:1902644","GO:1902644")</f>
        <v>GO:1902644</v>
      </c>
      <c r="B393" t="s">
        <v>874</v>
      </c>
      <c r="C393">
        <v>9</v>
      </c>
      <c r="E393" s="1">
        <v>7.0879999999999999E-4</v>
      </c>
      <c r="F393" s="1">
        <v>3.3960000000000001E-4</v>
      </c>
    </row>
    <row r="394" spans="1:12" x14ac:dyDescent="0.25">
      <c r="A394" s="16" t="str">
        <f>HYPERLINK("http://amigo.geneontology.org/amigo/term/GO:0006221","GO:0006221")</f>
        <v>GO:0006221</v>
      </c>
      <c r="B394" t="s">
        <v>178</v>
      </c>
      <c r="C394">
        <v>96</v>
      </c>
      <c r="D394" s="1">
        <v>5.3620000000000002E-4</v>
      </c>
    </row>
    <row r="395" spans="1:12" x14ac:dyDescent="0.25">
      <c r="A395" s="16" t="s">
        <v>1205</v>
      </c>
      <c r="B395" t="s">
        <v>1206</v>
      </c>
      <c r="C395">
        <v>133</v>
      </c>
      <c r="G395">
        <v>5.6309999999999997E-4</v>
      </c>
    </row>
    <row r="396" spans="1:12" x14ac:dyDescent="0.25">
      <c r="A396" s="16" t="str">
        <f>HYPERLINK("http://amigo.geneontology.org/amigo/term/GO:0006220","GO:0006220")</f>
        <v>GO:0006220</v>
      </c>
      <c r="B396" t="s">
        <v>186</v>
      </c>
      <c r="C396">
        <v>97</v>
      </c>
      <c r="D396" s="1">
        <v>5.7070000000000005E-4</v>
      </c>
    </row>
    <row r="397" spans="1:12" x14ac:dyDescent="0.25">
      <c r="A397" s="16" t="str">
        <f>HYPERLINK("http://amigo.geneontology.org/amigo/term/GO:0007568","GO:0007568")</f>
        <v>GO:0007568</v>
      </c>
      <c r="B397" t="s">
        <v>867</v>
      </c>
      <c r="C397">
        <v>33</v>
      </c>
      <c r="E397" s="1">
        <v>5.9389999999999996E-4</v>
      </c>
    </row>
    <row r="398" spans="1:12" x14ac:dyDescent="0.25">
      <c r="A398" s="16" t="str">
        <f>HYPERLINK("http://amigo.geneontology.org/amigo/term/GO:0010150","GO:0010150")</f>
        <v>GO:0010150</v>
      </c>
      <c r="B398" t="s">
        <v>869</v>
      </c>
      <c r="C398">
        <v>33</v>
      </c>
      <c r="E398" s="1">
        <v>5.9389999999999996E-4</v>
      </c>
    </row>
    <row r="399" spans="1:12" x14ac:dyDescent="0.25">
      <c r="A399" s="16" t="str">
        <f>HYPERLINK("http://amigo.geneontology.org/amigo/term/GO:0090693","GO:0090693")</f>
        <v>GO:0090693</v>
      </c>
      <c r="B399" t="s">
        <v>868</v>
      </c>
      <c r="C399">
        <v>33</v>
      </c>
      <c r="E399" s="1">
        <v>5.9389999999999996E-4</v>
      </c>
    </row>
    <row r="400" spans="1:12" x14ac:dyDescent="0.25">
      <c r="A400" s="16" t="str">
        <f>HYPERLINK("http://amigo.geneontology.org/amigo/term/GO:0062197","GO:0062197")</f>
        <v>GO:0062197</v>
      </c>
      <c r="B400" t="s">
        <v>191</v>
      </c>
      <c r="C400">
        <v>47</v>
      </c>
      <c r="D400" s="1">
        <v>6.068E-4</v>
      </c>
    </row>
    <row r="401" spans="1:12" x14ac:dyDescent="0.25">
      <c r="A401" s="16" t="str">
        <f>HYPERLINK("http://amigo.geneontology.org/amigo/term/GO:0006545","GO:0006545")</f>
        <v>GO:0006545</v>
      </c>
      <c r="B401" t="s">
        <v>193</v>
      </c>
      <c r="C401">
        <v>12</v>
      </c>
      <c r="D401" s="1">
        <v>6.1879999999999997E-4</v>
      </c>
    </row>
    <row r="402" spans="1:12" x14ac:dyDescent="0.25">
      <c r="A402" s="16" t="str">
        <f>HYPERLINK("http://amigo.geneontology.org/amigo/term/GO:0019264","GO:0019264")</f>
        <v>GO:0019264</v>
      </c>
      <c r="B402" t="s">
        <v>196</v>
      </c>
      <c r="C402">
        <v>12</v>
      </c>
      <c r="D402" s="1">
        <v>6.1879999999999997E-4</v>
      </c>
    </row>
    <row r="403" spans="1:12" x14ac:dyDescent="0.25">
      <c r="A403" s="16" t="str">
        <f>HYPERLINK("http://amigo.geneontology.org/amigo/term/GO:0005976","GO:0005976")</f>
        <v>GO:0005976</v>
      </c>
      <c r="B403" t="s">
        <v>238</v>
      </c>
      <c r="C403">
        <v>680</v>
      </c>
      <c r="D403" s="1">
        <v>1.263E-3</v>
      </c>
      <c r="G403">
        <v>7.9220000000000004E-8</v>
      </c>
      <c r="L403" s="1">
        <v>5.8799999999999998E-3</v>
      </c>
    </row>
    <row r="404" spans="1:12" x14ac:dyDescent="0.25">
      <c r="A404" s="16" t="str">
        <f>HYPERLINK("http://amigo.geneontology.org/amigo/term/GO:0045492","GO:0045492")</f>
        <v>GO:0045492</v>
      </c>
      <c r="B404" t="s">
        <v>199</v>
      </c>
      <c r="C404">
        <v>48</v>
      </c>
      <c r="D404" s="1">
        <v>6.6929999999999995E-4</v>
      </c>
    </row>
    <row r="405" spans="1:12" x14ac:dyDescent="0.25">
      <c r="A405" s="16" t="str">
        <f>HYPERLINK("http://amigo.geneontology.org/amigo/term/GO:0071324","GO:0071324")</f>
        <v>GO:0071324</v>
      </c>
      <c r="B405" t="s">
        <v>872</v>
      </c>
      <c r="C405">
        <v>9</v>
      </c>
      <c r="E405" s="1">
        <v>7.0879999999999999E-4</v>
      </c>
    </row>
    <row r="406" spans="1:12" x14ac:dyDescent="0.25">
      <c r="A406" s="16" t="str">
        <f>HYPERLINK("http://amigo.geneontology.org/amigo/term/GO:0009800","GO:0009800")</f>
        <v>GO:0009800</v>
      </c>
      <c r="B406" t="s">
        <v>878</v>
      </c>
      <c r="C406">
        <v>35</v>
      </c>
      <c r="E406" s="1">
        <v>7.8459999999999999E-4</v>
      </c>
      <c r="L406" s="1">
        <v>6.2809999999999997E-6</v>
      </c>
    </row>
    <row r="407" spans="1:12" x14ac:dyDescent="0.25">
      <c r="A407" s="16" t="str">
        <f>HYPERLINK("http://amigo.geneontology.org/amigo/term/GO:0009803","GO:0009803")</f>
        <v>GO:0009803</v>
      </c>
      <c r="B407" t="s">
        <v>877</v>
      </c>
      <c r="C407">
        <v>35</v>
      </c>
      <c r="E407" s="1">
        <v>7.8459999999999999E-4</v>
      </c>
      <c r="L407" s="1">
        <v>6.2809999999999997E-6</v>
      </c>
    </row>
    <row r="408" spans="1:12" x14ac:dyDescent="0.25">
      <c r="A408" s="16" t="str">
        <f>HYPERLINK("http://amigo.geneontology.org/amigo/term/GO:0072528","GO:0072528")</f>
        <v>GO:0072528</v>
      </c>
      <c r="B408" t="s">
        <v>216</v>
      </c>
      <c r="C408">
        <v>137</v>
      </c>
      <c r="D408" s="1">
        <v>9.6179999999999996E-4</v>
      </c>
    </row>
    <row r="409" spans="1:12" x14ac:dyDescent="0.25">
      <c r="A409" s="16" t="str">
        <f>HYPERLINK("http://amigo.geneontology.org/amigo/term/GO:0009695","GO:0009695")</f>
        <v>GO:0009695</v>
      </c>
      <c r="B409" t="s">
        <v>882</v>
      </c>
      <c r="C409">
        <v>10</v>
      </c>
      <c r="E409" s="1">
        <v>9.967000000000001E-4</v>
      </c>
    </row>
    <row r="410" spans="1:12" x14ac:dyDescent="0.25">
      <c r="A410" s="16" t="str">
        <f>HYPERLINK("http://amigo.geneontology.org/amigo/term/GO:0010105","GO:0010105")</f>
        <v>GO:0010105</v>
      </c>
      <c r="B410" t="s">
        <v>881</v>
      </c>
      <c r="C410">
        <v>10</v>
      </c>
      <c r="E410" s="1">
        <v>9.967000000000001E-4</v>
      </c>
    </row>
    <row r="411" spans="1:12" x14ac:dyDescent="0.25">
      <c r="A411" s="16" t="str">
        <f>HYPERLINK("http://amigo.geneontology.org/amigo/term/GO:0070298","GO:0070298")</f>
        <v>GO:0070298</v>
      </c>
      <c r="B411" t="s">
        <v>880</v>
      </c>
      <c r="C411">
        <v>10</v>
      </c>
      <c r="E411" s="1">
        <v>9.967000000000001E-4</v>
      </c>
    </row>
    <row r="412" spans="1:12" x14ac:dyDescent="0.25">
      <c r="A412" s="16" t="str">
        <f>HYPERLINK("http://amigo.geneontology.org/amigo/term/GO:0044262","GO:0044262")</f>
        <v>GO:0044262</v>
      </c>
      <c r="B412" t="s">
        <v>280</v>
      </c>
      <c r="C412">
        <v>711</v>
      </c>
      <c r="D412" s="1">
        <v>2.1510000000000001E-3</v>
      </c>
      <c r="G412">
        <v>1.2E-10</v>
      </c>
    </row>
    <row r="413" spans="1:12" x14ac:dyDescent="0.25">
      <c r="A413" s="16" t="str">
        <f>HYPERLINK("http://amigo.geneontology.org/amigo/term/GO:0006839","GO:0006839")</f>
        <v>GO:0006839</v>
      </c>
      <c r="B413" t="s">
        <v>222</v>
      </c>
      <c r="C413">
        <v>108</v>
      </c>
      <c r="D413" s="1">
        <v>1.0790000000000001E-3</v>
      </c>
    </row>
    <row r="414" spans="1:12" x14ac:dyDescent="0.25">
      <c r="A414" s="16" t="str">
        <f>HYPERLINK("http://amigo.geneontology.org/amigo/term/GO:0006559","GO:0006559")</f>
        <v>GO:0006559</v>
      </c>
      <c r="B414" t="s">
        <v>885</v>
      </c>
      <c r="C414">
        <v>56</v>
      </c>
      <c r="E414" s="1">
        <v>1.1329999999999999E-3</v>
      </c>
      <c r="L414" s="1">
        <v>9.8590000000000008E-9</v>
      </c>
    </row>
    <row r="415" spans="1:12" x14ac:dyDescent="0.25">
      <c r="A415" s="16" t="str">
        <f>HYPERLINK("http://amigo.geneontology.org/amigo/term/GO:1902222","GO:1902222")</f>
        <v>GO:1902222</v>
      </c>
      <c r="B415" t="s">
        <v>884</v>
      </c>
      <c r="C415">
        <v>56</v>
      </c>
      <c r="E415" s="1">
        <v>1.1329999999999999E-3</v>
      </c>
      <c r="L415" s="1">
        <v>9.8590000000000008E-9</v>
      </c>
    </row>
    <row r="416" spans="1:12" x14ac:dyDescent="0.25">
      <c r="A416" s="16" t="str">
        <f>HYPERLINK("http://amigo.geneontology.org/amigo/term/GO:0042558","GO:0042558")</f>
        <v>GO:0042558</v>
      </c>
      <c r="B416" t="s">
        <v>225</v>
      </c>
      <c r="C416">
        <v>54</v>
      </c>
      <c r="D416" s="1">
        <v>1.15E-3</v>
      </c>
    </row>
    <row r="417" spans="1:7" x14ac:dyDescent="0.25">
      <c r="A417" s="16" t="str">
        <f>HYPERLINK("http://amigo.geneontology.org/amigo/term/GO:0006183","GO:0006183")</f>
        <v>GO:0006183</v>
      </c>
      <c r="B417" t="s">
        <v>234</v>
      </c>
      <c r="C417">
        <v>15</v>
      </c>
      <c r="D417" s="1">
        <v>1.2390000000000001E-3</v>
      </c>
    </row>
    <row r="418" spans="1:7" x14ac:dyDescent="0.25">
      <c r="A418" s="16" t="str">
        <f>HYPERLINK("http://amigo.geneontology.org/amigo/term/GO:0006228","GO:0006228")</f>
        <v>GO:0006228</v>
      </c>
      <c r="B418" t="s">
        <v>236</v>
      </c>
      <c r="C418">
        <v>15</v>
      </c>
      <c r="D418" s="1">
        <v>1.2390000000000001E-3</v>
      </c>
    </row>
    <row r="419" spans="1:7" x14ac:dyDescent="0.25">
      <c r="A419" s="16" t="str">
        <f>HYPERLINK("http://amigo.geneontology.org/amigo/term/GO:0046039","GO:0046039")</f>
        <v>GO:0046039</v>
      </c>
      <c r="B419" t="s">
        <v>231</v>
      </c>
      <c r="C419">
        <v>15</v>
      </c>
      <c r="D419" s="1">
        <v>1.2390000000000001E-3</v>
      </c>
    </row>
    <row r="420" spans="1:7" x14ac:dyDescent="0.25">
      <c r="A420" s="16" t="str">
        <f>HYPERLINK("http://amigo.geneontology.org/amigo/term/GO:0046051","GO:0046051")</f>
        <v>GO:0046051</v>
      </c>
      <c r="B420" t="s">
        <v>235</v>
      </c>
      <c r="C420">
        <v>15</v>
      </c>
      <c r="D420" s="1">
        <v>1.2390000000000001E-3</v>
      </c>
    </row>
    <row r="421" spans="1:7" x14ac:dyDescent="0.25">
      <c r="A421" s="16" t="str">
        <f>HYPERLINK("http://amigo.geneontology.org/amigo/term/GO:0009967","GO:0009967")</f>
        <v>GO:0009967</v>
      </c>
      <c r="B421" t="s">
        <v>887</v>
      </c>
      <c r="C421">
        <v>57</v>
      </c>
      <c r="E421" s="1">
        <v>1.2440000000000001E-3</v>
      </c>
    </row>
    <row r="422" spans="1:7" x14ac:dyDescent="0.25">
      <c r="A422" s="16" t="str">
        <f>HYPERLINK("http://amigo.geneontology.org/amigo/term/GO:0023056","GO:0023056")</f>
        <v>GO:0023056</v>
      </c>
      <c r="B422" t="s">
        <v>886</v>
      </c>
      <c r="C422">
        <v>57</v>
      </c>
      <c r="E422" s="1">
        <v>1.2440000000000001E-3</v>
      </c>
    </row>
    <row r="423" spans="1:7" x14ac:dyDescent="0.25">
      <c r="A423" s="16" t="str">
        <f>HYPERLINK("http://amigo.geneontology.org/amigo/term/GO:0036293","GO:0036293")</f>
        <v>GO:0036293</v>
      </c>
      <c r="B423" t="s">
        <v>889</v>
      </c>
      <c r="C423">
        <v>23</v>
      </c>
      <c r="E423" s="1">
        <v>1.253E-3</v>
      </c>
    </row>
    <row r="424" spans="1:7" x14ac:dyDescent="0.25">
      <c r="A424" s="16" t="s">
        <v>1215</v>
      </c>
      <c r="B424" t="s">
        <v>1216</v>
      </c>
      <c r="C424">
        <v>43</v>
      </c>
      <c r="G424">
        <v>1.2960000000000001E-3</v>
      </c>
    </row>
    <row r="425" spans="1:7" x14ac:dyDescent="0.25">
      <c r="A425" s="16" t="s">
        <v>1209</v>
      </c>
      <c r="B425" t="s">
        <v>1210</v>
      </c>
      <c r="C425">
        <v>43</v>
      </c>
      <c r="G425">
        <v>1.2960000000000001E-3</v>
      </c>
    </row>
    <row r="426" spans="1:7" x14ac:dyDescent="0.25">
      <c r="A426" s="16" t="s">
        <v>1207</v>
      </c>
      <c r="B426" t="s">
        <v>1208</v>
      </c>
      <c r="C426">
        <v>43</v>
      </c>
      <c r="G426">
        <v>1.2960000000000001E-3</v>
      </c>
    </row>
    <row r="427" spans="1:7" x14ac:dyDescent="0.25">
      <c r="A427" s="16" t="s">
        <v>1211</v>
      </c>
      <c r="B427" t="s">
        <v>1212</v>
      </c>
      <c r="C427">
        <v>43</v>
      </c>
      <c r="G427">
        <v>1.2960000000000001E-3</v>
      </c>
    </row>
    <row r="428" spans="1:7" x14ac:dyDescent="0.25">
      <c r="A428" s="16" t="s">
        <v>1213</v>
      </c>
      <c r="B428" t="s">
        <v>1214</v>
      </c>
      <c r="C428">
        <v>43</v>
      </c>
      <c r="G428">
        <v>1.2960000000000001E-3</v>
      </c>
    </row>
    <row r="429" spans="1:7" x14ac:dyDescent="0.25">
      <c r="A429" s="16" t="str">
        <f>HYPERLINK("http://amigo.geneontology.org/amigo/term/GO:0009742","GO:0009742")</f>
        <v>GO:0009742</v>
      </c>
      <c r="B429" t="s">
        <v>893</v>
      </c>
      <c r="C429">
        <v>39</v>
      </c>
      <c r="E429" s="1">
        <v>1.2979999999999999E-3</v>
      </c>
    </row>
    <row r="430" spans="1:7" x14ac:dyDescent="0.25">
      <c r="A430" s="16" t="str">
        <f>HYPERLINK("http://amigo.geneontology.org/amigo/term/GO:0043401","GO:0043401")</f>
        <v>GO:0043401</v>
      </c>
      <c r="B430" t="s">
        <v>892</v>
      </c>
      <c r="C430">
        <v>39</v>
      </c>
      <c r="E430" s="1">
        <v>1.2979999999999999E-3</v>
      </c>
    </row>
    <row r="431" spans="1:7" x14ac:dyDescent="0.25">
      <c r="A431" s="16" t="str">
        <f>HYPERLINK("http://amigo.geneontology.org/amigo/term/GO:0048545","GO:0048545")</f>
        <v>GO:0048545</v>
      </c>
      <c r="B431" t="s">
        <v>890</v>
      </c>
      <c r="C431">
        <v>39</v>
      </c>
      <c r="E431" s="1">
        <v>1.2979999999999999E-3</v>
      </c>
    </row>
    <row r="432" spans="1:7" x14ac:dyDescent="0.25">
      <c r="A432" s="16" t="str">
        <f>HYPERLINK("http://amigo.geneontology.org/amigo/term/GO:0071383","GO:0071383")</f>
        <v>GO:0071383</v>
      </c>
      <c r="B432" t="s">
        <v>891</v>
      </c>
      <c r="C432">
        <v>39</v>
      </c>
      <c r="E432" s="1">
        <v>1.2979999999999999E-3</v>
      </c>
    </row>
    <row r="433" spans="1:12" x14ac:dyDescent="0.25">
      <c r="A433" s="16" t="str">
        <f>HYPERLINK("http://amigo.geneontology.org/amigo/term/GO:0002215","GO:0002215")</f>
        <v>GO:0002215</v>
      </c>
      <c r="B433" t="s">
        <v>897</v>
      </c>
      <c r="C433">
        <v>3</v>
      </c>
      <c r="E433" s="1">
        <v>1.307E-3</v>
      </c>
      <c r="L433">
        <v>0.02</v>
      </c>
    </row>
    <row r="434" spans="1:12" x14ac:dyDescent="0.25">
      <c r="A434" s="16" t="str">
        <f>HYPERLINK("http://amigo.geneontology.org/amigo/term/GO:0010446","GO:0010446")</f>
        <v>GO:0010446</v>
      </c>
      <c r="B434" t="s">
        <v>898</v>
      </c>
      <c r="C434">
        <v>3</v>
      </c>
      <c r="E434" s="1">
        <v>1.307E-3</v>
      </c>
      <c r="L434">
        <v>0.02</v>
      </c>
    </row>
    <row r="435" spans="1:12" x14ac:dyDescent="0.25">
      <c r="A435" s="16" t="str">
        <f>HYPERLINK("http://amigo.geneontology.org/amigo/term/GO:0010728","GO:0010728")</f>
        <v>GO:0010728</v>
      </c>
      <c r="B435" t="s">
        <v>900</v>
      </c>
      <c r="C435">
        <v>3</v>
      </c>
      <c r="E435" s="1">
        <v>1.307E-3</v>
      </c>
    </row>
    <row r="436" spans="1:12" x14ac:dyDescent="0.25">
      <c r="A436" s="16" t="str">
        <f>HYPERLINK("http://amigo.geneontology.org/amigo/term/GO:0015840","GO:0015840")</f>
        <v>GO:0015840</v>
      </c>
      <c r="B436" t="s">
        <v>895</v>
      </c>
      <c r="C436">
        <v>3</v>
      </c>
      <c r="E436" s="1">
        <v>1.307E-3</v>
      </c>
    </row>
    <row r="437" spans="1:12" x14ac:dyDescent="0.25">
      <c r="A437" s="16" t="str">
        <f>HYPERLINK("http://amigo.geneontology.org/amigo/term/GO:0019755","GO:0019755")</f>
        <v>GO:0019755</v>
      </c>
      <c r="B437" t="s">
        <v>894</v>
      </c>
      <c r="C437">
        <v>3</v>
      </c>
      <c r="E437" s="1">
        <v>1.307E-3</v>
      </c>
    </row>
    <row r="438" spans="1:12" x14ac:dyDescent="0.25">
      <c r="A438" s="16" t="str">
        <f>HYPERLINK("http://amigo.geneontology.org/amigo/term/GO:0033273","GO:0033273")</f>
        <v>GO:0033273</v>
      </c>
      <c r="B438" t="s">
        <v>905</v>
      </c>
      <c r="C438">
        <v>3</v>
      </c>
      <c r="E438" s="1">
        <v>1.307E-3</v>
      </c>
    </row>
    <row r="439" spans="1:12" x14ac:dyDescent="0.25">
      <c r="A439" s="16" t="str">
        <f>HYPERLINK("http://amigo.geneontology.org/amigo/term/GO:0033274","GO:0033274")</f>
        <v>GO:0033274</v>
      </c>
      <c r="B439" t="s">
        <v>906</v>
      </c>
      <c r="C439">
        <v>3</v>
      </c>
      <c r="E439" s="1">
        <v>1.307E-3</v>
      </c>
    </row>
    <row r="440" spans="1:12" x14ac:dyDescent="0.25">
      <c r="A440" s="16" t="str">
        <f>HYPERLINK("http://amigo.geneontology.org/amigo/term/GO:0071918","GO:0071918")</f>
        <v>GO:0071918</v>
      </c>
      <c r="B440" t="s">
        <v>896</v>
      </c>
      <c r="C440">
        <v>3</v>
      </c>
      <c r="E440" s="1">
        <v>1.307E-3</v>
      </c>
    </row>
    <row r="441" spans="1:12" x14ac:dyDescent="0.25">
      <c r="A441" s="16" t="str">
        <f>HYPERLINK("http://amigo.geneontology.org/amigo/term/GO:0080027","GO:0080027")</f>
        <v>GO:0080027</v>
      </c>
      <c r="B441" t="s">
        <v>901</v>
      </c>
      <c r="C441">
        <v>3</v>
      </c>
      <c r="E441" s="1">
        <v>1.307E-3</v>
      </c>
    </row>
    <row r="442" spans="1:12" x14ac:dyDescent="0.25">
      <c r="A442" s="16" t="str">
        <f>HYPERLINK("http://amigo.geneontology.org/amigo/term/GO:0080140","GO:0080140")</f>
        <v>GO:0080140</v>
      </c>
      <c r="B442" t="s">
        <v>902</v>
      </c>
      <c r="C442">
        <v>3</v>
      </c>
      <c r="E442" s="1">
        <v>1.307E-3</v>
      </c>
    </row>
    <row r="443" spans="1:12" x14ac:dyDescent="0.25">
      <c r="A443" s="16" t="str">
        <f>HYPERLINK("http://amigo.geneontology.org/amigo/term/GO:0080141","GO:0080141")</f>
        <v>GO:0080141</v>
      </c>
      <c r="B443" t="s">
        <v>903</v>
      </c>
      <c r="C443">
        <v>3</v>
      </c>
      <c r="E443" s="1">
        <v>1.307E-3</v>
      </c>
    </row>
    <row r="444" spans="1:12" x14ac:dyDescent="0.25">
      <c r="A444" s="16" t="str">
        <f>HYPERLINK("http://amigo.geneontology.org/amigo/term/GO:0090332","GO:0090332")</f>
        <v>GO:0090332</v>
      </c>
      <c r="B444" t="s">
        <v>904</v>
      </c>
      <c r="C444">
        <v>3</v>
      </c>
      <c r="E444" s="1">
        <v>1.307E-3</v>
      </c>
    </row>
    <row r="445" spans="1:12" x14ac:dyDescent="0.25">
      <c r="A445" s="16" t="str">
        <f>HYPERLINK("http://amigo.geneontology.org/amigo/term/GO:1903426","GO:1903426")</f>
        <v>GO:1903426</v>
      </c>
      <c r="B445" t="s">
        <v>899</v>
      </c>
      <c r="C445">
        <v>3</v>
      </c>
      <c r="E445" s="1">
        <v>1.307E-3</v>
      </c>
    </row>
    <row r="446" spans="1:12" x14ac:dyDescent="0.25">
      <c r="A446" s="16" t="s">
        <v>1217</v>
      </c>
      <c r="B446" t="s">
        <v>1218</v>
      </c>
      <c r="C446">
        <v>11</v>
      </c>
      <c r="G446">
        <v>1.315E-3</v>
      </c>
      <c r="L446" s="1">
        <v>2.9520000000000002E-3</v>
      </c>
    </row>
    <row r="447" spans="1:12" x14ac:dyDescent="0.25">
      <c r="A447" s="16" t="str">
        <f>HYPERLINK("http://amigo.geneontology.org/amigo/term/GO:0051090","GO:0051090")</f>
        <v>GO:0051090</v>
      </c>
      <c r="B447" t="s">
        <v>907</v>
      </c>
      <c r="C447">
        <v>11</v>
      </c>
      <c r="E447" s="1">
        <v>1.3489999999999999E-3</v>
      </c>
    </row>
    <row r="448" spans="1:12" x14ac:dyDescent="0.25">
      <c r="A448" s="16" t="str">
        <f>HYPERLINK("http://amigo.geneontology.org/amigo/term/GO:0045088","GO:0045088")</f>
        <v>GO:0045088</v>
      </c>
      <c r="B448" t="s">
        <v>908</v>
      </c>
      <c r="C448">
        <v>40</v>
      </c>
      <c r="E448" s="1">
        <v>1.4580000000000001E-3</v>
      </c>
    </row>
    <row r="449" spans="1:13" x14ac:dyDescent="0.25">
      <c r="A449" s="16" t="str">
        <f>HYPERLINK("http://amigo.geneontology.org/amigo/term/GO:0070482","GO:0070482")</f>
        <v>GO:0070482</v>
      </c>
      <c r="B449" t="s">
        <v>910</v>
      </c>
      <c r="C449">
        <v>24</v>
      </c>
      <c r="E449" s="1">
        <v>1.4790000000000001E-3</v>
      </c>
    </row>
    <row r="450" spans="1:13" x14ac:dyDescent="0.25">
      <c r="A450" s="16" t="str">
        <f>HYPERLINK("http://amigo.geneontology.org/amigo/term/GO:0045944","GO:0045944")</f>
        <v>GO:0045944</v>
      </c>
      <c r="B450" t="s">
        <v>1076</v>
      </c>
      <c r="C450">
        <v>267</v>
      </c>
      <c r="F450" s="1">
        <v>1.5479999999999999E-3</v>
      </c>
      <c r="M450">
        <v>0.05</v>
      </c>
    </row>
    <row r="451" spans="1:13" x14ac:dyDescent="0.25">
      <c r="A451" s="16" t="s">
        <v>1219</v>
      </c>
      <c r="B451" t="s">
        <v>1220</v>
      </c>
      <c r="C451">
        <v>12</v>
      </c>
      <c r="G451">
        <v>1.572E-3</v>
      </c>
      <c r="L451" s="1">
        <v>3.5249999999999999E-3</v>
      </c>
    </row>
    <row r="452" spans="1:13" x14ac:dyDescent="0.25">
      <c r="A452" s="16" t="str">
        <f>HYPERLINK("http://amigo.geneontology.org/amigo/term/GO:0016106","GO:0016106")</f>
        <v>GO:0016106</v>
      </c>
      <c r="B452" t="s">
        <v>1077</v>
      </c>
      <c r="C452">
        <v>19</v>
      </c>
      <c r="F452" s="1">
        <v>1.5809999999999999E-3</v>
      </c>
    </row>
    <row r="453" spans="1:13" x14ac:dyDescent="0.25">
      <c r="A453" s="16" t="str">
        <f>HYPERLINK("http://amigo.geneontology.org/amigo/term/GO:0051234","GO:0051234")</f>
        <v>GO:0051234</v>
      </c>
      <c r="B453" t="s">
        <v>803</v>
      </c>
      <c r="C453">
        <v>5635</v>
      </c>
      <c r="E453" s="1">
        <v>2.499E-5</v>
      </c>
      <c r="G453">
        <v>3.5149999999999999E-3</v>
      </c>
      <c r="L453" s="1">
        <v>7.9800000000000002E-5</v>
      </c>
    </row>
    <row r="454" spans="1:13" x14ac:dyDescent="0.25">
      <c r="A454" s="16" t="str">
        <f>HYPERLINK("http://amigo.geneontology.org/amigo/term/GO:0010104","GO:0010104")</f>
        <v>GO:0010104</v>
      </c>
      <c r="B454" t="s">
        <v>913</v>
      </c>
      <c r="C454">
        <v>12</v>
      </c>
      <c r="E454" s="1">
        <v>1.771E-3</v>
      </c>
    </row>
    <row r="455" spans="1:13" x14ac:dyDescent="0.25">
      <c r="A455" s="16" t="str">
        <f>HYPERLINK("http://amigo.geneontology.org/amigo/term/GO:0046622","GO:0046622")</f>
        <v>GO:0046622</v>
      </c>
      <c r="B455" t="s">
        <v>911</v>
      </c>
      <c r="C455">
        <v>12</v>
      </c>
      <c r="E455" s="1">
        <v>1.771E-3</v>
      </c>
    </row>
    <row r="456" spans="1:13" x14ac:dyDescent="0.25">
      <c r="A456" s="16" t="str">
        <f>HYPERLINK("http://amigo.geneontology.org/amigo/term/GO:0070297","GO:0070297")</f>
        <v>GO:0070297</v>
      </c>
      <c r="B456" t="s">
        <v>912</v>
      </c>
      <c r="C456">
        <v>12</v>
      </c>
      <c r="E456" s="1">
        <v>1.771E-3</v>
      </c>
    </row>
    <row r="457" spans="1:13" x14ac:dyDescent="0.25">
      <c r="A457" s="16" t="str">
        <f>HYPERLINK("http://amigo.geneontology.org/amigo/term/GO:0071322","GO:0071322")</f>
        <v>GO:0071322</v>
      </c>
      <c r="B457" t="s">
        <v>914</v>
      </c>
      <c r="C457">
        <v>12</v>
      </c>
      <c r="E457" s="1">
        <v>1.771E-3</v>
      </c>
    </row>
    <row r="458" spans="1:13" x14ac:dyDescent="0.25">
      <c r="A458" s="16" t="str">
        <f>HYPERLINK("http://amigo.geneontology.org/amigo/term/GO:0045927","GO:0045927")</f>
        <v>GO:0045927</v>
      </c>
      <c r="B458" t="s">
        <v>915</v>
      </c>
      <c r="C458">
        <v>61</v>
      </c>
      <c r="E458" s="1">
        <v>1.774E-3</v>
      </c>
    </row>
    <row r="459" spans="1:13" x14ac:dyDescent="0.25">
      <c r="A459" s="16" t="str">
        <f>HYPERLINK("http://amigo.geneontology.org/amigo/term/GO:0009071","GO:0009071")</f>
        <v>GO:0009071</v>
      </c>
      <c r="B459" t="s">
        <v>252</v>
      </c>
      <c r="C459">
        <v>17</v>
      </c>
      <c r="D459" s="1">
        <v>1.8109999999999999E-3</v>
      </c>
    </row>
    <row r="460" spans="1:13" x14ac:dyDescent="0.25">
      <c r="A460" s="16" t="str">
        <f>HYPERLINK("http://amigo.geneontology.org/amigo/term/GO:0031204","GO:0031204")</f>
        <v>GO:0031204</v>
      </c>
      <c r="B460" t="s">
        <v>255</v>
      </c>
      <c r="C460">
        <v>17</v>
      </c>
      <c r="D460" s="1">
        <v>1.8109999999999999E-3</v>
      </c>
    </row>
    <row r="461" spans="1:13" x14ac:dyDescent="0.25">
      <c r="A461" s="16" t="str">
        <f>HYPERLINK("http://amigo.geneontology.org/amigo/term/GO:0071367","GO:0071367")</f>
        <v>GO:0071367</v>
      </c>
      <c r="B461" t="s">
        <v>917</v>
      </c>
      <c r="C461">
        <v>42</v>
      </c>
      <c r="E461" s="1">
        <v>1.8209999999999999E-3</v>
      </c>
    </row>
    <row r="462" spans="1:13" x14ac:dyDescent="0.25">
      <c r="A462" s="16" t="str">
        <f>HYPERLINK("http://amigo.geneontology.org/amigo/term/GO:0006354","GO:0006354")</f>
        <v>GO:0006354</v>
      </c>
      <c r="B462" t="s">
        <v>260</v>
      </c>
      <c r="C462">
        <v>36</v>
      </c>
      <c r="D462" s="1">
        <v>1.836E-3</v>
      </c>
    </row>
    <row r="463" spans="1:13" x14ac:dyDescent="0.25">
      <c r="A463" s="16" t="str">
        <f>HYPERLINK("http://amigo.geneontology.org/amigo/term/GO:0006368","GO:0006368")</f>
        <v>GO:0006368</v>
      </c>
      <c r="B463" t="s">
        <v>263</v>
      </c>
      <c r="C463">
        <v>36</v>
      </c>
      <c r="D463" s="1">
        <v>1.836E-3</v>
      </c>
    </row>
    <row r="464" spans="1:13" x14ac:dyDescent="0.25">
      <c r="A464" s="16" t="str">
        <f>HYPERLINK("http://amigo.geneontology.org/amigo/term/GO:0010647","GO:0010647")</f>
        <v>GO:0010647</v>
      </c>
      <c r="B464" t="s">
        <v>919</v>
      </c>
      <c r="C464">
        <v>62</v>
      </c>
      <c r="E464" s="1">
        <v>1.9289999999999999E-3</v>
      </c>
    </row>
    <row r="465" spans="1:12" x14ac:dyDescent="0.25">
      <c r="A465" s="16" t="str">
        <f>HYPERLINK("http://amigo.geneontology.org/amigo/term/GO:0048518","GO:0048518")</f>
        <v>GO:0048518</v>
      </c>
      <c r="B465" t="s">
        <v>920</v>
      </c>
      <c r="C465">
        <v>870</v>
      </c>
      <c r="E465" s="1">
        <v>1.9419999999999999E-3</v>
      </c>
    </row>
    <row r="466" spans="1:12" x14ac:dyDescent="0.25">
      <c r="A466" s="16" t="str">
        <f>HYPERLINK("http://amigo.geneontology.org/amigo/term/GO:0009147","GO:0009147")</f>
        <v>GO:0009147</v>
      </c>
      <c r="B466" t="s">
        <v>270</v>
      </c>
      <c r="C466">
        <v>61</v>
      </c>
      <c r="D466" s="1">
        <v>1.99E-3</v>
      </c>
    </row>
    <row r="467" spans="1:12" x14ac:dyDescent="0.25">
      <c r="A467" s="16" t="str">
        <f>HYPERLINK("http://amigo.geneontology.org/amigo/term/GO:0006357","GO:0006357")</f>
        <v>GO:0006357</v>
      </c>
      <c r="B467" t="s">
        <v>1078</v>
      </c>
      <c r="C467">
        <v>563</v>
      </c>
      <c r="F467" s="1">
        <v>2.019E-3</v>
      </c>
    </row>
    <row r="468" spans="1:12" x14ac:dyDescent="0.25">
      <c r="A468" s="16" t="str">
        <f>HYPERLINK("http://amigo.geneontology.org/amigo/term/GO:0006565","GO:0006565")</f>
        <v>GO:0006565</v>
      </c>
      <c r="B468" t="s">
        <v>276</v>
      </c>
      <c r="C468">
        <v>5</v>
      </c>
      <c r="D468" s="1">
        <v>2.068E-3</v>
      </c>
    </row>
    <row r="469" spans="1:12" x14ac:dyDescent="0.25">
      <c r="A469" s="16" t="str">
        <f>HYPERLINK("http://amigo.geneontology.org/amigo/term/GO:0010275","GO:0010275")</f>
        <v>GO:0010275</v>
      </c>
      <c r="B469" t="s">
        <v>273</v>
      </c>
      <c r="C469">
        <v>5</v>
      </c>
      <c r="D469" s="1">
        <v>2.068E-3</v>
      </c>
    </row>
    <row r="470" spans="1:12" x14ac:dyDescent="0.25">
      <c r="A470" s="16" t="s">
        <v>1223</v>
      </c>
      <c r="B470" t="s">
        <v>1224</v>
      </c>
      <c r="C470">
        <v>107</v>
      </c>
      <c r="G470">
        <v>2.0690000000000001E-3</v>
      </c>
    </row>
    <row r="471" spans="1:12" x14ac:dyDescent="0.25">
      <c r="A471" s="16" t="str">
        <f>HYPERLINK("http://amigo.geneontology.org/amigo/term/GO:0006620","GO:0006620")</f>
        <v>GO:0006620</v>
      </c>
      <c r="B471" t="s">
        <v>278</v>
      </c>
      <c r="C471">
        <v>18</v>
      </c>
      <c r="D471" s="1">
        <v>2.15E-3</v>
      </c>
    </row>
    <row r="472" spans="1:12" x14ac:dyDescent="0.25">
      <c r="A472" s="16" t="s">
        <v>1225</v>
      </c>
      <c r="B472" t="s">
        <v>1226</v>
      </c>
      <c r="C472">
        <v>14</v>
      </c>
      <c r="G472">
        <v>2.1540000000000001E-3</v>
      </c>
      <c r="L472" s="1">
        <v>4.8120000000000003E-3</v>
      </c>
    </row>
    <row r="473" spans="1:12" x14ac:dyDescent="0.25">
      <c r="A473" s="16" t="str">
        <f>HYPERLINK("http://amigo.geneontology.org/amigo/term/GO:0006241","GO:0006241")</f>
        <v>GO:0006241</v>
      </c>
      <c r="B473" t="s">
        <v>289</v>
      </c>
      <c r="C473">
        <v>38</v>
      </c>
      <c r="D473" s="1">
        <v>2.248E-3</v>
      </c>
    </row>
    <row r="474" spans="1:12" x14ac:dyDescent="0.25">
      <c r="A474" s="16" t="str">
        <f>HYPERLINK("http://amigo.geneontology.org/amigo/term/GO:0006730","GO:0006730")</f>
        <v>GO:0006730</v>
      </c>
      <c r="B474" t="s">
        <v>290</v>
      </c>
      <c r="C474">
        <v>38</v>
      </c>
      <c r="D474" s="1">
        <v>2.248E-3</v>
      </c>
    </row>
    <row r="475" spans="1:12" x14ac:dyDescent="0.25">
      <c r="A475" s="16" t="str">
        <f>HYPERLINK("http://amigo.geneontology.org/amigo/term/GO:0009148","GO:0009148")</f>
        <v>GO:0009148</v>
      </c>
      <c r="B475" t="s">
        <v>283</v>
      </c>
      <c r="C475">
        <v>38</v>
      </c>
      <c r="D475" s="1">
        <v>2.248E-3</v>
      </c>
    </row>
    <row r="476" spans="1:12" x14ac:dyDescent="0.25">
      <c r="A476" s="16" t="str">
        <f>HYPERLINK("http://amigo.geneontology.org/amigo/term/GO:0009208","GO:0009208")</f>
        <v>GO:0009208</v>
      </c>
      <c r="B476" t="s">
        <v>286</v>
      </c>
      <c r="C476">
        <v>38</v>
      </c>
      <c r="D476" s="1">
        <v>2.248E-3</v>
      </c>
    </row>
    <row r="477" spans="1:12" x14ac:dyDescent="0.25">
      <c r="A477" s="16" t="str">
        <f>HYPERLINK("http://amigo.geneontology.org/amigo/term/GO:0009209","GO:0009209")</f>
        <v>GO:0009209</v>
      </c>
      <c r="B477" t="s">
        <v>287</v>
      </c>
      <c r="C477">
        <v>38</v>
      </c>
      <c r="D477" s="1">
        <v>2.248E-3</v>
      </c>
    </row>
    <row r="478" spans="1:12" x14ac:dyDescent="0.25">
      <c r="A478" s="16" t="str">
        <f>HYPERLINK("http://amigo.geneontology.org/amigo/term/GO:0046036","GO:0046036")</f>
        <v>GO:0046036</v>
      </c>
      <c r="B478" t="s">
        <v>288</v>
      </c>
      <c r="C478">
        <v>38</v>
      </c>
      <c r="D478" s="1">
        <v>2.248E-3</v>
      </c>
    </row>
    <row r="479" spans="1:12" x14ac:dyDescent="0.25">
      <c r="A479" s="16" t="str">
        <f>HYPERLINK("http://amigo.geneontology.org/amigo/term/GO:1902532","GO:1902532")</f>
        <v>GO:1902532</v>
      </c>
      <c r="B479" t="s">
        <v>924</v>
      </c>
      <c r="C479">
        <v>13</v>
      </c>
      <c r="E479" s="1">
        <v>2.2659999999999998E-3</v>
      </c>
    </row>
    <row r="480" spans="1:12" x14ac:dyDescent="0.25">
      <c r="A480" s="16" t="str">
        <f>HYPERLINK("http://amigo.geneontology.org/amigo/term/GO:0008610","GO:0008610")</f>
        <v>GO:0008610</v>
      </c>
      <c r="B480" t="s">
        <v>311</v>
      </c>
      <c r="C480">
        <v>1018</v>
      </c>
      <c r="D480" s="1">
        <v>2.5500000000000002E-3</v>
      </c>
      <c r="G480">
        <v>1.9949999999999998E-3</v>
      </c>
    </row>
    <row r="481" spans="1:12" x14ac:dyDescent="0.25">
      <c r="A481" s="16" t="str">
        <f>HYPERLINK("http://amigo.geneontology.org/amigo/term/GO:0070592","GO:0070592")</f>
        <v>GO:0070592</v>
      </c>
      <c r="B481" t="s">
        <v>293</v>
      </c>
      <c r="C481">
        <v>63</v>
      </c>
      <c r="D481" s="1">
        <v>2.2959999999999999E-3</v>
      </c>
    </row>
    <row r="482" spans="1:12" x14ac:dyDescent="0.25">
      <c r="A482" s="16" t="str">
        <f>HYPERLINK("http://amigo.geneontology.org/amigo/term/GO:0032981","GO:0032981")</f>
        <v>GO:0032981</v>
      </c>
      <c r="B482" t="s">
        <v>301</v>
      </c>
      <c r="C482">
        <v>19</v>
      </c>
      <c r="D482" s="1">
        <v>2.526E-3</v>
      </c>
    </row>
    <row r="483" spans="1:12" x14ac:dyDescent="0.25">
      <c r="A483" s="16" t="str">
        <f>HYPERLINK("http://amigo.geneontology.org/amigo/term/GO:0080113","GO:0080113")</f>
        <v>GO:0080113</v>
      </c>
      <c r="B483" t="s">
        <v>298</v>
      </c>
      <c r="C483">
        <v>19</v>
      </c>
      <c r="D483" s="1">
        <v>2.526E-3</v>
      </c>
    </row>
    <row r="484" spans="1:12" x14ac:dyDescent="0.25">
      <c r="A484" s="16" t="str">
        <f>HYPERLINK("http://amigo.geneontology.org/amigo/term/GO:0018871","GO:0018871")</f>
        <v>GO:0018871</v>
      </c>
      <c r="B484" t="s">
        <v>927</v>
      </c>
      <c r="C484">
        <v>4</v>
      </c>
      <c r="E484" s="1">
        <v>2.5769999999999999E-3</v>
      </c>
    </row>
    <row r="485" spans="1:12" x14ac:dyDescent="0.25">
      <c r="A485" s="16" t="str">
        <f>HYPERLINK("http://amigo.geneontology.org/amigo/term/GO:0035627","GO:0035627")</f>
        <v>GO:0035627</v>
      </c>
      <c r="B485" t="s">
        <v>929</v>
      </c>
      <c r="C485">
        <v>4</v>
      </c>
      <c r="E485" s="1">
        <v>2.5769999999999999E-3</v>
      </c>
    </row>
    <row r="486" spans="1:12" x14ac:dyDescent="0.25">
      <c r="A486" s="16" t="str">
        <f>HYPERLINK("http://amigo.geneontology.org/amigo/term/GO:0042218","GO:0042218")</f>
        <v>GO:0042218</v>
      </c>
      <c r="B486" t="s">
        <v>928</v>
      </c>
      <c r="C486">
        <v>4</v>
      </c>
      <c r="E486" s="1">
        <v>2.5769999999999999E-3</v>
      </c>
    </row>
    <row r="487" spans="1:12" x14ac:dyDescent="0.25">
      <c r="A487" s="16" t="str">
        <f>HYPERLINK("http://amigo.geneontology.org/amigo/term/GO:0045815","GO:0045815")</f>
        <v>GO:0045815</v>
      </c>
      <c r="B487" t="s">
        <v>926</v>
      </c>
      <c r="C487">
        <v>4</v>
      </c>
      <c r="E487" s="1">
        <v>2.5769999999999999E-3</v>
      </c>
    </row>
    <row r="488" spans="1:12" x14ac:dyDescent="0.25">
      <c r="A488" s="16" t="str">
        <f>HYPERLINK("http://amigo.geneontology.org/amigo/term/GO:1902389","GO:1902389")</f>
        <v>GO:1902389</v>
      </c>
      <c r="B488" t="s">
        <v>930</v>
      </c>
      <c r="C488">
        <v>4</v>
      </c>
      <c r="E488" s="1">
        <v>2.5769999999999999E-3</v>
      </c>
    </row>
    <row r="489" spans="1:12" x14ac:dyDescent="0.25">
      <c r="A489" s="16" t="str">
        <f>HYPERLINK("http://amigo.geneontology.org/amigo/term/GO:0044038","GO:0044038")</f>
        <v>GO:0044038</v>
      </c>
      <c r="B489" t="s">
        <v>316</v>
      </c>
      <c r="C489">
        <v>65</v>
      </c>
      <c r="D489" s="1">
        <v>2.6350000000000002E-3</v>
      </c>
    </row>
    <row r="490" spans="1:12" x14ac:dyDescent="0.25">
      <c r="A490" s="16" t="str">
        <f>HYPERLINK("http://amigo.geneontology.org/amigo/term/GO:0070589","GO:0070589")</f>
        <v>GO:0070589</v>
      </c>
      <c r="B490" t="s">
        <v>314</v>
      </c>
      <c r="C490">
        <v>65</v>
      </c>
      <c r="D490" s="1">
        <v>2.6350000000000002E-3</v>
      </c>
    </row>
    <row r="491" spans="1:12" x14ac:dyDescent="0.25">
      <c r="A491" s="16" t="str">
        <f>HYPERLINK("http://amigo.geneontology.org/amigo/term/GO:0006810","GO:0006810")</f>
        <v>GO:0006810</v>
      </c>
      <c r="B491" t="s">
        <v>794</v>
      </c>
      <c r="C491">
        <v>5601</v>
      </c>
      <c r="E491" s="1">
        <v>1.825E-5</v>
      </c>
      <c r="G491">
        <v>5.2769999999999996E-3</v>
      </c>
      <c r="L491" s="1">
        <v>6.6719999999999998E-5</v>
      </c>
    </row>
    <row r="492" spans="1:12" x14ac:dyDescent="0.25">
      <c r="A492" s="16" t="s">
        <v>1227</v>
      </c>
      <c r="B492" t="s">
        <v>1228</v>
      </c>
      <c r="C492">
        <v>56</v>
      </c>
      <c r="G492">
        <v>2.7750000000000001E-3</v>
      </c>
    </row>
    <row r="493" spans="1:12" x14ac:dyDescent="0.25">
      <c r="A493" s="16" t="str">
        <f>HYPERLINK("http://amigo.geneontology.org/amigo/term/GO:0010229","GO:0010229")</f>
        <v>GO:0010229</v>
      </c>
      <c r="B493" t="s">
        <v>932</v>
      </c>
      <c r="C493">
        <v>14</v>
      </c>
      <c r="E493" s="1">
        <v>2.8389999999999999E-3</v>
      </c>
    </row>
    <row r="494" spans="1:12" x14ac:dyDescent="0.25">
      <c r="A494" s="16" t="str">
        <f>HYPERLINK("http://amigo.geneontology.org/amigo/term/GO:0008216","GO:0008216")</f>
        <v>GO:0008216</v>
      </c>
      <c r="B494" t="s">
        <v>320</v>
      </c>
      <c r="C494">
        <v>20</v>
      </c>
      <c r="D494" s="1">
        <v>2.9390000000000002E-3</v>
      </c>
    </row>
    <row r="495" spans="1:12" x14ac:dyDescent="0.25">
      <c r="A495" s="16" t="str">
        <f>HYPERLINK("http://amigo.geneontology.org/amigo/term/GO:0008295","GO:0008295")</f>
        <v>GO:0008295</v>
      </c>
      <c r="B495" t="s">
        <v>322</v>
      </c>
      <c r="C495">
        <v>20</v>
      </c>
      <c r="D495" s="1">
        <v>2.9390000000000002E-3</v>
      </c>
    </row>
    <row r="496" spans="1:12" x14ac:dyDescent="0.25">
      <c r="A496" s="16" t="str">
        <f>HYPERLINK("http://amigo.geneontology.org/amigo/term/GO:0000041","GO:0000041")</f>
        <v>GO:0000041</v>
      </c>
      <c r="B496" t="s">
        <v>933</v>
      </c>
      <c r="C496">
        <v>140</v>
      </c>
      <c r="E496" s="1">
        <v>2.9550000000000002E-3</v>
      </c>
    </row>
    <row r="497" spans="1:13" x14ac:dyDescent="0.25">
      <c r="A497" s="16" t="str">
        <f>HYPERLINK("http://amigo.geneontology.org/amigo/term/GO:0015942","GO:0015942")</f>
        <v>GO:0015942</v>
      </c>
      <c r="B497" t="s">
        <v>326</v>
      </c>
      <c r="C497">
        <v>6</v>
      </c>
      <c r="D497" s="1">
        <v>3.0730000000000002E-3</v>
      </c>
    </row>
    <row r="498" spans="1:13" x14ac:dyDescent="0.25">
      <c r="A498" s="16" t="str">
        <f>HYPERLINK("http://amigo.geneontology.org/amigo/term/GO:0042183","GO:0042183")</f>
        <v>GO:0042183</v>
      </c>
      <c r="B498" t="s">
        <v>328</v>
      </c>
      <c r="C498">
        <v>6</v>
      </c>
      <c r="D498" s="1">
        <v>3.0730000000000002E-3</v>
      </c>
    </row>
    <row r="499" spans="1:13" x14ac:dyDescent="0.25">
      <c r="A499" s="16" t="str">
        <f>HYPERLINK("http://amigo.geneontology.org/amigo/term/GO:0070973","GO:0070973")</f>
        <v>GO:0070973</v>
      </c>
      <c r="B499" t="s">
        <v>323</v>
      </c>
      <c r="C499">
        <v>6</v>
      </c>
      <c r="D499" s="1">
        <v>3.0730000000000002E-3</v>
      </c>
    </row>
    <row r="500" spans="1:13" x14ac:dyDescent="0.25">
      <c r="A500" s="16" t="str">
        <f>HYPERLINK("http://amigo.geneontology.org/amigo/term/GO:0006073","GO:0006073")</f>
        <v>GO:0006073</v>
      </c>
      <c r="B500" t="s">
        <v>380</v>
      </c>
      <c r="C500">
        <v>443</v>
      </c>
      <c r="D500" s="1">
        <v>6.254E-3</v>
      </c>
      <c r="G500">
        <v>1.409E-10</v>
      </c>
    </row>
    <row r="501" spans="1:13" x14ac:dyDescent="0.25">
      <c r="A501" s="16" t="str">
        <f>HYPERLINK("http://amigo.geneontology.org/amigo/term/GO:0044042","GO:0044042")</f>
        <v>GO:0044042</v>
      </c>
      <c r="B501" t="s">
        <v>383</v>
      </c>
      <c r="C501">
        <v>445</v>
      </c>
      <c r="D501" s="1">
        <v>6.4949999999999999E-3</v>
      </c>
      <c r="G501">
        <v>1.51E-10</v>
      </c>
    </row>
    <row r="502" spans="1:13" x14ac:dyDescent="0.25">
      <c r="A502" s="16" t="str">
        <f>HYPERLINK("http://amigo.geneontology.org/amigo/term/GO:0010257","GO:0010257")</f>
        <v>GO:0010257</v>
      </c>
      <c r="B502" t="s">
        <v>332</v>
      </c>
      <c r="C502">
        <v>21</v>
      </c>
      <c r="D502" s="1">
        <v>3.392E-3</v>
      </c>
    </row>
    <row r="503" spans="1:13" x14ac:dyDescent="0.25">
      <c r="A503" s="16" t="str">
        <f>HYPERLINK("http://amigo.geneontology.org/amigo/term/GO:0009867","GO:0009867")</f>
        <v>GO:0009867</v>
      </c>
      <c r="B503" t="s">
        <v>936</v>
      </c>
      <c r="C503">
        <v>30</v>
      </c>
      <c r="E503" s="1">
        <v>3.4510000000000001E-3</v>
      </c>
    </row>
    <row r="504" spans="1:13" x14ac:dyDescent="0.25">
      <c r="A504" s="16" t="str">
        <f>HYPERLINK("http://amigo.geneontology.org/amigo/term/GO:0006935","GO:0006935")</f>
        <v>GO:0006935</v>
      </c>
      <c r="B504" t="s">
        <v>940</v>
      </c>
      <c r="C504">
        <v>15</v>
      </c>
      <c r="E504" s="1">
        <v>3.4940000000000001E-3</v>
      </c>
      <c r="M504" s="1">
        <v>9.5390000000000004E-4</v>
      </c>
    </row>
    <row r="505" spans="1:13" x14ac:dyDescent="0.25">
      <c r="A505" s="16" t="str">
        <f>HYPERLINK("http://amigo.geneontology.org/amigo/term/GO:0010183","GO:0010183")</f>
        <v>GO:0010183</v>
      </c>
      <c r="B505" t="s">
        <v>942</v>
      </c>
      <c r="C505">
        <v>15</v>
      </c>
      <c r="E505" s="1">
        <v>3.4940000000000001E-3</v>
      </c>
      <c r="M505" s="1">
        <v>9.5390000000000004E-4</v>
      </c>
    </row>
    <row r="506" spans="1:13" x14ac:dyDescent="0.25">
      <c r="A506" s="16" t="str">
        <f>HYPERLINK("http://amigo.geneontology.org/amigo/term/GO:0042330","GO:0042330")</f>
        <v>GO:0042330</v>
      </c>
      <c r="B506" t="s">
        <v>939</v>
      </c>
      <c r="C506">
        <v>15</v>
      </c>
      <c r="E506" s="1">
        <v>3.4940000000000001E-3</v>
      </c>
      <c r="M506" s="1">
        <v>9.5390000000000004E-4</v>
      </c>
    </row>
    <row r="507" spans="1:13" x14ac:dyDescent="0.25">
      <c r="A507" s="16" t="str">
        <f>HYPERLINK("http://amigo.geneontology.org/amigo/term/GO:0050918","GO:0050918")</f>
        <v>GO:0050918</v>
      </c>
      <c r="B507" t="s">
        <v>941</v>
      </c>
      <c r="C507">
        <v>15</v>
      </c>
      <c r="E507" s="1">
        <v>3.4940000000000001E-3</v>
      </c>
      <c r="M507" s="1">
        <v>9.5390000000000004E-4</v>
      </c>
    </row>
    <row r="508" spans="1:13" x14ac:dyDescent="0.25">
      <c r="A508" s="16" t="str">
        <f>HYPERLINK("http://amigo.geneontology.org/amigo/term/GO:0048639","GO:0048639")</f>
        <v>GO:0048639</v>
      </c>
      <c r="B508" t="s">
        <v>938</v>
      </c>
      <c r="C508">
        <v>15</v>
      </c>
      <c r="E508" s="1">
        <v>3.4940000000000001E-3</v>
      </c>
    </row>
    <row r="509" spans="1:13" x14ac:dyDescent="0.25">
      <c r="A509" s="16" t="s">
        <v>1229</v>
      </c>
      <c r="B509" t="s">
        <v>1230</v>
      </c>
      <c r="C509">
        <v>18</v>
      </c>
      <c r="G509">
        <v>3.5739999999999999E-3</v>
      </c>
    </row>
    <row r="510" spans="1:13" x14ac:dyDescent="0.25">
      <c r="A510" s="16" t="str">
        <f>HYPERLINK("http://amigo.geneontology.org/amigo/term/GO:0006869","GO:0006869")</f>
        <v>GO:0006869</v>
      </c>
      <c r="B510" t="s">
        <v>943</v>
      </c>
      <c r="C510">
        <v>291</v>
      </c>
      <c r="E510" s="1">
        <v>3.7959999999999999E-3</v>
      </c>
      <c r="L510" s="1">
        <v>6.7939999999999997E-3</v>
      </c>
    </row>
    <row r="511" spans="1:13" x14ac:dyDescent="0.25">
      <c r="A511" s="16" t="str">
        <f>HYPERLINK("http://amigo.geneontology.org/amigo/term/GO:0006760","GO:0006760")</f>
        <v>GO:0006760</v>
      </c>
      <c r="B511" t="s">
        <v>342</v>
      </c>
      <c r="C511">
        <v>44</v>
      </c>
      <c r="D511" s="1">
        <v>3.859E-3</v>
      </c>
    </row>
    <row r="512" spans="1:13" x14ac:dyDescent="0.25">
      <c r="A512" s="16" t="str">
        <f>HYPERLINK("http://amigo.geneontology.org/amigo/term/GO:0055086","GO:0055086")</f>
        <v>GO:0055086</v>
      </c>
      <c r="B512" t="s">
        <v>347</v>
      </c>
      <c r="C512">
        <v>857</v>
      </c>
      <c r="D512" s="1">
        <v>4.424E-3</v>
      </c>
    </row>
    <row r="513" spans="1:12" x14ac:dyDescent="0.25">
      <c r="A513" s="16" t="str">
        <f>HYPERLINK("http://amigo.geneontology.org/amigo/term/GO:0009309","GO:0009309")</f>
        <v>GO:0009309</v>
      </c>
      <c r="B513" t="s">
        <v>352</v>
      </c>
      <c r="C513">
        <v>105</v>
      </c>
      <c r="D513" s="1">
        <v>4.5259999999999996E-3</v>
      </c>
    </row>
    <row r="514" spans="1:12" x14ac:dyDescent="0.25">
      <c r="A514" s="16" t="str">
        <f>HYPERLINK("http://amigo.geneontology.org/amigo/term/GO:0042401","GO:0042401")</f>
        <v>GO:0042401</v>
      </c>
      <c r="B514" t="s">
        <v>355</v>
      </c>
      <c r="C514">
        <v>105</v>
      </c>
      <c r="D514" s="1">
        <v>4.5259999999999996E-3</v>
      </c>
    </row>
    <row r="515" spans="1:12" x14ac:dyDescent="0.25">
      <c r="A515" s="16" t="str">
        <f>HYPERLINK("http://amigo.geneontology.org/amigo/term/GO:0120254","GO:0120254")</f>
        <v>GO:0120254</v>
      </c>
      <c r="B515" t="s">
        <v>768</v>
      </c>
      <c r="C515">
        <v>46</v>
      </c>
      <c r="E515" s="1">
        <v>4.8160000000000001E-6</v>
      </c>
      <c r="F515" s="1">
        <v>9.0550000000000005E-3</v>
      </c>
      <c r="L515" s="1">
        <v>1.2580000000000001E-6</v>
      </c>
    </row>
    <row r="516" spans="1:12" x14ac:dyDescent="0.25">
      <c r="A516" s="16" t="str">
        <f>HYPERLINK("http://amigo.geneontology.org/amigo/term/GO:0071395","GO:0071395")</f>
        <v>GO:0071395</v>
      </c>
      <c r="B516" t="s">
        <v>946</v>
      </c>
      <c r="C516">
        <v>33</v>
      </c>
      <c r="E516" s="1">
        <v>4.9030000000000002E-3</v>
      </c>
    </row>
    <row r="517" spans="1:12" x14ac:dyDescent="0.25">
      <c r="A517" s="16" t="str">
        <f>HYPERLINK("http://amigo.geneontology.org/amigo/term/GO:0010876","GO:0010876")</f>
        <v>GO:0010876</v>
      </c>
      <c r="B517" t="s">
        <v>947</v>
      </c>
      <c r="C517">
        <v>300</v>
      </c>
      <c r="E517" s="1">
        <v>4.947E-3</v>
      </c>
      <c r="L517" s="1">
        <v>7.9629999999999996E-3</v>
      </c>
    </row>
    <row r="518" spans="1:12" x14ac:dyDescent="0.25">
      <c r="A518" s="16" t="str">
        <f>HYPERLINK("http://amigo.geneontology.org/amigo/term/GO:0120255","GO:0120255")</f>
        <v>GO:0120255</v>
      </c>
      <c r="B518" t="s">
        <v>921</v>
      </c>
      <c r="C518">
        <v>43</v>
      </c>
      <c r="E518" s="1">
        <v>2.026E-3</v>
      </c>
      <c r="F518" s="1">
        <v>7.9489999999999995E-3</v>
      </c>
      <c r="L518" s="1">
        <v>8.343E-7</v>
      </c>
    </row>
    <row r="519" spans="1:12" x14ac:dyDescent="0.25">
      <c r="A519" s="16" t="str">
        <f>HYPERLINK("http://amigo.geneontology.org/amigo/term/GO:0007205","GO:0007205")</f>
        <v>GO:0007205</v>
      </c>
      <c r="B519" t="s">
        <v>356</v>
      </c>
      <c r="C519">
        <v>24</v>
      </c>
      <c r="D519" s="1">
        <v>4.9969999999999997E-3</v>
      </c>
    </row>
    <row r="520" spans="1:12" x14ac:dyDescent="0.25">
      <c r="A520" s="16" t="str">
        <f>HYPERLINK("http://amigo.geneontology.org/amigo/term/GO:0015936","GO:0015936")</f>
        <v>GO:0015936</v>
      </c>
      <c r="B520" t="s">
        <v>359</v>
      </c>
      <c r="C520">
        <v>24</v>
      </c>
      <c r="D520" s="1">
        <v>4.9969999999999997E-3</v>
      </c>
    </row>
    <row r="521" spans="1:12" x14ac:dyDescent="0.25">
      <c r="A521" s="16" t="str">
        <f>HYPERLINK("http://amigo.geneontology.org/amigo/term/GO:0015748","GO:0015748")</f>
        <v>GO:0015748</v>
      </c>
      <c r="B521" t="s">
        <v>945</v>
      </c>
      <c r="C521">
        <v>73</v>
      </c>
      <c r="E521" s="1">
        <v>4.3990000000000001E-3</v>
      </c>
      <c r="G521">
        <v>5.8520000000000004E-3</v>
      </c>
    </row>
    <row r="522" spans="1:12" x14ac:dyDescent="0.25">
      <c r="A522" s="16" t="str">
        <f>HYPERLINK("http://amigo.geneontology.org/amigo/term/GO:0009218","GO:0009218")</f>
        <v>GO:0009218</v>
      </c>
      <c r="B522" t="s">
        <v>361</v>
      </c>
      <c r="C522">
        <v>48</v>
      </c>
      <c r="D522" s="1">
        <v>5.2839999999999996E-3</v>
      </c>
    </row>
    <row r="523" spans="1:12" x14ac:dyDescent="0.25">
      <c r="A523" s="16" t="str">
        <f>HYPERLINK("http://amigo.geneontology.org/amigo/term/GO:0009220","GO:0009220")</f>
        <v>GO:0009220</v>
      </c>
      <c r="B523" t="s">
        <v>363</v>
      </c>
      <c r="C523">
        <v>48</v>
      </c>
      <c r="D523" s="1">
        <v>5.2839999999999996E-3</v>
      </c>
    </row>
    <row r="524" spans="1:12" x14ac:dyDescent="0.25">
      <c r="A524" s="16" t="str">
        <f>HYPERLINK("http://amigo.geneontology.org/amigo/term/GO:0016567","GO:0016567")</f>
        <v>GO:0016567</v>
      </c>
      <c r="B524" t="s">
        <v>949</v>
      </c>
      <c r="C524">
        <v>676</v>
      </c>
      <c r="E524" s="1">
        <v>5.3049999999999998E-3</v>
      </c>
    </row>
    <row r="525" spans="1:12" x14ac:dyDescent="0.25">
      <c r="A525" s="16" t="s">
        <v>1237</v>
      </c>
      <c r="B525" t="s">
        <v>1238</v>
      </c>
      <c r="C525">
        <v>22</v>
      </c>
      <c r="G525">
        <v>5.3249999999999999E-3</v>
      </c>
    </row>
    <row r="526" spans="1:12" x14ac:dyDescent="0.25">
      <c r="A526" s="16" t="s">
        <v>1235</v>
      </c>
      <c r="B526" t="s">
        <v>1236</v>
      </c>
      <c r="C526">
        <v>22</v>
      </c>
      <c r="G526">
        <v>5.3249999999999999E-3</v>
      </c>
    </row>
    <row r="527" spans="1:12" x14ac:dyDescent="0.25">
      <c r="A527" s="16" t="s">
        <v>1239</v>
      </c>
      <c r="B527" t="s">
        <v>1240</v>
      </c>
      <c r="C527">
        <v>71</v>
      </c>
      <c r="G527">
        <v>5.4169999999999999E-3</v>
      </c>
    </row>
    <row r="528" spans="1:12" x14ac:dyDescent="0.25">
      <c r="A528" s="16" t="str">
        <f>HYPERLINK("http://amigo.geneontology.org/amigo/term/GO:0016114","GO:0016114")</f>
        <v>GO:0016114</v>
      </c>
      <c r="B528" t="s">
        <v>1092</v>
      </c>
      <c r="C528">
        <v>147</v>
      </c>
      <c r="F528">
        <v>0.01</v>
      </c>
      <c r="G528">
        <v>8.8429999999999997E-4</v>
      </c>
    </row>
    <row r="529" spans="1:12" x14ac:dyDescent="0.25">
      <c r="A529" s="16" t="str">
        <f>HYPERLINK("http://amigo.geneontology.org/amigo/term/GO:0071398","GO:0071398")</f>
        <v>GO:0071398</v>
      </c>
      <c r="B529" t="s">
        <v>950</v>
      </c>
      <c r="C529">
        <v>34</v>
      </c>
      <c r="E529" s="1">
        <v>5.4650000000000002E-3</v>
      </c>
    </row>
    <row r="530" spans="1:12" x14ac:dyDescent="0.25">
      <c r="A530" s="16" t="str">
        <f>HYPERLINK("http://amigo.geneontology.org/amigo/term/GO:1901002","GO:1901002")</f>
        <v>GO:1901002</v>
      </c>
      <c r="B530" t="s">
        <v>951</v>
      </c>
      <c r="C530">
        <v>34</v>
      </c>
      <c r="E530" s="1">
        <v>5.4650000000000002E-3</v>
      </c>
    </row>
    <row r="531" spans="1:12" x14ac:dyDescent="0.25">
      <c r="A531" s="16" t="str">
        <f>HYPERLINK("http://amigo.geneontology.org/amigo/term/GO:0009908","GO:0009908")</f>
        <v>GO:0009908</v>
      </c>
      <c r="B531" t="s">
        <v>952</v>
      </c>
      <c r="C531">
        <v>154</v>
      </c>
      <c r="E531" s="1">
        <v>5.5180000000000003E-3</v>
      </c>
    </row>
    <row r="532" spans="1:12" x14ac:dyDescent="0.25">
      <c r="A532" s="16" t="str">
        <f>HYPERLINK("http://amigo.geneontology.org/amigo/term/GO:0006123","GO:0006123")</f>
        <v>GO:0006123</v>
      </c>
      <c r="B532" t="s">
        <v>369</v>
      </c>
      <c r="C532">
        <v>8</v>
      </c>
      <c r="D532" s="1">
        <v>5.6249999999999998E-3</v>
      </c>
    </row>
    <row r="533" spans="1:12" x14ac:dyDescent="0.25">
      <c r="A533" s="16" t="str">
        <f>HYPERLINK("http://amigo.geneontology.org/amigo/term/GO:0006616","GO:0006616")</f>
        <v>GO:0006616</v>
      </c>
      <c r="B533" t="s">
        <v>372</v>
      </c>
      <c r="C533">
        <v>8</v>
      </c>
      <c r="D533" s="1">
        <v>5.6249999999999998E-3</v>
      </c>
    </row>
    <row r="534" spans="1:12" x14ac:dyDescent="0.25">
      <c r="A534" s="16" t="str">
        <f>HYPERLINK("http://amigo.geneontology.org/amigo/term/GO:0009063","GO:0009063")</f>
        <v>GO:0009063</v>
      </c>
      <c r="B534" t="s">
        <v>246</v>
      </c>
      <c r="C534">
        <v>150</v>
      </c>
      <c r="D534" s="1">
        <v>1.7160000000000001E-3</v>
      </c>
      <c r="E534">
        <v>0.01</v>
      </c>
      <c r="L534" s="1">
        <v>2.3790000000000001E-7</v>
      </c>
    </row>
    <row r="535" spans="1:12" x14ac:dyDescent="0.25">
      <c r="A535" s="16" t="str">
        <f>HYPERLINK("http://amigo.geneontology.org/amigo/term/GO:0006714","GO:0006714")</f>
        <v>GO:0006714</v>
      </c>
      <c r="B535" t="s">
        <v>987</v>
      </c>
      <c r="C535">
        <v>22</v>
      </c>
      <c r="E535">
        <v>0.01</v>
      </c>
      <c r="F535" s="1">
        <v>2.1220000000000002E-3</v>
      </c>
    </row>
    <row r="536" spans="1:12" x14ac:dyDescent="0.25">
      <c r="A536" s="16" t="str">
        <f>HYPERLINK("http://amigo.geneontology.org/amigo/term/GO:0061077","GO:0061077")</f>
        <v>GO:0061077</v>
      </c>
      <c r="B536" t="s">
        <v>1082</v>
      </c>
      <c r="C536">
        <v>38</v>
      </c>
      <c r="F536" s="1">
        <v>6.2509999999999996E-3</v>
      </c>
    </row>
    <row r="537" spans="1:12" x14ac:dyDescent="0.25">
      <c r="A537" s="16" t="str">
        <f>HYPERLINK("http://amigo.geneontology.org/amigo/term/GO:0009268","GO:0009268")</f>
        <v>GO:0009268</v>
      </c>
      <c r="B537" t="s">
        <v>956</v>
      </c>
      <c r="C537">
        <v>6</v>
      </c>
      <c r="E537" s="1">
        <v>6.2649999999999997E-3</v>
      </c>
      <c r="L537">
        <v>0.04</v>
      </c>
    </row>
    <row r="538" spans="1:12" x14ac:dyDescent="0.25">
      <c r="A538" s="16" t="str">
        <f>HYPERLINK("http://amigo.geneontology.org/amigo/term/GO:0048439","GO:0048439")</f>
        <v>GO:0048439</v>
      </c>
      <c r="B538" t="s">
        <v>953</v>
      </c>
      <c r="C538">
        <v>6</v>
      </c>
      <c r="E538" s="1">
        <v>6.2649999999999997E-3</v>
      </c>
    </row>
    <row r="539" spans="1:12" x14ac:dyDescent="0.25">
      <c r="A539" s="16" t="str">
        <f>HYPERLINK("http://amigo.geneontology.org/amigo/term/GO:0098659","GO:0098659")</f>
        <v>GO:0098659</v>
      </c>
      <c r="B539" t="s">
        <v>955</v>
      </c>
      <c r="C539">
        <v>6</v>
      </c>
      <c r="E539" s="1">
        <v>6.2649999999999997E-3</v>
      </c>
    </row>
    <row r="540" spans="1:12" x14ac:dyDescent="0.25">
      <c r="A540" s="16" t="str">
        <f>HYPERLINK("http://amigo.geneontology.org/amigo/term/GO:0099587","GO:0099587")</f>
        <v>GO:0099587</v>
      </c>
      <c r="B540" t="s">
        <v>954</v>
      </c>
      <c r="C540">
        <v>6</v>
      </c>
      <c r="E540" s="1">
        <v>6.2649999999999997E-3</v>
      </c>
    </row>
    <row r="541" spans="1:12" x14ac:dyDescent="0.25">
      <c r="A541" s="16" t="s">
        <v>1243</v>
      </c>
      <c r="B541" t="s">
        <v>1244</v>
      </c>
      <c r="C541">
        <v>75</v>
      </c>
      <c r="G541">
        <v>6.3070000000000001E-3</v>
      </c>
    </row>
    <row r="542" spans="1:12" x14ac:dyDescent="0.25">
      <c r="A542" s="16" t="str">
        <f>HYPERLINK("http://amigo.geneontology.org/amigo/term/GO:0044255","GO:0044255")</f>
        <v>GO:0044255</v>
      </c>
      <c r="B542" t="s">
        <v>1083</v>
      </c>
      <c r="C542">
        <v>1282</v>
      </c>
      <c r="F542" s="1">
        <v>7.1659999999999996E-3</v>
      </c>
      <c r="G542">
        <v>5.4539999999999996E-3</v>
      </c>
    </row>
    <row r="543" spans="1:12" x14ac:dyDescent="0.25">
      <c r="A543" s="16" t="s">
        <v>1245</v>
      </c>
      <c r="B543" t="s">
        <v>1246</v>
      </c>
      <c r="C543">
        <v>24</v>
      </c>
      <c r="G543">
        <v>6.3210000000000002E-3</v>
      </c>
    </row>
    <row r="544" spans="1:12" x14ac:dyDescent="0.25">
      <c r="A544" s="16" t="str">
        <f>HYPERLINK("http://amigo.geneontology.org/amigo/term/GO:0017004","GO:0017004")</f>
        <v>GO:0017004</v>
      </c>
      <c r="B544" t="s">
        <v>385</v>
      </c>
      <c r="C544">
        <v>81</v>
      </c>
      <c r="D544" s="1">
        <v>6.7580000000000001E-3</v>
      </c>
    </row>
    <row r="545" spans="1:12" x14ac:dyDescent="0.25">
      <c r="A545" s="16" t="str">
        <f>HYPERLINK("http://amigo.geneontology.org/amigo/term/GO:0090567","GO:0090567")</f>
        <v>GO:0090567</v>
      </c>
      <c r="B545" t="s">
        <v>958</v>
      </c>
      <c r="C545">
        <v>159</v>
      </c>
      <c r="E545" s="1">
        <v>6.7629999999999999E-3</v>
      </c>
    </row>
    <row r="546" spans="1:12" x14ac:dyDescent="0.25">
      <c r="A546" s="16" t="s">
        <v>1247</v>
      </c>
      <c r="B546" t="s">
        <v>1248</v>
      </c>
      <c r="C546">
        <v>77</v>
      </c>
      <c r="G546">
        <v>6.783E-3</v>
      </c>
    </row>
    <row r="547" spans="1:12" x14ac:dyDescent="0.25">
      <c r="A547" s="16" t="s">
        <v>1251</v>
      </c>
      <c r="B547" t="s">
        <v>1252</v>
      </c>
      <c r="C547">
        <v>25</v>
      </c>
      <c r="G547">
        <v>6.8479999999999999E-3</v>
      </c>
    </row>
    <row r="548" spans="1:12" x14ac:dyDescent="0.25">
      <c r="A548" s="16" t="s">
        <v>1249</v>
      </c>
      <c r="B548" t="s">
        <v>1250</v>
      </c>
      <c r="C548">
        <v>25</v>
      </c>
      <c r="G548">
        <v>6.8479999999999999E-3</v>
      </c>
    </row>
    <row r="549" spans="1:12" x14ac:dyDescent="0.25">
      <c r="A549" s="16" t="str">
        <f>HYPERLINK("http://amigo.geneontology.org/amigo/term/GO:0009074","GO:0009074")</f>
        <v>GO:0009074</v>
      </c>
      <c r="B549" t="s">
        <v>959</v>
      </c>
      <c r="C549">
        <v>80</v>
      </c>
      <c r="E549" s="1">
        <v>6.8659999999999997E-3</v>
      </c>
      <c r="L549" s="1">
        <v>1.719E-7</v>
      </c>
    </row>
    <row r="550" spans="1:12" x14ac:dyDescent="0.25">
      <c r="A550" s="16" t="str">
        <f>HYPERLINK("http://amigo.geneontology.org/amigo/term/GO:0009788","GO:0009788")</f>
        <v>GO:0009788</v>
      </c>
      <c r="B550" t="s">
        <v>963</v>
      </c>
      <c r="C550">
        <v>19</v>
      </c>
      <c r="E550" s="1">
        <v>6.9899999999999997E-3</v>
      </c>
    </row>
    <row r="551" spans="1:12" x14ac:dyDescent="0.25">
      <c r="A551" s="16" t="str">
        <f>HYPERLINK("http://amigo.geneontology.org/amigo/term/GO:0120009","GO:0120009")</f>
        <v>GO:0120009</v>
      </c>
      <c r="B551" t="s">
        <v>964</v>
      </c>
      <c r="C551">
        <v>19</v>
      </c>
      <c r="E551" s="1">
        <v>6.9899999999999997E-3</v>
      </c>
    </row>
    <row r="552" spans="1:12" x14ac:dyDescent="0.25">
      <c r="A552" s="16" t="str">
        <f>HYPERLINK("http://amigo.geneontology.org/amigo/term/GO:1901420","GO:1901420")</f>
        <v>GO:1901420</v>
      </c>
      <c r="B552" t="s">
        <v>961</v>
      </c>
      <c r="C552">
        <v>19</v>
      </c>
      <c r="E552" s="1">
        <v>6.9899999999999997E-3</v>
      </c>
    </row>
    <row r="553" spans="1:12" x14ac:dyDescent="0.25">
      <c r="A553" s="16" t="str">
        <f>HYPERLINK("http://amigo.geneontology.org/amigo/term/GO:1905958","GO:1905958")</f>
        <v>GO:1905958</v>
      </c>
      <c r="B553" t="s">
        <v>962</v>
      </c>
      <c r="C553">
        <v>19</v>
      </c>
      <c r="E553" s="1">
        <v>6.9899999999999997E-3</v>
      </c>
    </row>
    <row r="554" spans="1:12" x14ac:dyDescent="0.25">
      <c r="A554" s="16" t="str">
        <f>HYPERLINK("http://amigo.geneontology.org/amigo/term/GO:0070887","GO:0070887")</f>
        <v>GO:0070887</v>
      </c>
      <c r="B554" t="s">
        <v>966</v>
      </c>
      <c r="C554">
        <v>656</v>
      </c>
      <c r="E554" s="1">
        <v>7.0429999999999998E-3</v>
      </c>
    </row>
    <row r="555" spans="1:12" x14ac:dyDescent="0.25">
      <c r="A555" s="16" t="str">
        <f>HYPERLINK("http://amigo.geneontology.org/amigo/term/GO:0006166","GO:0006166")</f>
        <v>GO:0006166</v>
      </c>
      <c r="B555" t="s">
        <v>394</v>
      </c>
      <c r="C555">
        <v>9</v>
      </c>
      <c r="D555" s="1">
        <v>7.1630000000000001E-3</v>
      </c>
    </row>
    <row r="556" spans="1:12" x14ac:dyDescent="0.25">
      <c r="A556" s="16" t="str">
        <f>HYPERLINK("http://amigo.geneontology.org/amigo/term/GO:0043174","GO:0043174")</f>
        <v>GO:0043174</v>
      </c>
      <c r="B556" t="s">
        <v>391</v>
      </c>
      <c r="C556">
        <v>9</v>
      </c>
      <c r="D556" s="1">
        <v>7.1630000000000001E-3</v>
      </c>
    </row>
    <row r="557" spans="1:12" x14ac:dyDescent="0.25">
      <c r="A557" s="16" t="s">
        <v>1253</v>
      </c>
      <c r="B557" t="s">
        <v>1254</v>
      </c>
      <c r="C557">
        <v>26</v>
      </c>
      <c r="G557">
        <v>7.3949999999999997E-3</v>
      </c>
    </row>
    <row r="558" spans="1:12" x14ac:dyDescent="0.25">
      <c r="A558" s="16" t="s">
        <v>1257</v>
      </c>
      <c r="B558" t="s">
        <v>1258</v>
      </c>
      <c r="C558">
        <v>26</v>
      </c>
      <c r="G558">
        <v>7.3949999999999997E-3</v>
      </c>
    </row>
    <row r="559" spans="1:12" x14ac:dyDescent="0.25">
      <c r="A559" s="16" t="s">
        <v>1255</v>
      </c>
      <c r="B559" t="s">
        <v>1256</v>
      </c>
      <c r="C559">
        <v>26</v>
      </c>
      <c r="G559">
        <v>7.3949999999999997E-3</v>
      </c>
    </row>
    <row r="560" spans="1:12" x14ac:dyDescent="0.25">
      <c r="A560" s="16" t="str">
        <f>HYPERLINK("http://amigo.geneontology.org/amigo/term/GO:0051259","GO:0051259")</f>
        <v>GO:0051259</v>
      </c>
      <c r="B560" t="s">
        <v>398</v>
      </c>
      <c r="C560">
        <v>53</v>
      </c>
      <c r="D560" s="1">
        <v>7.5100000000000002E-3</v>
      </c>
    </row>
    <row r="561" spans="1:13" x14ac:dyDescent="0.25">
      <c r="A561" s="16" t="s">
        <v>1259</v>
      </c>
      <c r="B561" t="s">
        <v>1260</v>
      </c>
      <c r="C561">
        <v>154</v>
      </c>
      <c r="G561">
        <v>7.5360000000000002E-3</v>
      </c>
    </row>
    <row r="562" spans="1:13" x14ac:dyDescent="0.25">
      <c r="A562" s="16" t="str">
        <f>HYPERLINK("http://amigo.geneontology.org/amigo/term/GO:0006558","GO:0006558")</f>
        <v>GO:0006558</v>
      </c>
      <c r="B562" t="s">
        <v>969</v>
      </c>
      <c r="C562">
        <v>82</v>
      </c>
      <c r="E562" s="1">
        <v>7.7250000000000001E-3</v>
      </c>
      <c r="L562" s="1">
        <v>2.0849999999999999E-7</v>
      </c>
    </row>
    <row r="563" spans="1:13" x14ac:dyDescent="0.25">
      <c r="A563" s="16" t="str">
        <f>HYPERLINK("http://amigo.geneontology.org/amigo/term/GO:1902221","GO:1902221")</f>
        <v>GO:1902221</v>
      </c>
      <c r="B563" t="s">
        <v>968</v>
      </c>
      <c r="C563">
        <v>82</v>
      </c>
      <c r="E563" s="1">
        <v>7.7250000000000001E-3</v>
      </c>
      <c r="L563" s="1">
        <v>2.0849999999999999E-7</v>
      </c>
    </row>
    <row r="564" spans="1:13" x14ac:dyDescent="0.25">
      <c r="A564" s="16" t="str">
        <f>HYPERLINK("http://amigo.geneontology.org/amigo/term/GO:1901606","GO:1901606")</f>
        <v>GO:1901606</v>
      </c>
      <c r="B564" t="s">
        <v>374</v>
      </c>
      <c r="C564">
        <v>147</v>
      </c>
      <c r="D564" s="1">
        <v>6.0679999999999996E-3</v>
      </c>
      <c r="E564">
        <v>0.01</v>
      </c>
      <c r="L564" s="1">
        <v>1.9379999999999999E-6</v>
      </c>
    </row>
    <row r="565" spans="1:13" x14ac:dyDescent="0.25">
      <c r="A565" s="16" t="str">
        <f>HYPERLINK("http://amigo.geneontology.org/amigo/term/GO:0046940","GO:0046940")</f>
        <v>GO:0046940</v>
      </c>
      <c r="B565" t="s">
        <v>970</v>
      </c>
      <c r="C565">
        <v>7</v>
      </c>
      <c r="E565" s="1">
        <v>8.6490000000000004E-3</v>
      </c>
    </row>
    <row r="566" spans="1:13" x14ac:dyDescent="0.25">
      <c r="A566" s="16" t="str">
        <f>HYPERLINK("http://amigo.geneontology.org/amigo/term/GO:0000302","GO:0000302")</f>
        <v>GO:0000302</v>
      </c>
      <c r="B566" t="s">
        <v>404</v>
      </c>
      <c r="C566">
        <v>86</v>
      </c>
      <c r="D566" s="1">
        <v>8.6580000000000008E-3</v>
      </c>
    </row>
    <row r="567" spans="1:13" x14ac:dyDescent="0.25">
      <c r="A567" s="16" t="str">
        <f>HYPERLINK("http://amigo.geneontology.org/amigo/term/GO:0009741","GO:0009741")</f>
        <v>GO:0009741</v>
      </c>
      <c r="B567" t="s">
        <v>967</v>
      </c>
      <c r="C567">
        <v>58</v>
      </c>
      <c r="E567" s="1">
        <v>7.4510000000000002E-3</v>
      </c>
      <c r="F567">
        <v>0.01</v>
      </c>
    </row>
    <row r="568" spans="1:13" x14ac:dyDescent="0.25">
      <c r="A568" s="16" t="str">
        <f>HYPERLINK("http://amigo.geneontology.org/amigo/term/GO:0006312","GO:0006312")</f>
        <v>GO:0006312</v>
      </c>
      <c r="B568" t="s">
        <v>407</v>
      </c>
      <c r="C568">
        <v>10</v>
      </c>
      <c r="D568" s="1">
        <v>8.8669999999999999E-3</v>
      </c>
    </row>
    <row r="569" spans="1:13" x14ac:dyDescent="0.25">
      <c r="A569" s="16" t="str">
        <f>HYPERLINK("http://amigo.geneontology.org/amigo/term/GO:0009787","GO:0009787")</f>
        <v>GO:0009787</v>
      </c>
      <c r="B569" t="s">
        <v>973</v>
      </c>
      <c r="C569">
        <v>39</v>
      </c>
      <c r="E569" s="1">
        <v>8.9239999999999996E-3</v>
      </c>
    </row>
    <row r="570" spans="1:13" x14ac:dyDescent="0.25">
      <c r="A570" s="16" t="str">
        <f>HYPERLINK("http://amigo.geneontology.org/amigo/term/GO:1901419","GO:1901419")</f>
        <v>GO:1901419</v>
      </c>
      <c r="B570" t="s">
        <v>971</v>
      </c>
      <c r="C570">
        <v>39</v>
      </c>
      <c r="E570" s="1">
        <v>8.9239999999999996E-3</v>
      </c>
    </row>
    <row r="571" spans="1:13" x14ac:dyDescent="0.25">
      <c r="A571" s="16" t="str">
        <f>HYPERLINK("http://amigo.geneontology.org/amigo/term/GO:1905957","GO:1905957")</f>
        <v>GO:1905957</v>
      </c>
      <c r="B571" t="s">
        <v>972</v>
      </c>
      <c r="C571">
        <v>39</v>
      </c>
      <c r="E571" s="1">
        <v>8.9239999999999996E-3</v>
      </c>
    </row>
    <row r="572" spans="1:13" x14ac:dyDescent="0.25">
      <c r="A572" s="16" t="str">
        <f>HYPERLINK("http://amigo.geneontology.org/amigo/term/GO:0006593","GO:0006593")</f>
        <v>GO:0006593</v>
      </c>
      <c r="B572" t="s">
        <v>1084</v>
      </c>
      <c r="C572">
        <v>3</v>
      </c>
      <c r="F572" s="1">
        <v>9.2720000000000007E-3</v>
      </c>
    </row>
    <row r="573" spans="1:13" x14ac:dyDescent="0.25">
      <c r="A573" s="16" t="str">
        <f>HYPERLINK("http://amigo.geneontology.org/amigo/term/GO:0009413","GO:0009413")</f>
        <v>GO:0009413</v>
      </c>
      <c r="B573" t="s">
        <v>1085</v>
      </c>
      <c r="C573">
        <v>3</v>
      </c>
      <c r="F573" s="1">
        <v>9.2720000000000007E-3</v>
      </c>
    </row>
    <row r="574" spans="1:13" x14ac:dyDescent="0.25">
      <c r="A574" s="16" t="str">
        <f>HYPERLINK("http://amigo.geneontology.org/amigo/term/GO:0019544","GO:0019544")</f>
        <v>GO:0019544</v>
      </c>
      <c r="B574" t="s">
        <v>1086</v>
      </c>
      <c r="C574">
        <v>3</v>
      </c>
      <c r="F574" s="1">
        <v>9.2720000000000007E-3</v>
      </c>
    </row>
    <row r="575" spans="1:13" x14ac:dyDescent="0.25">
      <c r="A575" s="16" t="str">
        <f>HYPERLINK("http://amigo.geneontology.org/amigo/term/GO:0009739","GO:0009739")</f>
        <v>GO:0009739</v>
      </c>
      <c r="B575" t="s">
        <v>975</v>
      </c>
      <c r="C575">
        <v>40</v>
      </c>
      <c r="E575" s="1">
        <v>9.7540000000000005E-3</v>
      </c>
      <c r="L575" s="1">
        <v>3.372E-3</v>
      </c>
    </row>
    <row r="576" spans="1:13" x14ac:dyDescent="0.25">
      <c r="A576" s="16" t="s">
        <v>1265</v>
      </c>
      <c r="B576" t="s">
        <v>1266</v>
      </c>
      <c r="C576">
        <v>95</v>
      </c>
      <c r="G576">
        <v>0.01</v>
      </c>
      <c r="L576" s="1">
        <v>5.8190000000000004E-3</v>
      </c>
      <c r="M576">
        <v>0.03</v>
      </c>
    </row>
    <row r="577" spans="1:12" x14ac:dyDescent="0.25">
      <c r="A577" s="16" t="s">
        <v>1263</v>
      </c>
      <c r="B577" t="s">
        <v>1264</v>
      </c>
      <c r="C577">
        <v>34</v>
      </c>
      <c r="G577">
        <v>0.01</v>
      </c>
      <c r="L577">
        <v>0.03</v>
      </c>
    </row>
    <row r="578" spans="1:12" x14ac:dyDescent="0.25">
      <c r="A578" s="16" t="str">
        <f>HYPERLINK("http://amigo.geneontology.org/amigo/term/GO:0009448","GO:0009448")</f>
        <v>GO:0009448</v>
      </c>
      <c r="B578" t="s">
        <v>1093</v>
      </c>
      <c r="C578">
        <v>4</v>
      </c>
      <c r="F578">
        <v>0.01</v>
      </c>
      <c r="L578">
        <v>0.03</v>
      </c>
    </row>
    <row r="579" spans="1:12" x14ac:dyDescent="0.25">
      <c r="A579" s="16" t="str">
        <f>HYPERLINK("http://amigo.geneontology.org/amigo/term/GO:0006285","GO:0006285")</f>
        <v>GO:0006285</v>
      </c>
      <c r="B579" t="s">
        <v>1094</v>
      </c>
      <c r="C579">
        <v>4</v>
      </c>
      <c r="F579">
        <v>0.01</v>
      </c>
    </row>
    <row r="580" spans="1:12" x14ac:dyDescent="0.25">
      <c r="A580" s="16" t="s">
        <v>1261</v>
      </c>
      <c r="B580" t="s">
        <v>1262</v>
      </c>
      <c r="C580">
        <v>90</v>
      </c>
      <c r="G580">
        <v>0.01</v>
      </c>
    </row>
    <row r="581" spans="1:12" x14ac:dyDescent="0.25">
      <c r="A581" s="16" t="s">
        <v>1267</v>
      </c>
      <c r="B581" t="s">
        <v>1268</v>
      </c>
      <c r="C581">
        <v>177</v>
      </c>
      <c r="G581">
        <v>0.01</v>
      </c>
    </row>
    <row r="582" spans="1:12" x14ac:dyDescent="0.25">
      <c r="A582" s="16" t="s">
        <v>1269</v>
      </c>
      <c r="B582" t="s">
        <v>1270</v>
      </c>
      <c r="C582">
        <v>34</v>
      </c>
      <c r="G582">
        <v>0.01</v>
      </c>
    </row>
    <row r="583" spans="1:12" x14ac:dyDescent="0.25">
      <c r="A583" s="16" t="s">
        <v>1271</v>
      </c>
      <c r="B583" t="s">
        <v>1272</v>
      </c>
      <c r="C583">
        <v>34</v>
      </c>
      <c r="G583">
        <v>0.01</v>
      </c>
    </row>
    <row r="584" spans="1:12" x14ac:dyDescent="0.25">
      <c r="A584" s="16" t="str">
        <f>HYPERLINK("http://amigo.geneontology.org/amigo/term/GO:0010569","GO:0010569")</f>
        <v>GO:0010569</v>
      </c>
      <c r="B584" t="s">
        <v>447</v>
      </c>
      <c r="C584">
        <v>1</v>
      </c>
      <c r="D584">
        <v>0.01</v>
      </c>
    </row>
    <row r="585" spans="1:12" x14ac:dyDescent="0.25">
      <c r="A585" s="16" t="str">
        <f>HYPERLINK("http://amigo.geneontology.org/amigo/term/GO:0010731","GO:0010731")</f>
        <v>GO:0010731</v>
      </c>
      <c r="B585" t="s">
        <v>452</v>
      </c>
      <c r="C585">
        <v>1</v>
      </c>
      <c r="D585">
        <v>0.01</v>
      </c>
    </row>
    <row r="586" spans="1:12" x14ac:dyDescent="0.25">
      <c r="A586" s="16" t="str">
        <f>HYPERLINK("http://amigo.geneontology.org/amigo/term/GO:0019217","GO:0019217")</f>
        <v>GO:0019217</v>
      </c>
      <c r="B586" t="s">
        <v>983</v>
      </c>
      <c r="C586">
        <v>8</v>
      </c>
      <c r="E586">
        <v>0.01</v>
      </c>
    </row>
    <row r="587" spans="1:12" x14ac:dyDescent="0.25">
      <c r="A587" s="16" t="str">
        <f>HYPERLINK("http://amigo.geneontology.org/amigo/term/GO:0022414","GO:0022414")</f>
        <v>GO:0022414</v>
      </c>
      <c r="B587" t="s">
        <v>976</v>
      </c>
      <c r="C587">
        <v>1180</v>
      </c>
      <c r="E587">
        <v>0.01</v>
      </c>
    </row>
    <row r="588" spans="1:12" x14ac:dyDescent="0.25">
      <c r="A588" s="16" t="str">
        <f>HYPERLINK("http://amigo.geneontology.org/amigo/term/GO:0032446","GO:0032446")</f>
        <v>GO:0032446</v>
      </c>
      <c r="B588" t="s">
        <v>978</v>
      </c>
      <c r="C588">
        <v>723</v>
      </c>
      <c r="E588">
        <v>0.01</v>
      </c>
    </row>
    <row r="589" spans="1:12" x14ac:dyDescent="0.25">
      <c r="A589" s="16" t="str">
        <f>HYPERLINK("http://amigo.geneontology.org/amigo/term/GO:0042304","GO:0042304")</f>
        <v>GO:0042304</v>
      </c>
      <c r="B589" t="s">
        <v>984</v>
      </c>
      <c r="C589">
        <v>8</v>
      </c>
      <c r="E589">
        <v>0.01</v>
      </c>
    </row>
    <row r="590" spans="1:12" x14ac:dyDescent="0.25">
      <c r="A590" s="16" t="str">
        <f>HYPERLINK("http://amigo.geneontology.org/amigo/term/GO:0045738","GO:0045738")</f>
        <v>GO:0045738</v>
      </c>
      <c r="B590" t="s">
        <v>449</v>
      </c>
      <c r="C590">
        <v>1</v>
      </c>
      <c r="D590">
        <v>0.01</v>
      </c>
    </row>
    <row r="591" spans="1:12" x14ac:dyDescent="0.25">
      <c r="A591" s="16" t="str">
        <f>HYPERLINK("http://amigo.geneontology.org/amigo/term/GO:0045893","GO:0045893")</f>
        <v>GO:0045893</v>
      </c>
      <c r="B591" t="s">
        <v>1090</v>
      </c>
      <c r="C591">
        <v>432</v>
      </c>
      <c r="F591">
        <v>0.01</v>
      </c>
    </row>
    <row r="592" spans="1:12" x14ac:dyDescent="0.25">
      <c r="A592" s="16" t="str">
        <f>HYPERLINK("http://amigo.geneontology.org/amigo/term/GO:0046916","GO:0046916")</f>
        <v>GO:0046916</v>
      </c>
      <c r="B592" t="s">
        <v>435</v>
      </c>
      <c r="C592">
        <v>64</v>
      </c>
      <c r="D592">
        <v>0.01</v>
      </c>
    </row>
    <row r="593" spans="1:12" x14ac:dyDescent="0.25">
      <c r="A593" s="16" t="str">
        <f>HYPERLINK("http://amigo.geneontology.org/amigo/term/GO:0047484","GO:0047484")</f>
        <v>GO:0047484</v>
      </c>
      <c r="B593" t="s">
        <v>985</v>
      </c>
      <c r="C593">
        <v>44</v>
      </c>
      <c r="E593">
        <v>0.01</v>
      </c>
    </row>
    <row r="594" spans="1:12" x14ac:dyDescent="0.25">
      <c r="A594" s="16" t="str">
        <f>HYPERLINK("http://amigo.geneontology.org/amigo/term/GO:0090610","GO:0090610")</f>
        <v>GO:0090610</v>
      </c>
      <c r="B594" t="s">
        <v>432</v>
      </c>
      <c r="C594">
        <v>1</v>
      </c>
      <c r="D594">
        <v>0.01</v>
      </c>
    </row>
    <row r="595" spans="1:12" x14ac:dyDescent="0.25">
      <c r="A595" s="16" t="str">
        <f>HYPERLINK("http://amigo.geneontology.org/amigo/term/GO:0098657","GO:0098657")</f>
        <v>GO:0098657</v>
      </c>
      <c r="B595" t="s">
        <v>980</v>
      </c>
      <c r="C595">
        <v>9</v>
      </c>
      <c r="E595">
        <v>0.01</v>
      </c>
    </row>
    <row r="596" spans="1:12" x14ac:dyDescent="0.25">
      <c r="A596" s="16" t="str">
        <f>HYPERLINK("http://amigo.geneontology.org/amigo/term/GO:0098739","GO:0098739")</f>
        <v>GO:0098739</v>
      </c>
      <c r="B596" t="s">
        <v>981</v>
      </c>
      <c r="C596">
        <v>8</v>
      </c>
      <c r="E596">
        <v>0.01</v>
      </c>
    </row>
    <row r="597" spans="1:12" x14ac:dyDescent="0.25">
      <c r="A597" s="16" t="str">
        <f>HYPERLINK("http://amigo.geneontology.org/amigo/term/GO:1901000","GO:1901000")</f>
        <v>GO:1901000</v>
      </c>
      <c r="B597" t="s">
        <v>986</v>
      </c>
      <c r="C597">
        <v>43</v>
      </c>
      <c r="E597">
        <v>0.01</v>
      </c>
    </row>
    <row r="598" spans="1:12" x14ac:dyDescent="0.25">
      <c r="A598" s="16" t="str">
        <f>HYPERLINK("http://amigo.geneontology.org/amigo/term/GO:1902680","GO:1902680")</f>
        <v>GO:1902680</v>
      </c>
      <c r="B598" t="s">
        <v>1088</v>
      </c>
      <c r="C598">
        <v>432</v>
      </c>
      <c r="F598">
        <v>0.01</v>
      </c>
    </row>
    <row r="599" spans="1:12" x14ac:dyDescent="0.25">
      <c r="A599" s="16" t="str">
        <f>HYPERLINK("http://amigo.geneontology.org/amigo/term/GO:1903508","GO:1903508")</f>
        <v>GO:1903508</v>
      </c>
      <c r="B599" t="s">
        <v>1089</v>
      </c>
      <c r="C599">
        <v>432</v>
      </c>
      <c r="F599">
        <v>0.01</v>
      </c>
    </row>
    <row r="600" spans="1:12" x14ac:dyDescent="0.25">
      <c r="A600" s="16" t="str">
        <f>HYPERLINK("http://amigo.geneontology.org/amigo/term/GO:2000042","GO:2000042")</f>
        <v>GO:2000042</v>
      </c>
      <c r="B600" t="s">
        <v>451</v>
      </c>
      <c r="C600">
        <v>1</v>
      </c>
      <c r="D600">
        <v>0.01</v>
      </c>
    </row>
    <row r="601" spans="1:12" x14ac:dyDescent="0.25">
      <c r="A601" s="16" t="str">
        <f>HYPERLINK("http://amigo.geneontology.org/amigo/term/GO:2000779","GO:2000779")</f>
        <v>GO:2000779</v>
      </c>
      <c r="B601" t="s">
        <v>445</v>
      </c>
      <c r="C601">
        <v>1</v>
      </c>
      <c r="D601">
        <v>0.01</v>
      </c>
    </row>
    <row r="602" spans="1:12" x14ac:dyDescent="0.25">
      <c r="A602" s="16" t="str">
        <f>HYPERLINK("http://amigo.geneontology.org/amigo/term/GO:2000780","GO:2000780")</f>
        <v>GO:2000780</v>
      </c>
      <c r="B602" t="s">
        <v>450</v>
      </c>
      <c r="C602">
        <v>1</v>
      </c>
      <c r="D602">
        <v>0.01</v>
      </c>
    </row>
    <row r="603" spans="1:12" x14ac:dyDescent="0.25">
      <c r="A603" s="16" t="str">
        <f>HYPERLINK("http://amigo.geneontology.org/amigo/term/GO:2001021","GO:2001021")</f>
        <v>GO:2001021</v>
      </c>
      <c r="B603" t="s">
        <v>448</v>
      </c>
      <c r="C603">
        <v>1</v>
      </c>
      <c r="D603">
        <v>0.01</v>
      </c>
    </row>
    <row r="604" spans="1:12" x14ac:dyDescent="0.25">
      <c r="A604" s="16" t="str">
        <f>HYPERLINK("http://amigo.geneontology.org/amigo/term/GO:0071555","GO:0071555")</f>
        <v>GO:0071555</v>
      </c>
      <c r="B604" t="s">
        <v>474</v>
      </c>
      <c r="C604">
        <v>676</v>
      </c>
      <c r="D604">
        <v>0.02</v>
      </c>
      <c r="G604">
        <v>9.5219999999999996E-6</v>
      </c>
    </row>
    <row r="605" spans="1:12" x14ac:dyDescent="0.25">
      <c r="A605" s="16" t="str">
        <f>HYPERLINK("http://amigo.geneontology.org/amigo/term/GO:0045229","GO:0045229")</f>
        <v>GO:0045229</v>
      </c>
      <c r="B605" t="s">
        <v>471</v>
      </c>
      <c r="C605">
        <v>708</v>
      </c>
      <c r="D605">
        <v>0.02</v>
      </c>
      <c r="G605">
        <v>1.588E-5</v>
      </c>
    </row>
    <row r="606" spans="1:12" x14ac:dyDescent="0.25">
      <c r="A606" s="16" t="str">
        <f>HYPERLINK("http://amigo.geneontology.org/amigo/term/GO:0002213","GO:0002213")</f>
        <v>GO:0002213</v>
      </c>
      <c r="B606" t="s">
        <v>863</v>
      </c>
      <c r="C606">
        <v>8</v>
      </c>
      <c r="E606" s="1">
        <v>4.8010000000000001E-4</v>
      </c>
      <c r="F606">
        <v>0.02</v>
      </c>
    </row>
    <row r="607" spans="1:12" x14ac:dyDescent="0.25">
      <c r="A607" s="16" t="str">
        <f>HYPERLINK("http://amigo.geneontology.org/amigo/term/GO:0009699","GO:0009699")</f>
        <v>GO:0009699</v>
      </c>
      <c r="B607" t="s">
        <v>490</v>
      </c>
      <c r="C607">
        <v>66</v>
      </c>
      <c r="D607">
        <v>0.02</v>
      </c>
      <c r="E607">
        <v>0.01</v>
      </c>
      <c r="L607" s="1">
        <v>1.075E-5</v>
      </c>
    </row>
    <row r="608" spans="1:12" x14ac:dyDescent="0.25">
      <c r="A608" s="16" t="s">
        <v>1292</v>
      </c>
      <c r="B608" t="s">
        <v>1293</v>
      </c>
      <c r="C608">
        <v>48</v>
      </c>
      <c r="G608">
        <v>0.02</v>
      </c>
      <c r="L608" s="1">
        <v>5.6480000000000002E-3</v>
      </c>
    </row>
    <row r="609" spans="1:7" x14ac:dyDescent="0.25">
      <c r="A609" s="16" t="s">
        <v>1287</v>
      </c>
      <c r="B609" t="s">
        <v>1288</v>
      </c>
      <c r="C609">
        <v>38</v>
      </c>
      <c r="G609">
        <v>0.02</v>
      </c>
    </row>
    <row r="610" spans="1:7" x14ac:dyDescent="0.25">
      <c r="A610" s="16" t="s">
        <v>1289</v>
      </c>
      <c r="B610" t="s">
        <v>1290</v>
      </c>
      <c r="C610">
        <v>4</v>
      </c>
      <c r="G610">
        <v>0.02</v>
      </c>
    </row>
    <row r="611" spans="1:7" x14ac:dyDescent="0.25">
      <c r="A611" s="16" t="s">
        <v>1285</v>
      </c>
      <c r="B611" t="s">
        <v>1286</v>
      </c>
      <c r="C611">
        <v>38</v>
      </c>
      <c r="G611">
        <v>0.02</v>
      </c>
    </row>
    <row r="612" spans="1:7" x14ac:dyDescent="0.25">
      <c r="A612" s="16" t="str">
        <f>HYPERLINK("http://amigo.geneontology.org/amigo/term/GO:0006122","GO:0006122")</f>
        <v>GO:0006122</v>
      </c>
      <c r="B612" t="s">
        <v>460</v>
      </c>
      <c r="C612">
        <v>16</v>
      </c>
      <c r="D612">
        <v>0.02</v>
      </c>
    </row>
    <row r="613" spans="1:7" x14ac:dyDescent="0.25">
      <c r="A613" s="16" t="str">
        <f>HYPERLINK("http://amigo.geneontology.org/amigo/term/GO:0006207","GO:0006207")</f>
        <v>GO:0006207</v>
      </c>
      <c r="B613" t="s">
        <v>1002</v>
      </c>
      <c r="C613">
        <v>28</v>
      </c>
      <c r="E613">
        <v>0.02</v>
      </c>
    </row>
    <row r="614" spans="1:7" x14ac:dyDescent="0.25">
      <c r="A614" s="16" t="str">
        <f>HYPERLINK("http://amigo.geneontology.org/amigo/term/GO:0006768","GO:0006768")</f>
        <v>GO:0006768</v>
      </c>
      <c r="B614" t="s">
        <v>1103</v>
      </c>
      <c r="C614">
        <v>8</v>
      </c>
      <c r="F614">
        <v>0.02</v>
      </c>
    </row>
    <row r="615" spans="1:7" x14ac:dyDescent="0.25">
      <c r="A615" s="16" t="str">
        <f>HYPERLINK("http://amigo.geneontology.org/amigo/term/GO:0006848","GO:0006848")</f>
        <v>GO:0006848</v>
      </c>
      <c r="B615" t="s">
        <v>515</v>
      </c>
      <c r="C615">
        <v>16</v>
      </c>
      <c r="D615">
        <v>0.02</v>
      </c>
    </row>
    <row r="616" spans="1:7" x14ac:dyDescent="0.25">
      <c r="A616" s="16" t="str">
        <f>HYPERLINK("http://amigo.geneontology.org/amigo/term/GO:0006850","GO:0006850")</f>
        <v>GO:0006850</v>
      </c>
      <c r="B616" t="s">
        <v>518</v>
      </c>
      <c r="C616">
        <v>16</v>
      </c>
      <c r="D616">
        <v>0.02</v>
      </c>
    </row>
    <row r="617" spans="1:7" x14ac:dyDescent="0.25">
      <c r="A617" s="16" t="s">
        <v>1276</v>
      </c>
      <c r="B617" t="s">
        <v>1277</v>
      </c>
      <c r="C617">
        <v>42</v>
      </c>
      <c r="G617">
        <v>0.02</v>
      </c>
    </row>
    <row r="618" spans="1:7" x14ac:dyDescent="0.25">
      <c r="A618" s="16" t="str">
        <f>HYPERLINK("http://amigo.geneontology.org/amigo/term/GO:0007006","GO:0007006")</f>
        <v>GO:0007006</v>
      </c>
      <c r="B618" t="s">
        <v>493</v>
      </c>
      <c r="C618">
        <v>41</v>
      </c>
      <c r="D618">
        <v>0.02</v>
      </c>
    </row>
    <row r="619" spans="1:7" x14ac:dyDescent="0.25">
      <c r="A619" s="16" t="str">
        <f>HYPERLINK("http://amigo.geneontology.org/amigo/term/GO:0007007","GO:0007007")</f>
        <v>GO:0007007</v>
      </c>
      <c r="B619" t="s">
        <v>496</v>
      </c>
      <c r="C619">
        <v>37</v>
      </c>
      <c r="D619">
        <v>0.02</v>
      </c>
    </row>
    <row r="620" spans="1:7" x14ac:dyDescent="0.25">
      <c r="A620" s="16" t="str">
        <f>HYPERLINK("http://amigo.geneontology.org/amigo/term/GO:0009102","GO:0009102")</f>
        <v>GO:0009102</v>
      </c>
      <c r="B620" t="s">
        <v>1104</v>
      </c>
      <c r="C620">
        <v>8</v>
      </c>
      <c r="F620">
        <v>0.02</v>
      </c>
    </row>
    <row r="621" spans="1:7" x14ac:dyDescent="0.25">
      <c r="A621" s="16" t="str">
        <f>HYPERLINK("http://amigo.geneontology.org/amigo/term/GO:0009608","GO:0009608")</f>
        <v>GO:0009608</v>
      </c>
      <c r="B621" t="s">
        <v>997</v>
      </c>
      <c r="C621">
        <v>1</v>
      </c>
      <c r="E621">
        <v>0.02</v>
      </c>
    </row>
    <row r="622" spans="1:7" x14ac:dyDescent="0.25">
      <c r="A622" s="16" t="str">
        <f>HYPERLINK("http://amigo.geneontology.org/amigo/term/GO:0009610","GO:0009610")</f>
        <v>GO:0009610</v>
      </c>
      <c r="B622" t="s">
        <v>998</v>
      </c>
      <c r="C622">
        <v>1</v>
      </c>
      <c r="E622">
        <v>0.02</v>
      </c>
    </row>
    <row r="623" spans="1:7" x14ac:dyDescent="0.25">
      <c r="A623" s="16" t="str">
        <f>HYPERLINK("http://amigo.geneontology.org/amigo/term/GO:0009624","GO:0009624")</f>
        <v>GO:0009624</v>
      </c>
      <c r="B623" t="s">
        <v>989</v>
      </c>
      <c r="C623">
        <v>11</v>
      </c>
      <c r="E623">
        <v>0.02</v>
      </c>
    </row>
    <row r="624" spans="1:7" x14ac:dyDescent="0.25">
      <c r="A624" s="16" t="str">
        <f>HYPERLINK("http://amigo.geneontology.org/amigo/term/GO:0009694","GO:0009694")</f>
        <v>GO:0009694</v>
      </c>
      <c r="B624" t="s">
        <v>1018</v>
      </c>
      <c r="C624">
        <v>26</v>
      </c>
      <c r="E624">
        <v>0.02</v>
      </c>
    </row>
    <row r="625" spans="1:7" x14ac:dyDescent="0.25">
      <c r="A625" s="16" t="str">
        <f>HYPERLINK("http://amigo.geneontology.org/amigo/term/GO:0009825","GO:0009825")</f>
        <v>GO:0009825</v>
      </c>
      <c r="B625" t="s">
        <v>1003</v>
      </c>
      <c r="C625">
        <v>10</v>
      </c>
      <c r="E625">
        <v>0.02</v>
      </c>
    </row>
    <row r="626" spans="1:7" x14ac:dyDescent="0.25">
      <c r="A626" s="16" t="str">
        <f>HYPERLINK("http://amigo.geneontology.org/amigo/term/GO:0010364","GO:0010364")</f>
        <v>GO:0010364</v>
      </c>
      <c r="B626" t="s">
        <v>1013</v>
      </c>
      <c r="C626">
        <v>11</v>
      </c>
      <c r="E626">
        <v>0.02</v>
      </c>
    </row>
    <row r="627" spans="1:7" x14ac:dyDescent="0.25">
      <c r="A627" s="16" t="str">
        <f>HYPERLINK("http://amigo.geneontology.org/amigo/term/GO:0014066","GO:0014066")</f>
        <v>GO:0014066</v>
      </c>
      <c r="B627" t="s">
        <v>999</v>
      </c>
      <c r="C627">
        <v>1</v>
      </c>
      <c r="E627">
        <v>0.02</v>
      </c>
    </row>
    <row r="628" spans="1:7" x14ac:dyDescent="0.25">
      <c r="A628" s="16" t="str">
        <f>HYPERLINK("http://amigo.geneontology.org/amigo/term/GO:0014068","GO:0014068")</f>
        <v>GO:0014068</v>
      </c>
      <c r="B628" t="s">
        <v>1000</v>
      </c>
      <c r="C628">
        <v>1</v>
      </c>
      <c r="E628">
        <v>0.02</v>
      </c>
    </row>
    <row r="629" spans="1:7" x14ac:dyDescent="0.25">
      <c r="A629" s="16" t="s">
        <v>1283</v>
      </c>
      <c r="B629" t="s">
        <v>1284</v>
      </c>
      <c r="C629">
        <v>43</v>
      </c>
      <c r="G629">
        <v>0.02</v>
      </c>
    </row>
    <row r="630" spans="1:7" x14ac:dyDescent="0.25">
      <c r="A630" s="16" t="str">
        <f>HYPERLINK("http://amigo.geneontology.org/amigo/term/GO:0030026","GO:0030026")</f>
        <v>GO:0030026</v>
      </c>
      <c r="B630" t="s">
        <v>488</v>
      </c>
      <c r="C630">
        <v>43</v>
      </c>
      <c r="D630">
        <v>0.02</v>
      </c>
    </row>
    <row r="631" spans="1:7" x14ac:dyDescent="0.25">
      <c r="A631" s="16" t="str">
        <f>HYPERLINK("http://amigo.geneontology.org/amigo/term/GO:0031335","GO:0031335")</f>
        <v>GO:0031335</v>
      </c>
      <c r="B631" t="s">
        <v>1010</v>
      </c>
      <c r="C631">
        <v>11</v>
      </c>
      <c r="E631">
        <v>0.02</v>
      </c>
    </row>
    <row r="632" spans="1:7" x14ac:dyDescent="0.25">
      <c r="A632" s="16" t="str">
        <f>HYPERLINK("http://amigo.geneontology.org/amigo/term/GO:0042775","GO:0042775")</f>
        <v>GO:0042775</v>
      </c>
      <c r="B632" t="s">
        <v>457</v>
      </c>
      <c r="C632">
        <v>40</v>
      </c>
      <c r="D632">
        <v>0.02</v>
      </c>
    </row>
    <row r="633" spans="1:7" x14ac:dyDescent="0.25">
      <c r="A633" s="16" t="str">
        <f>HYPERLINK("http://amigo.geneontology.org/amigo/term/GO:0043090","GO:0043090")</f>
        <v>GO:0043090</v>
      </c>
      <c r="B633" t="s">
        <v>1015</v>
      </c>
      <c r="C633">
        <v>1</v>
      </c>
      <c r="E633">
        <v>0.02</v>
      </c>
    </row>
    <row r="634" spans="1:7" x14ac:dyDescent="0.25">
      <c r="A634" s="16" t="str">
        <f>HYPERLINK("http://amigo.geneontology.org/amigo/term/GO:0045039","GO:0045039")</f>
        <v>GO:0045039</v>
      </c>
      <c r="B634" t="s">
        <v>505</v>
      </c>
      <c r="C634">
        <v>36</v>
      </c>
      <c r="D634">
        <v>0.02</v>
      </c>
    </row>
    <row r="635" spans="1:7" x14ac:dyDescent="0.25">
      <c r="A635" s="16" t="str">
        <f>HYPERLINK("http://amigo.geneontology.org/amigo/term/GO:0051014","GO:0051014")</f>
        <v>GO:0051014</v>
      </c>
      <c r="B635" t="s">
        <v>1107</v>
      </c>
      <c r="C635">
        <v>7</v>
      </c>
      <c r="F635">
        <v>0.02</v>
      </c>
    </row>
    <row r="636" spans="1:7" x14ac:dyDescent="0.25">
      <c r="A636" s="16" t="str">
        <f>HYPERLINK("http://amigo.geneontology.org/amigo/term/GO:0051204","GO:0051204")</f>
        <v>GO:0051204</v>
      </c>
      <c r="B636" t="s">
        <v>504</v>
      </c>
      <c r="C636">
        <v>40</v>
      </c>
      <c r="D636">
        <v>0.02</v>
      </c>
    </row>
    <row r="637" spans="1:7" x14ac:dyDescent="0.25">
      <c r="A637" s="16" t="str">
        <f>HYPERLINK("http://amigo.geneontology.org/amigo/term/GO:0051646","GO:0051646")</f>
        <v>GO:0051646</v>
      </c>
      <c r="B637" t="s">
        <v>1108</v>
      </c>
      <c r="C637">
        <v>6</v>
      </c>
      <c r="F637">
        <v>0.02</v>
      </c>
    </row>
    <row r="638" spans="1:7" x14ac:dyDescent="0.25">
      <c r="A638" s="16" t="str">
        <f>HYPERLINK("http://amigo.geneontology.org/amigo/term/GO:0051938","GO:0051938")</f>
        <v>GO:0051938</v>
      </c>
      <c r="B638" t="s">
        <v>1016</v>
      </c>
      <c r="C638">
        <v>1</v>
      </c>
      <c r="E638">
        <v>0.02</v>
      </c>
    </row>
    <row r="639" spans="1:7" x14ac:dyDescent="0.25">
      <c r="A639" s="16" t="str">
        <f>HYPERLINK("http://amigo.geneontology.org/amigo/term/GO:0052863","GO:0052863")</f>
        <v>GO:0052863</v>
      </c>
      <c r="B639" t="s">
        <v>1007</v>
      </c>
      <c r="C639">
        <v>1</v>
      </c>
      <c r="E639">
        <v>0.02</v>
      </c>
    </row>
    <row r="640" spans="1:7" x14ac:dyDescent="0.25">
      <c r="A640" s="16" t="str">
        <f>HYPERLINK("http://amigo.geneontology.org/amigo/term/GO:0052865","GO:0052865")</f>
        <v>GO:0052865</v>
      </c>
      <c r="B640" t="s">
        <v>1008</v>
      </c>
      <c r="C640">
        <v>1</v>
      </c>
      <c r="E640">
        <v>0.02</v>
      </c>
    </row>
    <row r="641" spans="1:12" x14ac:dyDescent="0.25">
      <c r="A641" s="16" t="str">
        <f>HYPERLINK("http://amigo.geneontology.org/amigo/term/GO:0055071","GO:0055071")</f>
        <v>GO:0055071</v>
      </c>
      <c r="B641" t="s">
        <v>485</v>
      </c>
      <c r="C641">
        <v>43</v>
      </c>
      <c r="D641">
        <v>0.02</v>
      </c>
    </row>
    <row r="642" spans="1:12" x14ac:dyDescent="0.25">
      <c r="A642" s="16" t="str">
        <f>HYPERLINK("http://amigo.geneontology.org/amigo/term/GO:0060964","GO:0060964")</f>
        <v>GO:0060964</v>
      </c>
      <c r="B642" t="s">
        <v>1019</v>
      </c>
      <c r="C642">
        <v>1</v>
      </c>
      <c r="E642">
        <v>0.02</v>
      </c>
    </row>
    <row r="643" spans="1:12" x14ac:dyDescent="0.25">
      <c r="A643" s="16" t="str">
        <f>HYPERLINK("http://amigo.geneontology.org/amigo/term/GO:0080186","GO:0080186")</f>
        <v>GO:0080186</v>
      </c>
      <c r="B643" t="s">
        <v>1021</v>
      </c>
      <c r="C643">
        <v>10</v>
      </c>
      <c r="E643">
        <v>0.02</v>
      </c>
    </row>
    <row r="644" spans="1:12" x14ac:dyDescent="0.25">
      <c r="A644" s="16" t="str">
        <f>HYPERLINK("http://amigo.geneontology.org/amigo/term/GO:0090151","GO:0090151")</f>
        <v>GO:0090151</v>
      </c>
      <c r="B644" t="s">
        <v>503</v>
      </c>
      <c r="C644">
        <v>40</v>
      </c>
      <c r="D644">
        <v>0.02</v>
      </c>
    </row>
    <row r="645" spans="1:12" x14ac:dyDescent="0.25">
      <c r="A645" s="16" t="str">
        <f>HYPERLINK("http://amigo.geneontology.org/amigo/term/GO:1900908","GO:1900908")</f>
        <v>GO:1900908</v>
      </c>
      <c r="B645" t="s">
        <v>1011</v>
      </c>
      <c r="C645">
        <v>11</v>
      </c>
      <c r="E645">
        <v>0.02</v>
      </c>
    </row>
    <row r="646" spans="1:12" x14ac:dyDescent="0.25">
      <c r="A646" s="16" t="str">
        <f>HYPERLINK("http://amigo.geneontology.org/amigo/term/GO:1900911","GO:1900911")</f>
        <v>GO:1900911</v>
      </c>
      <c r="B646" t="s">
        <v>1012</v>
      </c>
      <c r="C646">
        <v>11</v>
      </c>
      <c r="E646">
        <v>0.02</v>
      </c>
    </row>
    <row r="647" spans="1:12" x14ac:dyDescent="0.25">
      <c r="A647" s="16" t="str">
        <f>HYPERLINK("http://amigo.geneontology.org/amigo/term/GO:1901475","GO:1901475")</f>
        <v>GO:1901475</v>
      </c>
      <c r="B647" t="s">
        <v>517</v>
      </c>
      <c r="C647">
        <v>16</v>
      </c>
      <c r="D647">
        <v>0.02</v>
      </c>
    </row>
    <row r="648" spans="1:12" x14ac:dyDescent="0.25">
      <c r="A648" s="16" t="str">
        <f>HYPERLINK("http://amigo.geneontology.org/amigo/term/GO:1903705","GO:1903705")</f>
        <v>GO:1903705</v>
      </c>
      <c r="B648" t="s">
        <v>1020</v>
      </c>
      <c r="C648">
        <v>1</v>
      </c>
      <c r="E648">
        <v>0.02</v>
      </c>
    </row>
    <row r="649" spans="1:12" x14ac:dyDescent="0.25">
      <c r="A649" s="16" t="s">
        <v>1278</v>
      </c>
      <c r="B649" t="s">
        <v>1279</v>
      </c>
      <c r="C649">
        <v>38</v>
      </c>
      <c r="G649">
        <v>0.02</v>
      </c>
    </row>
    <row r="650" spans="1:12" x14ac:dyDescent="0.25">
      <c r="A650" s="16" t="s">
        <v>1280</v>
      </c>
      <c r="B650" t="s">
        <v>1281</v>
      </c>
      <c r="C650">
        <v>38</v>
      </c>
      <c r="G650">
        <v>0.02</v>
      </c>
    </row>
    <row r="651" spans="1:12" x14ac:dyDescent="0.25">
      <c r="A651" s="16" t="str">
        <f>HYPERLINK("http://amigo.geneontology.org/amigo/term/GO:0006952","GO:0006952")</f>
        <v>GO:0006952</v>
      </c>
      <c r="B651" t="s">
        <v>619</v>
      </c>
      <c r="C651">
        <v>729</v>
      </c>
      <c r="D651">
        <v>0.04</v>
      </c>
      <c r="E651" s="1">
        <v>9.789E-4</v>
      </c>
      <c r="L651" s="1">
        <v>9.6160000000000003E-7</v>
      </c>
    </row>
    <row r="652" spans="1:12" x14ac:dyDescent="0.25">
      <c r="A652" s="16" t="str">
        <f>HYPERLINK("http://amigo.geneontology.org/amigo/term/GO:0016042","GO:0016042")</f>
        <v>GO:0016042</v>
      </c>
      <c r="B652" t="s">
        <v>916</v>
      </c>
      <c r="C652">
        <v>239</v>
      </c>
      <c r="E652" s="1">
        <v>1.8190000000000001E-3</v>
      </c>
      <c r="F652">
        <v>0.04</v>
      </c>
    </row>
    <row r="653" spans="1:12" x14ac:dyDescent="0.25">
      <c r="A653" s="16" t="str">
        <f>HYPERLINK("http://amigo.geneontology.org/amigo/term/GO:0006658","GO:0006658")</f>
        <v>GO:0006658</v>
      </c>
      <c r="B653" t="s">
        <v>1105</v>
      </c>
      <c r="C653">
        <v>6</v>
      </c>
      <c r="F653">
        <v>0.02</v>
      </c>
      <c r="G653">
        <v>0.03</v>
      </c>
      <c r="L653">
        <v>0.04</v>
      </c>
    </row>
    <row r="654" spans="1:12" x14ac:dyDescent="0.25">
      <c r="A654" s="16" t="str">
        <f>HYPERLINK("http://amigo.geneontology.org/amigo/term/GO:0006659","GO:0006659")</f>
        <v>GO:0006659</v>
      </c>
      <c r="B654" t="s">
        <v>1106</v>
      </c>
      <c r="C654">
        <v>6</v>
      </c>
      <c r="F654">
        <v>0.02</v>
      </c>
      <c r="G654">
        <v>0.03</v>
      </c>
      <c r="L654">
        <v>0.04</v>
      </c>
    </row>
    <row r="655" spans="1:12" x14ac:dyDescent="0.25">
      <c r="A655" s="16" t="str">
        <f>HYPERLINK("http://amigo.geneontology.org/amigo/term/GO:0044550","GO:0044550")</f>
        <v>GO:0044550</v>
      </c>
      <c r="B655" t="s">
        <v>709</v>
      </c>
      <c r="C655">
        <v>94</v>
      </c>
      <c r="D655">
        <v>0.05</v>
      </c>
      <c r="E655" s="1">
        <v>1.685E-4</v>
      </c>
      <c r="L655" s="1">
        <v>8.0690000000000002E-5</v>
      </c>
    </row>
    <row r="656" spans="1:12" x14ac:dyDescent="0.25">
      <c r="A656" s="16" t="str">
        <f>HYPERLINK("http://amigo.geneontology.org/amigo/term/GO:0055129","GO:0055129")</f>
        <v>GO:0055129</v>
      </c>
      <c r="B656" t="s">
        <v>1112</v>
      </c>
      <c r="C656">
        <v>11</v>
      </c>
      <c r="F656">
        <v>0.03</v>
      </c>
      <c r="L656" s="1">
        <v>2.9520000000000002E-3</v>
      </c>
    </row>
    <row r="657" spans="1:12" x14ac:dyDescent="0.25">
      <c r="A657" s="16" t="str">
        <f>HYPERLINK("http://amigo.geneontology.org/amigo/term/GO:0052575","GO:0052575")</f>
        <v>GO:0052575</v>
      </c>
      <c r="B657" t="s">
        <v>569</v>
      </c>
      <c r="C657">
        <v>2</v>
      </c>
      <c r="D657">
        <v>0.03</v>
      </c>
      <c r="L657">
        <v>0.01</v>
      </c>
    </row>
    <row r="658" spans="1:12" x14ac:dyDescent="0.25">
      <c r="A658" s="16" t="str">
        <f>HYPERLINK("http://amigo.geneontology.org/amigo/term/GO:0052576","GO:0052576")</f>
        <v>GO:0052576</v>
      </c>
      <c r="B658" t="s">
        <v>571</v>
      </c>
      <c r="C658">
        <v>2</v>
      </c>
      <c r="D658">
        <v>0.03</v>
      </c>
      <c r="L658">
        <v>0.01</v>
      </c>
    </row>
    <row r="659" spans="1:12" x14ac:dyDescent="0.25">
      <c r="A659" s="16" t="str">
        <f>HYPERLINK("http://amigo.geneontology.org/amigo/term/GO:0000038","GO:0000038")</f>
        <v>GO:0000038</v>
      </c>
      <c r="B659" t="s">
        <v>1113</v>
      </c>
      <c r="C659">
        <v>10</v>
      </c>
      <c r="F659">
        <v>0.03</v>
      </c>
    </row>
    <row r="660" spans="1:12" x14ac:dyDescent="0.25">
      <c r="A660" s="16" t="str">
        <f>HYPERLINK("http://amigo.geneontology.org/amigo/term/GO:0006265","GO:0006265")</f>
        <v>GO:0006265</v>
      </c>
      <c r="B660" t="s">
        <v>577</v>
      </c>
      <c r="C660">
        <v>45</v>
      </c>
      <c r="D660">
        <v>0.03</v>
      </c>
    </row>
    <row r="661" spans="1:12" x14ac:dyDescent="0.25">
      <c r="A661" s="16" t="str">
        <f>HYPERLINK("http://amigo.geneontology.org/amigo/term/GO:0006625","GO:0006625")</f>
        <v>GO:0006625</v>
      </c>
      <c r="B661" t="s">
        <v>1028</v>
      </c>
      <c r="C661">
        <v>34</v>
      </c>
      <c r="E661">
        <v>0.03</v>
      </c>
    </row>
    <row r="662" spans="1:12" x14ac:dyDescent="0.25">
      <c r="A662" s="16" t="str">
        <f>HYPERLINK("http://amigo.geneontology.org/amigo/term/GO:0009229","GO:0009229")</f>
        <v>GO:0009229</v>
      </c>
      <c r="B662" t="s">
        <v>1111</v>
      </c>
      <c r="C662">
        <v>10</v>
      </c>
      <c r="F662">
        <v>0.03</v>
      </c>
    </row>
    <row r="663" spans="1:12" x14ac:dyDescent="0.25">
      <c r="A663" s="16" t="str">
        <f>HYPERLINK("http://amigo.geneontology.org/amigo/term/GO:0009809","GO:0009809")</f>
        <v>GO:0009809</v>
      </c>
      <c r="B663" t="s">
        <v>579</v>
      </c>
      <c r="C663">
        <v>18</v>
      </c>
      <c r="D663">
        <v>0.03</v>
      </c>
    </row>
    <row r="664" spans="1:12" x14ac:dyDescent="0.25">
      <c r="A664" s="16" t="str">
        <f>HYPERLINK("http://amigo.geneontology.org/amigo/term/GO:0009864","GO:0009864")</f>
        <v>GO:0009864</v>
      </c>
      <c r="B664" t="s">
        <v>1033</v>
      </c>
      <c r="C664">
        <v>12</v>
      </c>
      <c r="E664">
        <v>0.03</v>
      </c>
    </row>
    <row r="665" spans="1:12" x14ac:dyDescent="0.25">
      <c r="A665" s="16" t="str">
        <f>HYPERLINK("http://amigo.geneontology.org/amigo/term/GO:0009866","GO:0009866")</f>
        <v>GO:0009866</v>
      </c>
      <c r="B665" t="s">
        <v>575</v>
      </c>
      <c r="C665">
        <v>2</v>
      </c>
      <c r="D665">
        <v>0.03</v>
      </c>
    </row>
    <row r="666" spans="1:12" x14ac:dyDescent="0.25">
      <c r="A666" s="16" t="s">
        <v>1299</v>
      </c>
      <c r="B666" t="s">
        <v>1300</v>
      </c>
      <c r="C666">
        <v>7</v>
      </c>
      <c r="G666">
        <v>0.03</v>
      </c>
    </row>
    <row r="667" spans="1:12" x14ac:dyDescent="0.25">
      <c r="A667" s="16" t="str">
        <f>HYPERLINK("http://amigo.geneontology.org/amigo/term/GO:0018063","GO:0018063")</f>
        <v>GO:0018063</v>
      </c>
      <c r="B667" t="s">
        <v>551</v>
      </c>
      <c r="C667">
        <v>2</v>
      </c>
      <c r="D667">
        <v>0.03</v>
      </c>
    </row>
    <row r="668" spans="1:12" x14ac:dyDescent="0.25">
      <c r="A668" s="16" t="str">
        <f>HYPERLINK("http://amigo.geneontology.org/amigo/term/GO:0019646","GO:0019646")</f>
        <v>GO:0019646</v>
      </c>
      <c r="B668" t="s">
        <v>533</v>
      </c>
      <c r="C668">
        <v>45</v>
      </c>
      <c r="D668">
        <v>0.03</v>
      </c>
    </row>
    <row r="669" spans="1:12" x14ac:dyDescent="0.25">
      <c r="A669" s="16" t="str">
        <f>HYPERLINK("http://amigo.geneontology.org/amigo/term/GO:0019856","GO:0019856")</f>
        <v>GO:0019856</v>
      </c>
      <c r="B669" t="s">
        <v>1023</v>
      </c>
      <c r="C669">
        <v>33</v>
      </c>
      <c r="E669">
        <v>0.03</v>
      </c>
    </row>
    <row r="670" spans="1:12" x14ac:dyDescent="0.25">
      <c r="A670" s="16" t="str">
        <f>HYPERLINK("http://amigo.geneontology.org/amigo/term/GO:0031110","GO:0031110")</f>
        <v>GO:0031110</v>
      </c>
      <c r="B670" t="s">
        <v>586</v>
      </c>
      <c r="C670">
        <v>2</v>
      </c>
      <c r="D670">
        <v>0.03</v>
      </c>
    </row>
    <row r="671" spans="1:12" x14ac:dyDescent="0.25">
      <c r="A671" s="16" t="str">
        <f>HYPERLINK("http://amigo.geneontology.org/amigo/term/GO:0031112","GO:0031112")</f>
        <v>GO:0031112</v>
      </c>
      <c r="B671" t="s">
        <v>588</v>
      </c>
      <c r="C671">
        <v>2</v>
      </c>
      <c r="D671">
        <v>0.03</v>
      </c>
    </row>
    <row r="672" spans="1:12" x14ac:dyDescent="0.25">
      <c r="A672" s="16" t="str">
        <f>HYPERLINK("http://amigo.geneontology.org/amigo/term/GO:0031113","GO:0031113")</f>
        <v>GO:0031113</v>
      </c>
      <c r="B672" t="s">
        <v>589</v>
      </c>
      <c r="C672">
        <v>2</v>
      </c>
      <c r="D672">
        <v>0.03</v>
      </c>
    </row>
    <row r="673" spans="1:7" x14ac:dyDescent="0.25">
      <c r="A673" s="16" t="str">
        <f>HYPERLINK("http://amigo.geneontology.org/amigo/term/GO:0031116","GO:0031116")</f>
        <v>GO:0031116</v>
      </c>
      <c r="B673" t="s">
        <v>591</v>
      </c>
      <c r="C673">
        <v>2</v>
      </c>
      <c r="D673">
        <v>0.03</v>
      </c>
    </row>
    <row r="674" spans="1:7" x14ac:dyDescent="0.25">
      <c r="A674" s="16" t="str">
        <f>HYPERLINK("http://amigo.geneontology.org/amigo/term/GO:0032273","GO:0032273")</f>
        <v>GO:0032273</v>
      </c>
      <c r="B674" t="s">
        <v>590</v>
      </c>
      <c r="C674">
        <v>2</v>
      </c>
      <c r="D674">
        <v>0.03</v>
      </c>
    </row>
    <row r="675" spans="1:7" x14ac:dyDescent="0.25">
      <c r="A675" s="16" t="str">
        <f>HYPERLINK("http://amigo.geneontology.org/amigo/term/GO:0032468","GO:0032468")</f>
        <v>GO:0032468</v>
      </c>
      <c r="B675" t="s">
        <v>572</v>
      </c>
      <c r="C675">
        <v>2</v>
      </c>
      <c r="D675">
        <v>0.03</v>
      </c>
    </row>
    <row r="676" spans="1:7" x14ac:dyDescent="0.25">
      <c r="A676" s="16" t="str">
        <f>HYPERLINK("http://amigo.geneontology.org/amigo/term/GO:0032472","GO:0032472")</f>
        <v>GO:0032472</v>
      </c>
      <c r="B676" t="s">
        <v>574</v>
      </c>
      <c r="C676">
        <v>2</v>
      </c>
      <c r="D676">
        <v>0.03</v>
      </c>
    </row>
    <row r="677" spans="1:7" x14ac:dyDescent="0.25">
      <c r="A677" s="16" t="str">
        <f>HYPERLINK("http://amigo.geneontology.org/amigo/term/GO:0032957","GO:0032957")</f>
        <v>GO:0032957</v>
      </c>
      <c r="B677" t="s">
        <v>541</v>
      </c>
      <c r="C677">
        <v>18</v>
      </c>
      <c r="D677">
        <v>0.03</v>
      </c>
    </row>
    <row r="678" spans="1:7" x14ac:dyDescent="0.25">
      <c r="A678" s="16" t="str">
        <f>HYPERLINK("http://amigo.geneontology.org/amigo/term/GO:0033389","GO:0033389")</f>
        <v>GO:0033389</v>
      </c>
      <c r="B678" t="s">
        <v>564</v>
      </c>
      <c r="C678">
        <v>2</v>
      </c>
      <c r="D678">
        <v>0.03</v>
      </c>
    </row>
    <row r="679" spans="1:7" x14ac:dyDescent="0.25">
      <c r="A679" s="16" t="str">
        <f>HYPERLINK("http://amigo.geneontology.org/amigo/term/GO:0035434","GO:0035434")</f>
        <v>GO:0035434</v>
      </c>
      <c r="B679" t="s">
        <v>1024</v>
      </c>
      <c r="C679">
        <v>13</v>
      </c>
      <c r="E679">
        <v>0.03</v>
      </c>
    </row>
    <row r="680" spans="1:7" x14ac:dyDescent="0.25">
      <c r="A680" s="16" t="str">
        <f>HYPERLINK("http://amigo.geneontology.org/amigo/term/GO:0035670","GO:0035670")</f>
        <v>GO:0035670</v>
      </c>
      <c r="B680" t="s">
        <v>1031</v>
      </c>
      <c r="C680">
        <v>31</v>
      </c>
      <c r="E680">
        <v>0.03</v>
      </c>
    </row>
    <row r="681" spans="1:7" x14ac:dyDescent="0.25">
      <c r="A681" s="16" t="str">
        <f>HYPERLINK("http://amigo.geneontology.org/amigo/term/GO:0042357","GO:0042357")</f>
        <v>GO:0042357</v>
      </c>
      <c r="B681" t="s">
        <v>1110</v>
      </c>
      <c r="C681">
        <v>10</v>
      </c>
      <c r="F681">
        <v>0.03</v>
      </c>
    </row>
    <row r="682" spans="1:7" x14ac:dyDescent="0.25">
      <c r="A682" s="16" t="str">
        <f>HYPERLINK("http://amigo.geneontology.org/amigo/term/GO:0042543","GO:0042543")</f>
        <v>GO:0042543</v>
      </c>
      <c r="B682" t="s">
        <v>560</v>
      </c>
      <c r="C682">
        <v>2</v>
      </c>
      <c r="D682">
        <v>0.03</v>
      </c>
    </row>
    <row r="683" spans="1:7" x14ac:dyDescent="0.25">
      <c r="A683" s="16" t="str">
        <f>HYPERLINK("http://amigo.geneontology.org/amigo/term/GO:0043007","GO:0043007")</f>
        <v>GO:0043007</v>
      </c>
      <c r="B683" t="s">
        <v>585</v>
      </c>
      <c r="C683">
        <v>2</v>
      </c>
      <c r="D683">
        <v>0.03</v>
      </c>
    </row>
    <row r="684" spans="1:7" x14ac:dyDescent="0.25">
      <c r="A684" s="16" t="str">
        <f>HYPERLINK("http://amigo.geneontology.org/amigo/term/GO:0043647","GO:0043647")</f>
        <v>GO:0043647</v>
      </c>
      <c r="B684" t="s">
        <v>538</v>
      </c>
      <c r="C684">
        <v>47</v>
      </c>
      <c r="D684">
        <v>0.03</v>
      </c>
    </row>
    <row r="685" spans="1:7" x14ac:dyDescent="0.25">
      <c r="A685" s="16" t="s">
        <v>1304</v>
      </c>
      <c r="B685" t="s">
        <v>1305</v>
      </c>
      <c r="C685">
        <v>6</v>
      </c>
      <c r="G685">
        <v>0.03</v>
      </c>
    </row>
    <row r="686" spans="1:7" x14ac:dyDescent="0.25">
      <c r="A686" s="16" t="s">
        <v>1302</v>
      </c>
      <c r="B686" t="s">
        <v>1303</v>
      </c>
      <c r="C686">
        <v>6</v>
      </c>
      <c r="G686">
        <v>0.03</v>
      </c>
    </row>
    <row r="687" spans="1:7" x14ac:dyDescent="0.25">
      <c r="A687" s="16" t="str">
        <f>HYPERLINK("http://amigo.geneontology.org/amigo/term/GO:0048481","GO:0048481")</f>
        <v>GO:0048481</v>
      </c>
      <c r="B687" t="s">
        <v>1032</v>
      </c>
      <c r="C687">
        <v>31</v>
      </c>
      <c r="E687">
        <v>0.03</v>
      </c>
    </row>
    <row r="688" spans="1:7" x14ac:dyDescent="0.25">
      <c r="A688" s="16" t="s">
        <v>1297</v>
      </c>
      <c r="B688" t="s">
        <v>1298</v>
      </c>
      <c r="C688">
        <v>7</v>
      </c>
      <c r="G688">
        <v>0.03</v>
      </c>
    </row>
    <row r="689" spans="1:12" x14ac:dyDescent="0.25">
      <c r="A689" s="16" t="str">
        <f>HYPERLINK("http://amigo.geneontology.org/amigo/term/GO:0051205","GO:0051205")</f>
        <v>GO:0051205</v>
      </c>
      <c r="B689" t="s">
        <v>583</v>
      </c>
      <c r="C689">
        <v>49</v>
      </c>
      <c r="D689">
        <v>0.03</v>
      </c>
    </row>
    <row r="690" spans="1:12" x14ac:dyDescent="0.25">
      <c r="A690" s="16" t="str">
        <f>HYPERLINK("http://amigo.geneontology.org/amigo/term/GO:0072662","GO:0072662")</f>
        <v>GO:0072662</v>
      </c>
      <c r="B690" t="s">
        <v>1026</v>
      </c>
      <c r="C690">
        <v>34</v>
      </c>
      <c r="E690">
        <v>0.03</v>
      </c>
    </row>
    <row r="691" spans="1:12" x14ac:dyDescent="0.25">
      <c r="A691" s="16" t="str">
        <f>HYPERLINK("http://amigo.geneontology.org/amigo/term/GO:0072663","GO:0072663")</f>
        <v>GO:0072663</v>
      </c>
      <c r="B691" t="s">
        <v>1027</v>
      </c>
      <c r="C691">
        <v>34</v>
      </c>
      <c r="E691">
        <v>0.03</v>
      </c>
    </row>
    <row r="692" spans="1:12" x14ac:dyDescent="0.25">
      <c r="A692" s="16" t="str">
        <f>HYPERLINK("http://amigo.geneontology.org/amigo/term/GO:0097428","GO:0097428")</f>
        <v>GO:0097428</v>
      </c>
      <c r="B692" t="s">
        <v>592</v>
      </c>
      <c r="C692">
        <v>19</v>
      </c>
      <c r="D692">
        <v>0.03</v>
      </c>
    </row>
    <row r="693" spans="1:12" x14ac:dyDescent="0.25">
      <c r="A693" s="16" t="str">
        <f>HYPERLINK("http://amigo.geneontology.org/amigo/term/GO:1902903","GO:1902903")</f>
        <v>GO:1902903</v>
      </c>
      <c r="B693" t="s">
        <v>566</v>
      </c>
      <c r="C693">
        <v>46</v>
      </c>
      <c r="D693">
        <v>0.03</v>
      </c>
    </row>
    <row r="694" spans="1:12" x14ac:dyDescent="0.25">
      <c r="A694" s="16" t="str">
        <f>HYPERLINK("http://amigo.geneontology.org/amigo/term/GO:0015780","GO:0015780")</f>
        <v>GO:0015780</v>
      </c>
      <c r="B694" t="s">
        <v>1064</v>
      </c>
      <c r="C694">
        <v>38</v>
      </c>
      <c r="E694">
        <v>0.05</v>
      </c>
      <c r="G694">
        <v>0.02</v>
      </c>
    </row>
    <row r="695" spans="1:12" x14ac:dyDescent="0.25">
      <c r="A695" s="16" t="str">
        <f>HYPERLINK("http://amigo.geneontology.org/amigo/term/GO:0009450","GO:0009450")</f>
        <v>GO:0009450</v>
      </c>
      <c r="B695" t="s">
        <v>680</v>
      </c>
      <c r="C695">
        <v>3</v>
      </c>
      <c r="D695">
        <v>0.04</v>
      </c>
      <c r="L695">
        <v>0.02</v>
      </c>
    </row>
    <row r="696" spans="1:12" x14ac:dyDescent="0.25">
      <c r="A696" s="16" t="str">
        <f>HYPERLINK("http://amigo.geneontology.org/amigo/term/GO:0000024","GO:0000024")</f>
        <v>GO:0000024</v>
      </c>
      <c r="B696" t="s">
        <v>627</v>
      </c>
      <c r="C696">
        <v>3</v>
      </c>
      <c r="D696">
        <v>0.04</v>
      </c>
    </row>
    <row r="697" spans="1:12" x14ac:dyDescent="0.25">
      <c r="A697" s="16" t="str">
        <f>HYPERLINK("http://amigo.geneontology.org/amigo/term/GO:0002832","GO:0002832")</f>
        <v>GO:0002832</v>
      </c>
      <c r="B697" t="s">
        <v>1056</v>
      </c>
      <c r="C697">
        <v>15</v>
      </c>
      <c r="E697">
        <v>0.04</v>
      </c>
    </row>
    <row r="698" spans="1:12" x14ac:dyDescent="0.25">
      <c r="A698" s="16" t="str">
        <f>HYPERLINK("http://amigo.geneontology.org/amigo/term/GO:0006206","GO:0006206")</f>
        <v>GO:0006206</v>
      </c>
      <c r="B698" t="s">
        <v>1038</v>
      </c>
      <c r="C698">
        <v>36</v>
      </c>
      <c r="E698">
        <v>0.04</v>
      </c>
    </row>
    <row r="699" spans="1:12" x14ac:dyDescent="0.25">
      <c r="A699" s="16" t="str">
        <f>HYPERLINK("http://amigo.geneontology.org/amigo/term/GO:0006213","GO:0006213")</f>
        <v>GO:0006213</v>
      </c>
      <c r="B699" t="s">
        <v>663</v>
      </c>
      <c r="C699">
        <v>3</v>
      </c>
      <c r="D699">
        <v>0.04</v>
      </c>
    </row>
    <row r="700" spans="1:12" x14ac:dyDescent="0.25">
      <c r="A700" s="16" t="str">
        <f>HYPERLINK("http://amigo.geneontology.org/amigo/term/GO:0006216","GO:0006216")</f>
        <v>GO:0006216</v>
      </c>
      <c r="B700" t="s">
        <v>669</v>
      </c>
      <c r="C700">
        <v>3</v>
      </c>
      <c r="D700">
        <v>0.04</v>
      </c>
    </row>
    <row r="701" spans="1:12" x14ac:dyDescent="0.25">
      <c r="A701" s="16" t="str">
        <f>HYPERLINK("http://amigo.geneontology.org/amigo/term/GO:0006225","GO:0006225")</f>
        <v>GO:0006225</v>
      </c>
      <c r="B701" t="s">
        <v>1044</v>
      </c>
      <c r="C701">
        <v>2</v>
      </c>
      <c r="E701">
        <v>0.04</v>
      </c>
    </row>
    <row r="702" spans="1:12" x14ac:dyDescent="0.25">
      <c r="A702" s="16" t="str">
        <f>HYPERLINK("http://amigo.geneontology.org/amigo/term/GO:0006233","GO:0006233")</f>
        <v>GO:0006233</v>
      </c>
      <c r="B702" t="s">
        <v>643</v>
      </c>
      <c r="C702">
        <v>3</v>
      </c>
      <c r="D702">
        <v>0.04</v>
      </c>
    </row>
    <row r="703" spans="1:12" x14ac:dyDescent="0.25">
      <c r="A703" s="16" t="str">
        <f>HYPERLINK("http://amigo.geneontology.org/amigo/term/GO:0006458","GO:0006458")</f>
        <v>GO:0006458</v>
      </c>
      <c r="B703" t="s">
        <v>649</v>
      </c>
      <c r="C703">
        <v>22</v>
      </c>
      <c r="D703">
        <v>0.04</v>
      </c>
    </row>
    <row r="704" spans="1:12" x14ac:dyDescent="0.25">
      <c r="A704" s="16" t="str">
        <f>HYPERLINK("http://amigo.geneontology.org/amigo/term/GO:0006680","GO:0006680")</f>
        <v>GO:0006680</v>
      </c>
      <c r="B704" t="s">
        <v>1052</v>
      </c>
      <c r="C704">
        <v>16</v>
      </c>
      <c r="E704">
        <v>0.04</v>
      </c>
    </row>
    <row r="705" spans="1:6" x14ac:dyDescent="0.25">
      <c r="A705" s="16" t="str">
        <f>HYPERLINK("http://amigo.geneontology.org/amigo/term/GO:0007129","GO:0007129")</f>
        <v>GO:0007129</v>
      </c>
      <c r="B705" t="s">
        <v>655</v>
      </c>
      <c r="C705">
        <v>23</v>
      </c>
      <c r="D705">
        <v>0.04</v>
      </c>
    </row>
    <row r="706" spans="1:6" x14ac:dyDescent="0.25">
      <c r="A706" s="16" t="str">
        <f>HYPERLINK("http://amigo.geneontology.org/amigo/term/GO:0009186","GO:0009186")</f>
        <v>GO:0009186</v>
      </c>
      <c r="B706" t="s">
        <v>637</v>
      </c>
      <c r="C706">
        <v>3</v>
      </c>
      <c r="D706">
        <v>0.04</v>
      </c>
    </row>
    <row r="707" spans="1:6" x14ac:dyDescent="0.25">
      <c r="A707" s="16" t="str">
        <f>HYPERLINK("http://amigo.geneontology.org/amigo/term/GO:0009188","GO:0009188")</f>
        <v>GO:0009188</v>
      </c>
      <c r="B707" t="s">
        <v>1040</v>
      </c>
      <c r="C707">
        <v>2</v>
      </c>
      <c r="E707">
        <v>0.04</v>
      </c>
    </row>
    <row r="708" spans="1:6" x14ac:dyDescent="0.25">
      <c r="A708" s="16" t="str">
        <f>HYPERLINK("http://amigo.geneontology.org/amigo/term/GO:0009189","GO:0009189")</f>
        <v>GO:0009189</v>
      </c>
      <c r="B708" t="s">
        <v>639</v>
      </c>
      <c r="C708">
        <v>3</v>
      </c>
      <c r="D708">
        <v>0.04</v>
      </c>
    </row>
    <row r="709" spans="1:6" x14ac:dyDescent="0.25">
      <c r="A709" s="16" t="str">
        <f>HYPERLINK("http://amigo.geneontology.org/amigo/term/GO:0009193","GO:0009193")</f>
        <v>GO:0009193</v>
      </c>
      <c r="B709" t="s">
        <v>1041</v>
      </c>
      <c r="C709">
        <v>2</v>
      </c>
      <c r="E709">
        <v>0.04</v>
      </c>
    </row>
    <row r="710" spans="1:6" x14ac:dyDescent="0.25">
      <c r="A710" s="16" t="str">
        <f>HYPERLINK("http://amigo.geneontology.org/amigo/term/GO:0009194","GO:0009194")</f>
        <v>GO:0009194</v>
      </c>
      <c r="B710" t="s">
        <v>1042</v>
      </c>
      <c r="C710">
        <v>2</v>
      </c>
      <c r="E710">
        <v>0.04</v>
      </c>
    </row>
    <row r="711" spans="1:6" x14ac:dyDescent="0.25">
      <c r="A711" s="16" t="str">
        <f>HYPERLINK("http://amigo.geneontology.org/amigo/term/GO:0009196","GO:0009196")</f>
        <v>GO:0009196</v>
      </c>
      <c r="B711" t="s">
        <v>640</v>
      </c>
      <c r="C711">
        <v>3</v>
      </c>
      <c r="D711">
        <v>0.04</v>
      </c>
    </row>
    <row r="712" spans="1:6" x14ac:dyDescent="0.25">
      <c r="A712" s="16" t="str">
        <f>HYPERLINK("http://amigo.geneontology.org/amigo/term/GO:0009197","GO:0009197")</f>
        <v>GO:0009197</v>
      </c>
      <c r="B712" t="s">
        <v>641</v>
      </c>
      <c r="C712">
        <v>3</v>
      </c>
      <c r="D712">
        <v>0.04</v>
      </c>
    </row>
    <row r="713" spans="1:6" x14ac:dyDescent="0.25">
      <c r="A713" s="16" t="str">
        <f>HYPERLINK("http://amigo.geneontology.org/amigo/term/GO:0009682","GO:0009682")</f>
        <v>GO:0009682</v>
      </c>
      <c r="B713" t="s">
        <v>1058</v>
      </c>
      <c r="C713">
        <v>16</v>
      </c>
      <c r="E713">
        <v>0.04</v>
      </c>
    </row>
    <row r="714" spans="1:6" x14ac:dyDescent="0.25">
      <c r="A714" s="16" t="str">
        <f>HYPERLINK("http://amigo.geneontology.org/amigo/term/GO:0009972","GO:0009972")</f>
        <v>GO:0009972</v>
      </c>
      <c r="B714" t="s">
        <v>670</v>
      </c>
      <c r="C714">
        <v>3</v>
      </c>
      <c r="D714">
        <v>0.04</v>
      </c>
    </row>
    <row r="715" spans="1:6" x14ac:dyDescent="0.25">
      <c r="A715" s="16" t="str">
        <f>HYPERLINK("http://amigo.geneontology.org/amigo/term/GO:0010023","GO:0010023")</f>
        <v>GO:0010023</v>
      </c>
      <c r="B715" t="s">
        <v>683</v>
      </c>
      <c r="C715">
        <v>3</v>
      </c>
      <c r="D715">
        <v>0.04</v>
      </c>
    </row>
    <row r="716" spans="1:6" x14ac:dyDescent="0.25">
      <c r="A716" s="16" t="str">
        <f>HYPERLINK("http://amigo.geneontology.org/amigo/term/GO:0010133","GO:0010133")</f>
        <v>GO:0010133</v>
      </c>
      <c r="B716" t="s">
        <v>602</v>
      </c>
      <c r="C716">
        <v>3</v>
      </c>
      <c r="D716">
        <v>0.04</v>
      </c>
    </row>
    <row r="717" spans="1:6" x14ac:dyDescent="0.25">
      <c r="A717" s="16" t="str">
        <f>HYPERLINK("http://amigo.geneontology.org/amigo/term/GO:0010193","GO:0010193")</f>
        <v>GO:0010193</v>
      </c>
      <c r="B717" t="s">
        <v>1118</v>
      </c>
      <c r="C717">
        <v>13</v>
      </c>
      <c r="F717">
        <v>0.04</v>
      </c>
    </row>
    <row r="718" spans="1:6" x14ac:dyDescent="0.25">
      <c r="A718" s="16" t="str">
        <f>HYPERLINK("http://amigo.geneontology.org/amigo/term/GO:0015706","GO:0015706")</f>
        <v>GO:0015706</v>
      </c>
      <c r="B718" t="s">
        <v>1126</v>
      </c>
      <c r="C718">
        <v>13</v>
      </c>
      <c r="F718">
        <v>0.04</v>
      </c>
    </row>
    <row r="719" spans="1:6" x14ac:dyDescent="0.25">
      <c r="A719" s="16" t="str">
        <f>HYPERLINK("http://amigo.geneontology.org/amigo/term/GO:0015786","GO:0015786")</f>
        <v>GO:0015786</v>
      </c>
      <c r="B719" t="s">
        <v>1048</v>
      </c>
      <c r="C719">
        <v>2</v>
      </c>
      <c r="E719">
        <v>0.04</v>
      </c>
    </row>
    <row r="720" spans="1:6" x14ac:dyDescent="0.25">
      <c r="A720" s="16" t="str">
        <f>HYPERLINK("http://amigo.geneontology.org/amigo/term/GO:0017003","GO:0017003")</f>
        <v>GO:0017003</v>
      </c>
      <c r="B720" t="s">
        <v>626</v>
      </c>
      <c r="C720">
        <v>3</v>
      </c>
      <c r="D720">
        <v>0.04</v>
      </c>
    </row>
    <row r="721" spans="1:5" x14ac:dyDescent="0.25">
      <c r="A721" s="16" t="str">
        <f>HYPERLINK("http://amigo.geneontology.org/amigo/term/GO:0019377","GO:0019377")</f>
        <v>GO:0019377</v>
      </c>
      <c r="B721" t="s">
        <v>1049</v>
      </c>
      <c r="C721">
        <v>16</v>
      </c>
      <c r="E721">
        <v>0.04</v>
      </c>
    </row>
    <row r="722" spans="1:5" x14ac:dyDescent="0.25">
      <c r="A722" s="16" t="str">
        <f>HYPERLINK("http://amigo.geneontology.org/amigo/term/GO:0019628","GO:0019628")</f>
        <v>GO:0019628</v>
      </c>
      <c r="B722" t="s">
        <v>674</v>
      </c>
      <c r="C722">
        <v>3</v>
      </c>
      <c r="D722">
        <v>0.04</v>
      </c>
    </row>
    <row r="723" spans="1:5" x14ac:dyDescent="0.25">
      <c r="A723" s="16" t="str">
        <f>HYPERLINK("http://amigo.geneontology.org/amigo/term/GO:0032102","GO:0032102")</f>
        <v>GO:0032102</v>
      </c>
      <c r="B723" t="s">
        <v>1057</v>
      </c>
      <c r="C723">
        <v>15</v>
      </c>
      <c r="E723">
        <v>0.04</v>
      </c>
    </row>
    <row r="724" spans="1:5" x14ac:dyDescent="0.25">
      <c r="A724" s="16" t="str">
        <f>HYPERLINK("http://amigo.geneontology.org/amigo/term/GO:0033388","GO:0033388")</f>
        <v>GO:0033388</v>
      </c>
      <c r="B724" t="s">
        <v>648</v>
      </c>
      <c r="C724">
        <v>3</v>
      </c>
      <c r="D724">
        <v>0.04</v>
      </c>
    </row>
    <row r="725" spans="1:5" x14ac:dyDescent="0.25">
      <c r="A725" s="16" t="str">
        <f>HYPERLINK("http://amigo.geneontology.org/amigo/term/GO:0043101","GO:0043101")</f>
        <v>GO:0043101</v>
      </c>
      <c r="B725" t="s">
        <v>682</v>
      </c>
      <c r="C725">
        <v>22</v>
      </c>
      <c r="D725">
        <v>0.04</v>
      </c>
    </row>
    <row r="726" spans="1:5" x14ac:dyDescent="0.25">
      <c r="A726" s="16" t="str">
        <f>HYPERLINK("http://amigo.geneontology.org/amigo/term/GO:0043570","GO:0043570")</f>
        <v>GO:0043570</v>
      </c>
      <c r="B726" t="s">
        <v>677</v>
      </c>
      <c r="C726">
        <v>3</v>
      </c>
      <c r="D726">
        <v>0.04</v>
      </c>
    </row>
    <row r="727" spans="1:5" x14ac:dyDescent="0.25">
      <c r="A727" s="16" t="str">
        <f>HYPERLINK("http://amigo.geneontology.org/amigo/term/GO:0043574","GO:0043574")</f>
        <v>GO:0043574</v>
      </c>
      <c r="B727" t="s">
        <v>1039</v>
      </c>
      <c r="C727">
        <v>37</v>
      </c>
      <c r="E727">
        <v>0.04</v>
      </c>
    </row>
    <row r="728" spans="1:5" x14ac:dyDescent="0.25">
      <c r="A728" s="16" t="str">
        <f>HYPERLINK("http://amigo.geneontology.org/amigo/term/GO:0044788","GO:0044788")</f>
        <v>GO:0044788</v>
      </c>
      <c r="B728" t="s">
        <v>1054</v>
      </c>
      <c r="C728">
        <v>2</v>
      </c>
      <c r="E728">
        <v>0.04</v>
      </c>
    </row>
    <row r="729" spans="1:5" x14ac:dyDescent="0.25">
      <c r="A729" s="16" t="str">
        <f>HYPERLINK("http://amigo.geneontology.org/amigo/term/GO:0044794","GO:0044794")</f>
        <v>GO:0044794</v>
      </c>
      <c r="B729" t="s">
        <v>1055</v>
      </c>
      <c r="C729">
        <v>2</v>
      </c>
      <c r="E729">
        <v>0.04</v>
      </c>
    </row>
    <row r="730" spans="1:5" x14ac:dyDescent="0.25">
      <c r="A730" s="16" t="str">
        <f>HYPERLINK("http://amigo.geneontology.org/amigo/term/GO:0046048","GO:0046048")</f>
        <v>GO:0046048</v>
      </c>
      <c r="B730" t="s">
        <v>1043</v>
      </c>
      <c r="C730">
        <v>2</v>
      </c>
      <c r="E730">
        <v>0.04</v>
      </c>
    </row>
    <row r="731" spans="1:5" x14ac:dyDescent="0.25">
      <c r="A731" s="16" t="str">
        <f>HYPERLINK("http://amigo.geneontology.org/amigo/term/GO:0046072","GO:0046072")</f>
        <v>GO:0046072</v>
      </c>
      <c r="B731" t="s">
        <v>642</v>
      </c>
      <c r="C731">
        <v>3</v>
      </c>
      <c r="D731">
        <v>0.04</v>
      </c>
    </row>
    <row r="732" spans="1:5" x14ac:dyDescent="0.25">
      <c r="A732" s="16" t="str">
        <f>HYPERLINK("http://amigo.geneontology.org/amigo/term/GO:0046087","GO:0046087")</f>
        <v>GO:0046087</v>
      </c>
      <c r="B732" t="s">
        <v>666</v>
      </c>
      <c r="C732">
        <v>3</v>
      </c>
      <c r="D732">
        <v>0.04</v>
      </c>
    </row>
    <row r="733" spans="1:5" x14ac:dyDescent="0.25">
      <c r="A733" s="16" t="str">
        <f>HYPERLINK("http://amigo.geneontology.org/amigo/term/GO:0046131","GO:0046131")</f>
        <v>GO:0046131</v>
      </c>
      <c r="B733" t="s">
        <v>665</v>
      </c>
      <c r="C733">
        <v>3</v>
      </c>
      <c r="D733">
        <v>0.04</v>
      </c>
    </row>
    <row r="734" spans="1:5" x14ac:dyDescent="0.25">
      <c r="A734" s="16" t="str">
        <f>HYPERLINK("http://amigo.geneontology.org/amigo/term/GO:0046133","GO:0046133")</f>
        <v>GO:0046133</v>
      </c>
      <c r="B734" t="s">
        <v>668</v>
      </c>
      <c r="C734">
        <v>3</v>
      </c>
      <c r="D734">
        <v>0.04</v>
      </c>
    </row>
    <row r="735" spans="1:5" x14ac:dyDescent="0.25">
      <c r="A735" s="16" t="str">
        <f>HYPERLINK("http://amigo.geneontology.org/amigo/term/GO:0046135","GO:0046135")</f>
        <v>GO:0046135</v>
      </c>
      <c r="B735" t="s">
        <v>667</v>
      </c>
      <c r="C735">
        <v>3</v>
      </c>
      <c r="D735">
        <v>0.04</v>
      </c>
    </row>
    <row r="736" spans="1:5" x14ac:dyDescent="0.25">
      <c r="A736" s="16" t="str">
        <f>HYPERLINK("http://amigo.geneontology.org/amigo/term/GO:0046415","GO:0046415")</f>
        <v>GO:0046415</v>
      </c>
      <c r="B736" t="s">
        <v>672</v>
      </c>
      <c r="C736">
        <v>3</v>
      </c>
      <c r="D736">
        <v>0.04</v>
      </c>
    </row>
    <row r="737" spans="1:12" x14ac:dyDescent="0.25">
      <c r="A737" s="16" t="str">
        <f>HYPERLINK("http://amigo.geneontology.org/amigo/term/GO:0046477","GO:0046477")</f>
        <v>GO:0046477</v>
      </c>
      <c r="B737" t="s">
        <v>1051</v>
      </c>
      <c r="C737">
        <v>16</v>
      </c>
      <c r="E737">
        <v>0.04</v>
      </c>
    </row>
    <row r="738" spans="1:12" x14ac:dyDescent="0.25">
      <c r="A738" s="16" t="str">
        <f>HYPERLINK("http://amigo.geneontology.org/amigo/term/GO:0046479","GO:0046479")</f>
        <v>GO:0046479</v>
      </c>
      <c r="B738" t="s">
        <v>1050</v>
      </c>
      <c r="C738">
        <v>16</v>
      </c>
      <c r="E738">
        <v>0.04</v>
      </c>
    </row>
    <row r="739" spans="1:12" x14ac:dyDescent="0.25">
      <c r="A739" s="16" t="str">
        <f>HYPERLINK("http://amigo.geneontology.org/amigo/term/GO:0046685","GO:0046685")</f>
        <v>GO:0046685</v>
      </c>
      <c r="B739" t="s">
        <v>629</v>
      </c>
      <c r="C739">
        <v>3</v>
      </c>
      <c r="D739">
        <v>0.04</v>
      </c>
    </row>
    <row r="740" spans="1:12" x14ac:dyDescent="0.25">
      <c r="A740" s="16" t="str">
        <f>HYPERLINK("http://amigo.geneontology.org/amigo/term/GO:0046704","GO:0046704")</f>
        <v>GO:0046704</v>
      </c>
      <c r="B740" t="s">
        <v>1045</v>
      </c>
      <c r="C740">
        <v>2</v>
      </c>
      <c r="E740">
        <v>0.04</v>
      </c>
    </row>
    <row r="741" spans="1:12" x14ac:dyDescent="0.25">
      <c r="A741" s="16" t="str">
        <f>HYPERLINK("http://amigo.geneontology.org/amigo/term/GO:0046705","GO:0046705")</f>
        <v>GO:0046705</v>
      </c>
      <c r="B741" t="s">
        <v>1046</v>
      </c>
      <c r="C741">
        <v>2</v>
      </c>
      <c r="E741">
        <v>0.04</v>
      </c>
    </row>
    <row r="742" spans="1:12" x14ac:dyDescent="0.25">
      <c r="A742" s="16" t="str">
        <f>HYPERLINK("http://amigo.geneontology.org/amigo/term/GO:0048870","GO:0048870")</f>
        <v>GO:0048870</v>
      </c>
      <c r="B742" t="s">
        <v>662</v>
      </c>
      <c r="C742">
        <v>3</v>
      </c>
      <c r="D742">
        <v>0.04</v>
      </c>
    </row>
    <row r="743" spans="1:12" x14ac:dyDescent="0.25">
      <c r="A743" s="16" t="str">
        <f>HYPERLINK("http://amigo.geneontology.org/amigo/term/GO:0051084","GO:0051084")</f>
        <v>GO:0051084</v>
      </c>
      <c r="B743" t="s">
        <v>652</v>
      </c>
      <c r="C743">
        <v>21</v>
      </c>
      <c r="D743">
        <v>0.04</v>
      </c>
    </row>
    <row r="744" spans="1:12" x14ac:dyDescent="0.25">
      <c r="A744" s="16" t="str">
        <f>HYPERLINK("http://amigo.geneontology.org/amigo/term/GO:0051085","GO:0051085")</f>
        <v>GO:0051085</v>
      </c>
      <c r="B744" t="s">
        <v>654</v>
      </c>
      <c r="C744">
        <v>21</v>
      </c>
      <c r="D744">
        <v>0.04</v>
      </c>
    </row>
    <row r="745" spans="1:12" x14ac:dyDescent="0.25">
      <c r="A745" s="16" t="str">
        <f>HYPERLINK("http://amigo.geneontology.org/amigo/term/GO:0051495","GO:0051495")</f>
        <v>GO:0051495</v>
      </c>
      <c r="B745" t="s">
        <v>678</v>
      </c>
      <c r="C745">
        <v>3</v>
      </c>
      <c r="D745">
        <v>0.04</v>
      </c>
    </row>
    <row r="746" spans="1:12" x14ac:dyDescent="0.25">
      <c r="A746" s="16" t="str">
        <f>HYPERLINK("http://amigo.geneontology.org/amigo/term/GO:0051674","GO:0051674")</f>
        <v>GO:0051674</v>
      </c>
      <c r="B746" t="s">
        <v>660</v>
      </c>
      <c r="C746">
        <v>3</v>
      </c>
      <c r="D746">
        <v>0.04</v>
      </c>
    </row>
    <row r="747" spans="1:12" x14ac:dyDescent="0.25">
      <c r="A747" s="16" t="str">
        <f>HYPERLINK("http://amigo.geneontology.org/amigo/term/GO:0051693","GO:0051693")</f>
        <v>GO:0051693</v>
      </c>
      <c r="B747" t="s">
        <v>1123</v>
      </c>
      <c r="C747">
        <v>12</v>
      </c>
      <c r="F747">
        <v>0.04</v>
      </c>
    </row>
    <row r="748" spans="1:12" x14ac:dyDescent="0.25">
      <c r="A748" s="16" t="str">
        <f>HYPERLINK("http://amigo.geneontology.org/amigo/term/GO:0051851","GO:0051851")</f>
        <v>GO:0051851</v>
      </c>
      <c r="B748" t="s">
        <v>1053</v>
      </c>
      <c r="C748">
        <v>2</v>
      </c>
      <c r="E748">
        <v>0.04</v>
      </c>
    </row>
    <row r="749" spans="1:12" x14ac:dyDescent="0.25">
      <c r="A749" s="16" t="str">
        <f>HYPERLINK("http://amigo.geneontology.org/amigo/term/GO:0070919","GO:0070919")</f>
        <v>GO:0070919</v>
      </c>
      <c r="B749" t="s">
        <v>624</v>
      </c>
      <c r="C749">
        <v>3</v>
      </c>
      <c r="D749">
        <v>0.04</v>
      </c>
    </row>
    <row r="750" spans="1:12" x14ac:dyDescent="0.25">
      <c r="A750" s="16" t="str">
        <f>HYPERLINK("http://amigo.geneontology.org/amigo/term/GO:1902905","GO:1902905")</f>
        <v>GO:1902905</v>
      </c>
      <c r="B750" t="s">
        <v>679</v>
      </c>
      <c r="C750">
        <v>3</v>
      </c>
      <c r="D750">
        <v>0.04</v>
      </c>
    </row>
    <row r="751" spans="1:12" x14ac:dyDescent="0.25">
      <c r="A751" s="16" t="str">
        <f>HYPERLINK("http://amigo.geneontology.org/amigo/term/GO:1990641","GO:1990641")</f>
        <v>GO:1990641</v>
      </c>
      <c r="B751" t="s">
        <v>671</v>
      </c>
      <c r="C751">
        <v>3</v>
      </c>
      <c r="D751">
        <v>0.04</v>
      </c>
    </row>
    <row r="752" spans="1:12" x14ac:dyDescent="0.25">
      <c r="A752" s="16" t="str">
        <f>HYPERLINK("http://amigo.geneontology.org/amigo/term/GO:0006561","GO:0006561")</f>
        <v>GO:0006561</v>
      </c>
      <c r="B752" t="s">
        <v>1141</v>
      </c>
      <c r="C752">
        <v>15</v>
      </c>
      <c r="F752">
        <v>0.05</v>
      </c>
      <c r="L752" s="1">
        <v>5.5250000000000004E-3</v>
      </c>
    </row>
    <row r="753" spans="1:13" x14ac:dyDescent="0.25">
      <c r="A753" s="16" t="str">
        <f>HYPERLINK("http://amigo.geneontology.org/amigo/term/GO:0010167","GO:0010167")</f>
        <v>GO:0010167</v>
      </c>
      <c r="B753" t="s">
        <v>1142</v>
      </c>
      <c r="C753">
        <v>16</v>
      </c>
      <c r="F753">
        <v>0.05</v>
      </c>
      <c r="M753" s="1">
        <v>1.088E-3</v>
      </c>
    </row>
    <row r="754" spans="1:13" x14ac:dyDescent="0.25">
      <c r="A754" s="16" t="str">
        <f>HYPERLINK("http://amigo.geneontology.org/amigo/term/GO:0002252","GO:0002252")</f>
        <v>GO:0002252</v>
      </c>
      <c r="B754" t="s">
        <v>1067</v>
      </c>
      <c r="C754">
        <v>17</v>
      </c>
      <c r="E754">
        <v>0.05</v>
      </c>
    </row>
    <row r="755" spans="1:13" x14ac:dyDescent="0.25">
      <c r="A755" s="16" t="str">
        <f>HYPERLINK("http://amigo.geneontology.org/amigo/term/GO:0006074","GO:0006074")</f>
        <v>GO:0006074</v>
      </c>
      <c r="B755" t="s">
        <v>1065</v>
      </c>
      <c r="C755">
        <v>39</v>
      </c>
      <c r="E755">
        <v>0.05</v>
      </c>
    </row>
    <row r="756" spans="1:13" x14ac:dyDescent="0.25">
      <c r="A756" s="16" t="str">
        <f>HYPERLINK("http://amigo.geneontology.org/amigo/term/GO:0006075","GO:0006075")</f>
        <v>GO:0006075</v>
      </c>
      <c r="B756" t="s">
        <v>1066</v>
      </c>
      <c r="C756">
        <v>39</v>
      </c>
      <c r="E756">
        <v>0.05</v>
      </c>
    </row>
    <row r="757" spans="1:13" x14ac:dyDescent="0.25">
      <c r="A757" s="16" t="str">
        <f>HYPERLINK("http://amigo.geneontology.org/amigo/term/GO:0006527","GO:0006527")</f>
        <v>GO:0006527</v>
      </c>
      <c r="B757" t="s">
        <v>1139</v>
      </c>
      <c r="C757">
        <v>16</v>
      </c>
      <c r="F757">
        <v>0.05</v>
      </c>
    </row>
    <row r="758" spans="1:13" x14ac:dyDescent="0.25">
      <c r="A758" s="16" t="str">
        <f>HYPERLINK("http://amigo.geneontology.org/amigo/term/GO:0009740","GO:0009740")</f>
        <v>GO:0009740</v>
      </c>
      <c r="B758" t="s">
        <v>1131</v>
      </c>
      <c r="C758">
        <v>15</v>
      </c>
      <c r="F758">
        <v>0.05</v>
      </c>
    </row>
    <row r="759" spans="1:13" x14ac:dyDescent="0.25">
      <c r="A759" s="16" t="str">
        <f>HYPERLINK("http://amigo.geneontology.org/amigo/term/GO:0010476","GO:0010476")</f>
        <v>GO:0010476</v>
      </c>
      <c r="B759" t="s">
        <v>1130</v>
      </c>
      <c r="C759">
        <v>16</v>
      </c>
      <c r="F759">
        <v>0.05</v>
      </c>
    </row>
    <row r="760" spans="1:13" x14ac:dyDescent="0.25">
      <c r="A760" s="16" t="str">
        <f>HYPERLINK("http://amigo.geneontology.org/amigo/term/GO:0030834","GO:0030834")</f>
        <v>GO:0030834</v>
      </c>
      <c r="B760" t="s">
        <v>1133</v>
      </c>
      <c r="C760">
        <v>16</v>
      </c>
      <c r="F760">
        <v>0.05</v>
      </c>
    </row>
    <row r="761" spans="1:13" x14ac:dyDescent="0.25">
      <c r="A761" s="16" t="str">
        <f>HYPERLINK("http://amigo.geneontology.org/amigo/term/GO:0030835","GO:0030835")</f>
        <v>GO:0030835</v>
      </c>
      <c r="B761" t="s">
        <v>1135</v>
      </c>
      <c r="C761">
        <v>15</v>
      </c>
      <c r="F761">
        <v>0.05</v>
      </c>
    </row>
    <row r="762" spans="1:13" x14ac:dyDescent="0.25">
      <c r="A762" s="16" t="str">
        <f>HYPERLINK("http://amigo.geneontology.org/amigo/term/GO:0030837","GO:0030837")</f>
        <v>GO:0030837</v>
      </c>
      <c r="B762" t="s">
        <v>1138</v>
      </c>
      <c r="C762">
        <v>15</v>
      </c>
      <c r="F762">
        <v>0.05</v>
      </c>
    </row>
    <row r="763" spans="1:13" x14ac:dyDescent="0.25">
      <c r="A763" s="16" t="str">
        <f>HYPERLINK("http://amigo.geneontology.org/amigo/term/GO:0031333","GO:0031333")</f>
        <v>GO:0031333</v>
      </c>
      <c r="B763" t="s">
        <v>1136</v>
      </c>
      <c r="C763">
        <v>15</v>
      </c>
      <c r="F763">
        <v>0.05</v>
      </c>
    </row>
    <row r="764" spans="1:13" x14ac:dyDescent="0.25">
      <c r="A764" s="16" t="str">
        <f>HYPERLINK("http://amigo.geneontology.org/amigo/term/GO:0032272","GO:0032272")</f>
        <v>GO:0032272</v>
      </c>
      <c r="B764" t="s">
        <v>1137</v>
      </c>
      <c r="C764">
        <v>15</v>
      </c>
      <c r="F764">
        <v>0.05</v>
      </c>
    </row>
    <row r="765" spans="1:13" x14ac:dyDescent="0.25">
      <c r="A765" s="16" t="str">
        <f>HYPERLINK("http://amigo.geneontology.org/amigo/term/GO:0042538","GO:0042538")</f>
        <v>GO:0042538</v>
      </c>
      <c r="B765" t="s">
        <v>1140</v>
      </c>
      <c r="C765">
        <v>15</v>
      </c>
      <c r="F765">
        <v>0.05</v>
      </c>
    </row>
    <row r="766" spans="1:13" x14ac:dyDescent="0.25">
      <c r="A766" s="16" t="str">
        <f>HYPERLINK("http://amigo.geneontology.org/amigo/term/GO:0071370","GO:0071370")</f>
        <v>GO:0071370</v>
      </c>
      <c r="B766" t="s">
        <v>1129</v>
      </c>
      <c r="C766">
        <v>16</v>
      </c>
      <c r="F766">
        <v>0.05</v>
      </c>
    </row>
    <row r="767" spans="1:13" x14ac:dyDescent="0.25">
      <c r="A767" s="16" t="str">
        <f>HYPERLINK("http://amigo.geneontology.org/amigo/term/GO:1901879","GO:1901879")</f>
        <v>GO:1901879</v>
      </c>
      <c r="B767" t="s">
        <v>1132</v>
      </c>
      <c r="C767">
        <v>16</v>
      </c>
      <c r="F767">
        <v>0.05</v>
      </c>
    </row>
    <row r="768" spans="1:13" x14ac:dyDescent="0.25">
      <c r="A768" s="16" t="str">
        <f>HYPERLINK("http://amigo.geneontology.org/amigo/term/GO:1901880","GO:1901880")</f>
        <v>GO:1901880</v>
      </c>
      <c r="B768" t="s">
        <v>1134</v>
      </c>
      <c r="C768">
        <v>15</v>
      </c>
      <c r="F768">
        <v>0.05</v>
      </c>
    </row>
    <row r="769" spans="1:13" x14ac:dyDescent="0.25">
      <c r="A769" s="1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x14ac:dyDescent="0.25">
      <c r="A770" s="16" t="str">
        <f>HYPERLINK("http://amigo.geneontology.org/amigo/term/GO:0015979","GO:0015979")</f>
        <v>GO:0015979</v>
      </c>
      <c r="B770" t="s">
        <v>1413</v>
      </c>
      <c r="C770">
        <v>700</v>
      </c>
      <c r="I770" s="1">
        <v>8.6479999999999993E-31</v>
      </c>
    </row>
    <row r="771" spans="1:13" x14ac:dyDescent="0.25">
      <c r="A771" s="16" t="str">
        <f>HYPERLINK("http://amigo.geneontology.org/amigo/term/GO:0043604","GO:0043604")</f>
        <v>GO:0043604</v>
      </c>
      <c r="B771" t="s">
        <v>1414</v>
      </c>
      <c r="C771">
        <v>1825</v>
      </c>
      <c r="I771" s="1">
        <v>2.7680000000000001E-17</v>
      </c>
    </row>
    <row r="772" spans="1:13" x14ac:dyDescent="0.25">
      <c r="A772" s="16" t="str">
        <f>HYPERLINK("http://amigo.geneontology.org/amigo/term/GO:0006412","GO:0006412")</f>
        <v>GO:0006412</v>
      </c>
      <c r="B772" t="s">
        <v>1415</v>
      </c>
      <c r="C772">
        <v>1733</v>
      </c>
      <c r="I772" s="1">
        <v>1.7639999999999999E-16</v>
      </c>
    </row>
    <row r="773" spans="1:13" x14ac:dyDescent="0.25">
      <c r="A773" s="16" t="str">
        <f>HYPERLINK("http://amigo.geneontology.org/amigo/term/GO:0043043","GO:0043043")</f>
        <v>GO:0043043</v>
      </c>
      <c r="B773" t="s">
        <v>1416</v>
      </c>
      <c r="C773">
        <v>1754</v>
      </c>
      <c r="I773" s="1">
        <v>2.9699999999999999E-16</v>
      </c>
    </row>
    <row r="774" spans="1:13" x14ac:dyDescent="0.25">
      <c r="A774" s="16" t="str">
        <f>HYPERLINK("http://amigo.geneontology.org/amigo/term/GO:0019684","GO:0019684")</f>
        <v>GO:0019684</v>
      </c>
      <c r="B774" t="s">
        <v>1418</v>
      </c>
      <c r="C774">
        <v>308</v>
      </c>
      <c r="I774" s="1">
        <v>1.381E-11</v>
      </c>
    </row>
    <row r="775" spans="1:13" x14ac:dyDescent="0.25">
      <c r="A775" s="16" t="str">
        <f>HYPERLINK("http://amigo.geneontology.org/amigo/term/GO:0060567","GO:0060567")</f>
        <v>GO:0060567</v>
      </c>
      <c r="B775" t="s">
        <v>1617</v>
      </c>
      <c r="C775">
        <v>3</v>
      </c>
      <c r="K775" s="1">
        <v>4.6520000000000001E-9</v>
      </c>
    </row>
    <row r="776" spans="1:13" x14ac:dyDescent="0.25">
      <c r="A776" s="16" t="str">
        <f>HYPERLINK("http://amigo.geneontology.org/amigo/term/GO:0006091","GO:0006091")</f>
        <v>GO:0006091</v>
      </c>
      <c r="B776" t="s">
        <v>1419</v>
      </c>
      <c r="C776">
        <v>1002</v>
      </c>
      <c r="I776" s="1">
        <v>6.3540000000000002E-9</v>
      </c>
    </row>
    <row r="777" spans="1:13" x14ac:dyDescent="0.25">
      <c r="A777" s="16" t="str">
        <f>HYPERLINK("http://amigo.geneontology.org/amigo/term/GO:0032544","GO:0032544")</f>
        <v>GO:0032544</v>
      </c>
      <c r="B777" t="s">
        <v>1420</v>
      </c>
      <c r="C777">
        <v>12</v>
      </c>
      <c r="I777" s="1">
        <v>4.6929999999999997E-8</v>
      </c>
    </row>
    <row r="778" spans="1:13" x14ac:dyDescent="0.25">
      <c r="A778" s="16" t="str">
        <f>HYPERLINK("http://amigo.geneontology.org/amigo/term/GO:0031554","GO:0031554")</f>
        <v>GO:0031554</v>
      </c>
      <c r="B778" t="s">
        <v>1618</v>
      </c>
      <c r="C778">
        <v>6</v>
      </c>
      <c r="K778" s="1">
        <v>9.2700000000000003E-8</v>
      </c>
    </row>
    <row r="779" spans="1:13" x14ac:dyDescent="0.25">
      <c r="A779" s="16" t="str">
        <f>HYPERLINK("http://amigo.geneontology.org/amigo/term/GO:0010588","GO:0010588")</f>
        <v>GO:0010588</v>
      </c>
      <c r="B779" t="s">
        <v>1548</v>
      </c>
      <c r="C779">
        <v>4</v>
      </c>
      <c r="J779" s="1">
        <v>4.0429999999999999E-7</v>
      </c>
    </row>
    <row r="780" spans="1:13" x14ac:dyDescent="0.25">
      <c r="A780" s="16" t="str">
        <f>HYPERLINK("http://amigo.geneontology.org/amigo/term/GO:0048598","GO:0048598")</f>
        <v>GO:0048598</v>
      </c>
      <c r="B780" t="s">
        <v>1546</v>
      </c>
      <c r="C780">
        <v>4</v>
      </c>
      <c r="J780" s="1">
        <v>4.0429999999999999E-7</v>
      </c>
    </row>
    <row r="781" spans="1:13" x14ac:dyDescent="0.25">
      <c r="A781" s="16" t="str">
        <f>HYPERLINK("http://amigo.geneontology.org/amigo/term/GO:0048826","GO:0048826")</f>
        <v>GO:0048826</v>
      </c>
      <c r="B781" t="s">
        <v>1547</v>
      </c>
      <c r="C781">
        <v>4</v>
      </c>
      <c r="J781" s="1">
        <v>4.0429999999999999E-7</v>
      </c>
    </row>
    <row r="782" spans="1:13" x14ac:dyDescent="0.25">
      <c r="A782" s="16" t="str">
        <f>HYPERLINK("http://amigo.geneontology.org/amigo/term/GO:0090351","GO:0090351")</f>
        <v>GO:0090351</v>
      </c>
      <c r="B782" t="s">
        <v>1619</v>
      </c>
      <c r="C782">
        <v>47</v>
      </c>
      <c r="K782" s="1">
        <v>1.2890000000000001E-6</v>
      </c>
    </row>
    <row r="783" spans="1:13" x14ac:dyDescent="0.25">
      <c r="A783" s="16" t="str">
        <f>HYPERLINK("http://amigo.geneontology.org/amigo/term/GO:0046621","GO:0046621")</f>
        <v>GO:0046621</v>
      </c>
      <c r="B783" t="s">
        <v>1312</v>
      </c>
      <c r="C783">
        <v>17</v>
      </c>
      <c r="H783" s="1">
        <v>3.123E-6</v>
      </c>
    </row>
    <row r="784" spans="1:13" x14ac:dyDescent="0.25">
      <c r="A784" s="16" t="str">
        <f>HYPERLINK("http://amigo.geneontology.org/amigo/term/GO:0048640","GO:0048640")</f>
        <v>GO:0048640</v>
      </c>
      <c r="B784" t="s">
        <v>1311</v>
      </c>
      <c r="C784">
        <v>17</v>
      </c>
      <c r="H784" s="1">
        <v>3.123E-6</v>
      </c>
    </row>
    <row r="785" spans="1:12" x14ac:dyDescent="0.25">
      <c r="A785" s="16" t="str">
        <f>HYPERLINK("http://amigo.geneontology.org/amigo/term/GO:0043242","GO:0043242")</f>
        <v>GO:0043242</v>
      </c>
      <c r="B785" t="s">
        <v>1620</v>
      </c>
      <c r="C785">
        <v>18</v>
      </c>
      <c r="K785" s="1">
        <v>3.7270000000000001E-6</v>
      </c>
    </row>
    <row r="786" spans="1:12" x14ac:dyDescent="0.25">
      <c r="A786" s="16" t="str">
        <f>HYPERLINK("http://amigo.geneontology.org/amigo/term/GO:0010016","GO:0010016")</f>
        <v>GO:0010016</v>
      </c>
      <c r="B786" t="s">
        <v>1549</v>
      </c>
      <c r="C786">
        <v>50</v>
      </c>
      <c r="J786" s="1">
        <v>3.8770000000000003E-6</v>
      </c>
    </row>
    <row r="787" spans="1:12" x14ac:dyDescent="0.25">
      <c r="A787" s="16" t="str">
        <f>HYPERLINK("http://amigo.geneontology.org/amigo/term/GO:0010467","GO:0010467")</f>
        <v>GO:0010467</v>
      </c>
      <c r="B787" t="s">
        <v>1424</v>
      </c>
      <c r="C787">
        <v>4862</v>
      </c>
      <c r="I787" s="1">
        <v>7.481E-6</v>
      </c>
    </row>
    <row r="788" spans="1:12" x14ac:dyDescent="0.25">
      <c r="A788" s="16" t="str">
        <f>HYPERLINK("http://amigo.geneontology.org/amigo/term/GO:0010305","GO:0010305")</f>
        <v>GO:0010305</v>
      </c>
      <c r="B788" t="s">
        <v>1550</v>
      </c>
      <c r="C788">
        <v>9</v>
      </c>
      <c r="J788" s="1">
        <v>8.3450000000000006E-6</v>
      </c>
    </row>
    <row r="789" spans="1:12" x14ac:dyDescent="0.25">
      <c r="A789" s="16" t="str">
        <f>HYPERLINK("http://amigo.geneontology.org/amigo/term/GO:0045926","GO:0045926")</f>
        <v>GO:0045926</v>
      </c>
      <c r="B789" t="s">
        <v>1313</v>
      </c>
      <c r="C789">
        <v>22</v>
      </c>
      <c r="H789" s="1">
        <v>9.3670000000000003E-6</v>
      </c>
    </row>
    <row r="790" spans="1:12" x14ac:dyDescent="0.25">
      <c r="A790" s="16" t="str">
        <f>HYPERLINK("http://amigo.geneontology.org/amigo/term/GO:0010087","GO:0010087")</f>
        <v>GO:0010087</v>
      </c>
      <c r="B790" t="s">
        <v>1551</v>
      </c>
      <c r="C790">
        <v>31</v>
      </c>
      <c r="J790" s="1">
        <v>1.3390000000000001E-5</v>
      </c>
    </row>
    <row r="791" spans="1:12" x14ac:dyDescent="0.25">
      <c r="A791" s="16" t="str">
        <f>HYPERLINK("http://amigo.geneontology.org/amigo/term/GO:1900865","GO:1900865")</f>
        <v>GO:1900865</v>
      </c>
      <c r="B791" t="s">
        <v>1552</v>
      </c>
      <c r="C791">
        <v>11</v>
      </c>
      <c r="J791" s="1">
        <v>1.628E-5</v>
      </c>
    </row>
    <row r="792" spans="1:12" x14ac:dyDescent="0.25">
      <c r="A792" s="16" t="str">
        <f>HYPERLINK("http://amigo.geneontology.org/amigo/term/GO:0009631","GO:0009631")</f>
        <v>GO:0009631</v>
      </c>
      <c r="B792" t="s">
        <v>1621</v>
      </c>
      <c r="C792">
        <v>29</v>
      </c>
      <c r="K792" s="1">
        <v>1.6460000000000002E-5</v>
      </c>
      <c r="L792" s="1">
        <v>1.3259999999999999E-3</v>
      </c>
    </row>
    <row r="793" spans="1:12" x14ac:dyDescent="0.25">
      <c r="A793" s="16" t="str">
        <f>HYPERLINK("http://amigo.geneontology.org/amigo/term/GO:0006751","GO:0006751")</f>
        <v>GO:0006751</v>
      </c>
      <c r="B793" t="s">
        <v>1425</v>
      </c>
      <c r="C793">
        <v>18</v>
      </c>
      <c r="I793" s="1">
        <v>1.9029999999999999E-5</v>
      </c>
    </row>
    <row r="794" spans="1:12" x14ac:dyDescent="0.25">
      <c r="A794" s="16" t="str">
        <f>HYPERLINK("http://amigo.geneontology.org/amigo/term/GO:0018298","GO:0018298")</f>
        <v>GO:0018298</v>
      </c>
      <c r="B794" t="s">
        <v>1426</v>
      </c>
      <c r="C794">
        <v>90</v>
      </c>
      <c r="I794" s="1">
        <v>1.9879999999999999E-5</v>
      </c>
    </row>
    <row r="795" spans="1:12" x14ac:dyDescent="0.25">
      <c r="A795" s="16" t="str">
        <f>HYPERLINK("http://amigo.geneontology.org/amigo/term/GO:0048825","GO:0048825")</f>
        <v>GO:0048825</v>
      </c>
      <c r="B795" t="s">
        <v>1553</v>
      </c>
      <c r="C795">
        <v>12</v>
      </c>
      <c r="J795" s="1">
        <v>2.1630000000000001E-5</v>
      </c>
    </row>
    <row r="796" spans="1:12" x14ac:dyDescent="0.25">
      <c r="A796" s="16" t="str">
        <f>HYPERLINK("http://amigo.geneontology.org/amigo/term/GO:0043244","GO:0043244")</f>
        <v>GO:0043244</v>
      </c>
      <c r="B796" t="s">
        <v>1622</v>
      </c>
      <c r="C796">
        <v>33</v>
      </c>
      <c r="K796" s="1">
        <v>2.446E-5</v>
      </c>
    </row>
    <row r="797" spans="1:12" x14ac:dyDescent="0.25">
      <c r="A797" s="16" t="str">
        <f>HYPERLINK("http://amigo.geneontology.org/amigo/term/GO:0009965","GO:0009965")</f>
        <v>GO:0009965</v>
      </c>
      <c r="B797" t="s">
        <v>1554</v>
      </c>
      <c r="C797">
        <v>13</v>
      </c>
      <c r="J797" s="1">
        <v>2.8019999999999999E-5</v>
      </c>
    </row>
    <row r="798" spans="1:12" x14ac:dyDescent="0.25">
      <c r="A798" s="16" t="str">
        <f>HYPERLINK("http://amigo.geneontology.org/amigo/term/GO:0043171","GO:0043171")</f>
        <v>GO:0043171</v>
      </c>
      <c r="B798" t="s">
        <v>1427</v>
      </c>
      <c r="C798">
        <v>20</v>
      </c>
      <c r="I798" s="1">
        <v>2.9689999999999999E-5</v>
      </c>
    </row>
    <row r="799" spans="1:12" x14ac:dyDescent="0.25">
      <c r="A799" s="16" t="str">
        <f>HYPERLINK("http://amigo.geneontology.org/amigo/term/GO:0000413","GO:0000413")</f>
        <v>GO:0000413</v>
      </c>
      <c r="B799" t="s">
        <v>1428</v>
      </c>
      <c r="C799">
        <v>96</v>
      </c>
      <c r="I799" s="1">
        <v>3.025E-5</v>
      </c>
    </row>
    <row r="800" spans="1:12" x14ac:dyDescent="0.25">
      <c r="A800" s="16" t="str">
        <f>HYPERLINK("http://amigo.geneontology.org/amigo/term/GO:0009767","GO:0009767")</f>
        <v>GO:0009767</v>
      </c>
      <c r="B800" t="s">
        <v>1429</v>
      </c>
      <c r="C800">
        <v>137</v>
      </c>
      <c r="I800" s="1">
        <v>4.1220000000000002E-5</v>
      </c>
    </row>
    <row r="801" spans="1:11" x14ac:dyDescent="0.25">
      <c r="A801" s="16" t="str">
        <f>HYPERLINK("http://amigo.geneontology.org/amigo/term/GO:0010051","GO:0010051")</f>
        <v>GO:0010051</v>
      </c>
      <c r="B801" t="s">
        <v>1555</v>
      </c>
      <c r="C801">
        <v>15</v>
      </c>
      <c r="J801" s="1">
        <v>4.4270000000000001E-5</v>
      </c>
    </row>
    <row r="802" spans="1:11" x14ac:dyDescent="0.25">
      <c r="A802" s="16" t="str">
        <f>HYPERLINK("http://amigo.geneontology.org/amigo/term/GO:0018208","GO:0018208")</f>
        <v>GO:0018208</v>
      </c>
      <c r="B802" t="s">
        <v>1430</v>
      </c>
      <c r="C802">
        <v>103</v>
      </c>
      <c r="I802" s="1">
        <v>4.7599999999999998E-5</v>
      </c>
    </row>
    <row r="803" spans="1:11" x14ac:dyDescent="0.25">
      <c r="A803" s="16" t="str">
        <f>HYPERLINK("http://amigo.geneontology.org/amigo/term/GO:0043953","GO:0043953")</f>
        <v>GO:0043953</v>
      </c>
      <c r="B803" t="s">
        <v>1431</v>
      </c>
      <c r="C803">
        <v>9</v>
      </c>
      <c r="I803" s="1">
        <v>6.1069999999999996E-5</v>
      </c>
    </row>
    <row r="804" spans="1:11" x14ac:dyDescent="0.25">
      <c r="A804" s="16" t="str">
        <f>HYPERLINK("http://amigo.geneontology.org/amigo/term/GO:0044273","GO:0044273")</f>
        <v>GO:0044273</v>
      </c>
      <c r="B804" t="s">
        <v>1432</v>
      </c>
      <c r="C804">
        <v>24</v>
      </c>
      <c r="I804" s="1">
        <v>6.3260000000000001E-5</v>
      </c>
    </row>
    <row r="805" spans="1:11" x14ac:dyDescent="0.25">
      <c r="A805" s="16" t="str">
        <f>HYPERLINK("http://amigo.geneontology.org/amigo/term/GO:0000165","GO:0000165")</f>
        <v>GO:0000165</v>
      </c>
      <c r="B805" t="s">
        <v>1556</v>
      </c>
      <c r="C805">
        <v>18</v>
      </c>
      <c r="J805" s="1">
        <v>7.8560000000000007E-5</v>
      </c>
    </row>
    <row r="806" spans="1:11" x14ac:dyDescent="0.25">
      <c r="A806" s="16" t="str">
        <f>HYPERLINK("http://amigo.geneontology.org/amigo/term/GO:0022900","GO:0022900")</f>
        <v>GO:0022900</v>
      </c>
      <c r="B806" t="s">
        <v>1433</v>
      </c>
      <c r="C806">
        <v>453</v>
      </c>
      <c r="I806" s="1">
        <v>9.077E-5</v>
      </c>
    </row>
    <row r="807" spans="1:11" x14ac:dyDescent="0.25">
      <c r="A807" s="16" t="str">
        <f>HYPERLINK("http://amigo.geneontology.org/amigo/term/GO:0051129","GO:0051129")</f>
        <v>GO:0051129</v>
      </c>
      <c r="B807" t="s">
        <v>1623</v>
      </c>
      <c r="C807">
        <v>52</v>
      </c>
      <c r="K807" s="1">
        <v>9.6799999999999995E-5</v>
      </c>
    </row>
    <row r="808" spans="1:11" x14ac:dyDescent="0.25">
      <c r="A808" s="16" t="str">
        <f>HYPERLINK("http://amigo.geneontology.org/amigo/term/GO:0042219","GO:0042219")</f>
        <v>GO:0042219</v>
      </c>
      <c r="B808" t="s">
        <v>1434</v>
      </c>
      <c r="C808">
        <v>27</v>
      </c>
      <c r="I808" s="1">
        <v>1.022E-4</v>
      </c>
    </row>
    <row r="809" spans="1:11" x14ac:dyDescent="0.25">
      <c r="A809" s="16" t="str">
        <f>HYPERLINK("http://amigo.geneontology.org/amigo/term/GO:0010438","GO:0010438")</f>
        <v>GO:0010438</v>
      </c>
      <c r="B809" t="s">
        <v>1314</v>
      </c>
      <c r="C809">
        <v>3</v>
      </c>
      <c r="H809" s="1">
        <v>1.122E-4</v>
      </c>
    </row>
    <row r="810" spans="1:11" x14ac:dyDescent="0.25">
      <c r="A810" s="16" t="str">
        <f>HYPERLINK("http://amigo.geneontology.org/amigo/term/GO:0010439","GO:0010439")</f>
        <v>GO:0010439</v>
      </c>
      <c r="B810" t="s">
        <v>1315</v>
      </c>
      <c r="C810">
        <v>3</v>
      </c>
      <c r="H810" s="1">
        <v>1.122E-4</v>
      </c>
    </row>
    <row r="811" spans="1:11" x14ac:dyDescent="0.25">
      <c r="A811" s="16" t="str">
        <f>HYPERLINK("http://amigo.geneontology.org/amigo/term/GO:0006438","GO:0006438")</f>
        <v>GO:0006438</v>
      </c>
      <c r="B811" t="s">
        <v>1435</v>
      </c>
      <c r="C811">
        <v>11</v>
      </c>
      <c r="I811" s="1">
        <v>1.183E-4</v>
      </c>
    </row>
    <row r="812" spans="1:11" x14ac:dyDescent="0.25">
      <c r="A812" s="16" t="str">
        <f>HYPERLINK("http://amigo.geneontology.org/amigo/term/GO:0010187","GO:0010187")</f>
        <v>GO:0010187</v>
      </c>
      <c r="B812" t="s">
        <v>1557</v>
      </c>
      <c r="C812">
        <v>4</v>
      </c>
      <c r="J812" s="1">
        <v>1.3009999999999999E-4</v>
      </c>
    </row>
    <row r="813" spans="1:11" x14ac:dyDescent="0.25">
      <c r="A813" s="16" t="str">
        <f>HYPERLINK("http://amigo.geneontology.org/amigo/term/GO:0009773","GO:0009773")</f>
        <v>GO:0009773</v>
      </c>
      <c r="B813" t="s">
        <v>1437</v>
      </c>
      <c r="C813">
        <v>31</v>
      </c>
      <c r="I813" s="1">
        <v>1.7809999999999999E-4</v>
      </c>
    </row>
    <row r="814" spans="1:11" x14ac:dyDescent="0.25">
      <c r="A814" s="16" t="str">
        <f>HYPERLINK("http://amigo.geneontology.org/amigo/term/GO:0006552","GO:0006552")</f>
        <v>GO:0006552</v>
      </c>
      <c r="B814" t="s">
        <v>1316</v>
      </c>
      <c r="C814">
        <v>4</v>
      </c>
      <c r="H814" s="1">
        <v>2.2350000000000001E-4</v>
      </c>
    </row>
    <row r="815" spans="1:11" x14ac:dyDescent="0.25">
      <c r="A815" s="16" t="str">
        <f>HYPERLINK("http://amigo.geneontology.org/amigo/term/GO:0006437","GO:0006437")</f>
        <v>GO:0006437</v>
      </c>
      <c r="B815" t="s">
        <v>1439</v>
      </c>
      <c r="C815">
        <v>3</v>
      </c>
      <c r="I815" s="1">
        <v>2.4810000000000001E-4</v>
      </c>
    </row>
    <row r="816" spans="1:11" x14ac:dyDescent="0.25">
      <c r="A816" s="16" t="str">
        <f>HYPERLINK("http://amigo.geneontology.org/amigo/term/GO:0043686","GO:0043686")</f>
        <v>GO:0043686</v>
      </c>
      <c r="B816" t="s">
        <v>1440</v>
      </c>
      <c r="C816">
        <v>3</v>
      </c>
      <c r="I816" s="1">
        <v>2.4810000000000001E-4</v>
      </c>
    </row>
    <row r="817" spans="1:12" x14ac:dyDescent="0.25">
      <c r="A817" s="16" t="str">
        <f>HYPERLINK("http://amigo.geneontology.org/amigo/term/GO:0005983","GO:0005983")</f>
        <v>GO:0005983</v>
      </c>
      <c r="B817" t="s">
        <v>1441</v>
      </c>
      <c r="C817">
        <v>14</v>
      </c>
      <c r="I817" s="1">
        <v>2.5579999999999998E-4</v>
      </c>
    </row>
    <row r="818" spans="1:12" x14ac:dyDescent="0.25">
      <c r="A818" s="16" t="str">
        <f>HYPERLINK("http://amigo.geneontology.org/amigo/term/GO:0042371","GO:0042371")</f>
        <v>GO:0042371</v>
      </c>
      <c r="B818" t="s">
        <v>1443</v>
      </c>
      <c r="C818">
        <v>14</v>
      </c>
      <c r="I818" s="1">
        <v>2.5579999999999998E-4</v>
      </c>
    </row>
    <row r="819" spans="1:12" x14ac:dyDescent="0.25">
      <c r="A819" s="16" t="str">
        <f>HYPERLINK("http://amigo.geneontology.org/amigo/term/GO:0042372","GO:0042372")</f>
        <v>GO:0042372</v>
      </c>
      <c r="B819" t="s">
        <v>1445</v>
      </c>
      <c r="C819">
        <v>14</v>
      </c>
      <c r="I819" s="1">
        <v>2.5579999999999998E-4</v>
      </c>
    </row>
    <row r="820" spans="1:12" x14ac:dyDescent="0.25">
      <c r="A820" s="16" t="str">
        <f>HYPERLINK("http://amigo.geneontology.org/amigo/term/GO:0042373","GO:0042373")</f>
        <v>GO:0042373</v>
      </c>
      <c r="B820" t="s">
        <v>1442</v>
      </c>
      <c r="C820">
        <v>14</v>
      </c>
      <c r="I820" s="1">
        <v>2.5579999999999998E-4</v>
      </c>
    </row>
    <row r="821" spans="1:12" x14ac:dyDescent="0.25">
      <c r="A821" s="16" t="str">
        <f>HYPERLINK("http://amigo.geneontology.org/amigo/term/GO:0042374","GO:0042374")</f>
        <v>GO:0042374</v>
      </c>
      <c r="B821" t="s">
        <v>1444</v>
      </c>
      <c r="C821">
        <v>14</v>
      </c>
      <c r="I821" s="1">
        <v>2.5579999999999998E-4</v>
      </c>
    </row>
    <row r="822" spans="1:12" x14ac:dyDescent="0.25">
      <c r="A822" s="16" t="str">
        <f>HYPERLINK("http://amigo.geneontology.org/amigo/term/GO:0006979","GO:0006979")</f>
        <v>GO:0006979</v>
      </c>
      <c r="B822" t="s">
        <v>1446</v>
      </c>
      <c r="C822">
        <v>892</v>
      </c>
      <c r="I822" s="1">
        <v>2.6429999999999997E-4</v>
      </c>
    </row>
    <row r="823" spans="1:12" x14ac:dyDescent="0.25">
      <c r="A823" s="16" t="str">
        <f>HYPERLINK("http://amigo.geneontology.org/amigo/term/GO:0010675","GO:0010675")</f>
        <v>GO:0010675</v>
      </c>
      <c r="B823" t="s">
        <v>1317</v>
      </c>
      <c r="C823">
        <v>22</v>
      </c>
      <c r="H823" s="1">
        <v>3.2380000000000001E-4</v>
      </c>
    </row>
    <row r="824" spans="1:12" x14ac:dyDescent="0.25">
      <c r="A824" s="16" t="str">
        <f>HYPERLINK("http://amigo.geneontology.org/amigo/term/GO:0009657","GO:0009657")</f>
        <v>GO:0009657</v>
      </c>
      <c r="B824" t="s">
        <v>1447</v>
      </c>
      <c r="C824">
        <v>188</v>
      </c>
      <c r="I824" s="1">
        <v>3.6630000000000001E-4</v>
      </c>
    </row>
    <row r="825" spans="1:12" x14ac:dyDescent="0.25">
      <c r="A825" s="16" t="str">
        <f>HYPERLINK("http://amigo.geneontology.org/amigo/term/GO:0000272","GO:0000272")</f>
        <v>GO:0000272</v>
      </c>
      <c r="B825" t="s">
        <v>1318</v>
      </c>
      <c r="C825">
        <v>219</v>
      </c>
      <c r="H825" s="1">
        <v>4.46E-4</v>
      </c>
      <c r="L825" s="1">
        <v>2.7619999999999999E-4</v>
      </c>
    </row>
    <row r="826" spans="1:12" x14ac:dyDescent="0.25">
      <c r="A826" s="16" t="str">
        <f>HYPERLINK("http://amigo.geneontology.org/amigo/term/GO:0042335","GO:0042335")</f>
        <v>GO:0042335</v>
      </c>
      <c r="B826" t="s">
        <v>1560</v>
      </c>
      <c r="C826">
        <v>7</v>
      </c>
      <c r="J826" s="1">
        <v>4.5100000000000001E-4</v>
      </c>
    </row>
    <row r="827" spans="1:12" x14ac:dyDescent="0.25">
      <c r="A827" s="16" t="str">
        <f>HYPERLINK("http://amigo.geneontology.org/amigo/term/GO:0043038","GO:0043038")</f>
        <v>GO:0043038</v>
      </c>
      <c r="B827" t="s">
        <v>1448</v>
      </c>
      <c r="C827">
        <v>244</v>
      </c>
      <c r="I827" s="1">
        <v>4.5679999999999999E-4</v>
      </c>
    </row>
    <row r="828" spans="1:12" x14ac:dyDescent="0.25">
      <c r="A828" s="16" t="str">
        <f>HYPERLINK("http://amigo.geneontology.org/amigo/term/GO:0043039","GO:0043039")</f>
        <v>GO:0043039</v>
      </c>
      <c r="B828" t="s">
        <v>1449</v>
      </c>
      <c r="C828">
        <v>244</v>
      </c>
      <c r="I828" s="1">
        <v>4.5679999999999999E-4</v>
      </c>
    </row>
    <row r="829" spans="1:12" x14ac:dyDescent="0.25">
      <c r="A829" s="16" t="str">
        <f>HYPERLINK("http://amigo.geneontology.org/amigo/term/GO:0006109","GO:0006109")</f>
        <v>GO:0006109</v>
      </c>
      <c r="B829" t="s">
        <v>1319</v>
      </c>
      <c r="C829">
        <v>25</v>
      </c>
      <c r="H829" s="1">
        <v>4.771E-4</v>
      </c>
    </row>
    <row r="830" spans="1:12" x14ac:dyDescent="0.25">
      <c r="A830" s="16" t="str">
        <f>HYPERLINK("http://amigo.geneontology.org/amigo/term/GO:0015994","GO:0015994")</f>
        <v>GO:0015994</v>
      </c>
      <c r="B830" t="s">
        <v>1450</v>
      </c>
      <c r="C830">
        <v>72</v>
      </c>
      <c r="I830" s="1">
        <v>5.2800000000000004E-4</v>
      </c>
    </row>
    <row r="831" spans="1:12" x14ac:dyDescent="0.25">
      <c r="A831" s="16" t="str">
        <f>HYPERLINK("http://amigo.geneontology.org/amigo/term/GO:0006537","GO:0006537")</f>
        <v>GO:0006537</v>
      </c>
      <c r="B831" t="s">
        <v>1321</v>
      </c>
      <c r="C831">
        <v>6</v>
      </c>
      <c r="H831" s="1">
        <v>5.5409999999999997E-4</v>
      </c>
    </row>
    <row r="832" spans="1:12" x14ac:dyDescent="0.25">
      <c r="A832" s="16" t="str">
        <f>HYPERLINK("http://amigo.geneontology.org/amigo/term/GO:0006851","GO:0006851")</f>
        <v>GO:0006851</v>
      </c>
      <c r="B832" t="s">
        <v>1322</v>
      </c>
      <c r="C832">
        <v>6</v>
      </c>
      <c r="H832" s="1">
        <v>5.5409999999999997E-4</v>
      </c>
    </row>
    <row r="833" spans="1:13" x14ac:dyDescent="0.25">
      <c r="A833" s="16" t="str">
        <f>HYPERLINK("http://amigo.geneontology.org/amigo/term/GO:0006568","GO:0006568")</f>
        <v>GO:0006568</v>
      </c>
      <c r="B833" t="s">
        <v>1452</v>
      </c>
      <c r="C833">
        <v>73</v>
      </c>
      <c r="I833" s="1">
        <v>5.6260000000000001E-4</v>
      </c>
    </row>
    <row r="834" spans="1:13" x14ac:dyDescent="0.25">
      <c r="A834" s="16" t="str">
        <f>HYPERLINK("http://amigo.geneontology.org/amigo/term/GO:0006586","GO:0006586")</f>
        <v>GO:0006586</v>
      </c>
      <c r="B834" t="s">
        <v>1451</v>
      </c>
      <c r="C834">
        <v>73</v>
      </c>
      <c r="I834" s="1">
        <v>5.6260000000000001E-4</v>
      </c>
    </row>
    <row r="835" spans="1:13" x14ac:dyDescent="0.25">
      <c r="A835" s="16" t="str">
        <f>HYPERLINK("http://amigo.geneontology.org/amigo/term/GO:0008300","GO:0008300")</f>
        <v>GO:0008300</v>
      </c>
      <c r="B835" t="s">
        <v>1624</v>
      </c>
      <c r="C835">
        <v>22</v>
      </c>
      <c r="K835" s="1">
        <v>6.3469999999999998E-4</v>
      </c>
    </row>
    <row r="836" spans="1:13" x14ac:dyDescent="0.25">
      <c r="A836" s="16" t="str">
        <f>HYPERLINK("http://amigo.geneontology.org/amigo/term/GO:0015995","GO:0015995")</f>
        <v>GO:0015995</v>
      </c>
      <c r="B836" t="s">
        <v>1453</v>
      </c>
      <c r="C836">
        <v>45</v>
      </c>
      <c r="I836" s="1">
        <v>7.6219999999999999E-4</v>
      </c>
    </row>
    <row r="837" spans="1:13" x14ac:dyDescent="0.25">
      <c r="A837" s="16" t="str">
        <f>HYPERLINK("http://amigo.geneontology.org/amigo/term/GO:0006775","GO:0006775")</f>
        <v>GO:0006775</v>
      </c>
      <c r="B837" t="s">
        <v>1454</v>
      </c>
      <c r="C837">
        <v>20</v>
      </c>
      <c r="I837" s="1">
        <v>7.6900000000000004E-4</v>
      </c>
    </row>
    <row r="838" spans="1:13" x14ac:dyDescent="0.25">
      <c r="A838" s="16" t="str">
        <f>HYPERLINK("http://amigo.geneontology.org/amigo/term/GO:0009306","GO:0009306")</f>
        <v>GO:0009306</v>
      </c>
      <c r="B838" t="s">
        <v>1458</v>
      </c>
      <c r="C838">
        <v>20</v>
      </c>
      <c r="I838" s="1">
        <v>7.6900000000000004E-4</v>
      </c>
    </row>
    <row r="839" spans="1:13" x14ac:dyDescent="0.25">
      <c r="A839" s="16" t="str">
        <f>HYPERLINK("http://amigo.geneontology.org/amigo/term/GO:0035592","GO:0035592")</f>
        <v>GO:0035592</v>
      </c>
      <c r="B839" t="s">
        <v>1457</v>
      </c>
      <c r="C839">
        <v>20</v>
      </c>
      <c r="I839" s="1">
        <v>7.6900000000000004E-4</v>
      </c>
    </row>
    <row r="840" spans="1:13" x14ac:dyDescent="0.25">
      <c r="A840" s="16" t="str">
        <f>HYPERLINK("http://amigo.geneontology.org/amigo/term/GO:0042362","GO:0042362")</f>
        <v>GO:0042362</v>
      </c>
      <c r="B840" t="s">
        <v>1455</v>
      </c>
      <c r="C840">
        <v>20</v>
      </c>
      <c r="I840" s="1">
        <v>7.6900000000000004E-4</v>
      </c>
    </row>
    <row r="841" spans="1:13" x14ac:dyDescent="0.25">
      <c r="A841" s="16" t="str">
        <f>HYPERLINK("http://amigo.geneontology.org/amigo/term/GO:0071692","GO:0071692")</f>
        <v>GO:0071692</v>
      </c>
      <c r="B841" t="s">
        <v>1456</v>
      </c>
      <c r="C841">
        <v>20</v>
      </c>
      <c r="I841" s="1">
        <v>7.6900000000000004E-4</v>
      </c>
    </row>
    <row r="842" spans="1:13" x14ac:dyDescent="0.25">
      <c r="A842" s="16" t="str">
        <f>HYPERLINK("http://amigo.geneontology.org/amigo/term/GO:0006863","GO:0006863")</f>
        <v>GO:0006863</v>
      </c>
      <c r="B842" t="s">
        <v>1325</v>
      </c>
      <c r="C842">
        <v>7</v>
      </c>
      <c r="H842" s="1">
        <v>7.7260000000000002E-4</v>
      </c>
    </row>
    <row r="843" spans="1:13" x14ac:dyDescent="0.25">
      <c r="A843" s="16" t="str">
        <f>HYPERLINK("http://amigo.geneontology.org/amigo/term/GO:0015851","GO:0015851")</f>
        <v>GO:0015851</v>
      </c>
      <c r="B843" t="s">
        <v>1324</v>
      </c>
      <c r="C843">
        <v>7</v>
      </c>
      <c r="H843" s="1">
        <v>7.7260000000000002E-4</v>
      </c>
    </row>
    <row r="844" spans="1:13" x14ac:dyDescent="0.25">
      <c r="A844" s="16" t="str">
        <f>HYPERLINK("http://amigo.geneontology.org/amigo/term/GO:0009934","GO:0009934")</f>
        <v>GO:0009934</v>
      </c>
      <c r="B844" t="s">
        <v>1561</v>
      </c>
      <c r="C844">
        <v>10</v>
      </c>
      <c r="J844" s="1">
        <v>9.5750000000000002E-4</v>
      </c>
    </row>
    <row r="845" spans="1:13" x14ac:dyDescent="0.25">
      <c r="A845" s="16" t="str">
        <f>HYPERLINK("http://amigo.geneontology.org/amigo/term/GO:0048581","GO:0048581")</f>
        <v>GO:0048581</v>
      </c>
      <c r="B845" t="s">
        <v>1562</v>
      </c>
      <c r="C845">
        <v>42</v>
      </c>
      <c r="J845" s="1">
        <v>1.0169999999999999E-3</v>
      </c>
      <c r="M845" s="1">
        <v>2.9740000000000002E-4</v>
      </c>
    </row>
    <row r="846" spans="1:13" x14ac:dyDescent="0.25">
      <c r="A846" s="16" t="str">
        <f>HYPERLINK("http://amigo.geneontology.org/amigo/term/GO:0008272","GO:0008272")</f>
        <v>GO:0008272</v>
      </c>
      <c r="B846" t="s">
        <v>1326</v>
      </c>
      <c r="C846">
        <v>35</v>
      </c>
      <c r="H846" s="1">
        <v>1.297E-3</v>
      </c>
    </row>
    <row r="847" spans="1:13" x14ac:dyDescent="0.25">
      <c r="A847" s="16" t="str">
        <f>HYPERLINK("http://amigo.geneontology.org/amigo/term/GO:0009083","GO:0009083")</f>
        <v>GO:0009083</v>
      </c>
      <c r="B847" t="s">
        <v>1327</v>
      </c>
      <c r="C847">
        <v>9</v>
      </c>
      <c r="H847" s="1">
        <v>1.3140000000000001E-3</v>
      </c>
    </row>
    <row r="848" spans="1:13" x14ac:dyDescent="0.25">
      <c r="A848" s="16" t="str">
        <f>HYPERLINK("http://amigo.geneontology.org/amigo/term/GO:0009637","GO:0009637")</f>
        <v>GO:0009637</v>
      </c>
      <c r="B848" t="s">
        <v>1462</v>
      </c>
      <c r="C848">
        <v>52</v>
      </c>
      <c r="I848" s="1">
        <v>1.317E-3</v>
      </c>
    </row>
    <row r="849" spans="1:13" x14ac:dyDescent="0.25">
      <c r="A849" s="16" t="str">
        <f>HYPERLINK("http://amigo.geneontology.org/amigo/term/GO:0009685","GO:0009685")</f>
        <v>GO:0009685</v>
      </c>
      <c r="B849" t="s">
        <v>1625</v>
      </c>
      <c r="C849">
        <v>32</v>
      </c>
      <c r="K849" s="1">
        <v>1.348E-3</v>
      </c>
    </row>
    <row r="850" spans="1:13" x14ac:dyDescent="0.25">
      <c r="A850" s="16" t="str">
        <f>HYPERLINK("http://amigo.geneontology.org/amigo/term/GO:0044271","GO:0044271")</f>
        <v>GO:0044271</v>
      </c>
      <c r="B850" t="s">
        <v>1417</v>
      </c>
      <c r="C850">
        <v>4399</v>
      </c>
      <c r="I850" s="1">
        <v>6.0000000000000003E-12</v>
      </c>
      <c r="K850" s="1">
        <v>2.9949999999999998E-3</v>
      </c>
    </row>
    <row r="851" spans="1:13" x14ac:dyDescent="0.25">
      <c r="A851" s="16" t="str">
        <f>HYPERLINK("http://amigo.geneontology.org/amigo/term/GO:0072348","GO:0072348")</f>
        <v>GO:0072348</v>
      </c>
      <c r="B851" t="s">
        <v>1328</v>
      </c>
      <c r="C851">
        <v>37</v>
      </c>
      <c r="H851" s="1">
        <v>1.526E-3</v>
      </c>
    </row>
    <row r="852" spans="1:13" x14ac:dyDescent="0.25">
      <c r="A852" s="16" t="str">
        <f>HYPERLINK("http://amigo.geneontology.org/amigo/term/GO:0048580","GO:0048580")</f>
        <v>GO:0048580</v>
      </c>
      <c r="B852" t="s">
        <v>1564</v>
      </c>
      <c r="C852">
        <v>177</v>
      </c>
      <c r="J852" s="1">
        <v>1.5430000000000001E-3</v>
      </c>
      <c r="M852">
        <v>0.02</v>
      </c>
    </row>
    <row r="853" spans="1:13" x14ac:dyDescent="0.25">
      <c r="A853" s="16" t="str">
        <f>HYPERLINK("http://amigo.geneontology.org/amigo/term/GO:2000026","GO:2000026")</f>
        <v>GO:2000026</v>
      </c>
      <c r="B853" t="s">
        <v>1563</v>
      </c>
      <c r="C853">
        <v>177</v>
      </c>
      <c r="J853" s="1">
        <v>1.5430000000000001E-3</v>
      </c>
      <c r="M853">
        <v>0.02</v>
      </c>
    </row>
    <row r="854" spans="1:13" x14ac:dyDescent="0.25">
      <c r="A854" s="16" t="str">
        <f>HYPERLINK("http://amigo.geneontology.org/amigo/term/GO:0042793","GO:0042793")</f>
        <v>GO:0042793</v>
      </c>
      <c r="B854" t="s">
        <v>1422</v>
      </c>
      <c r="C854">
        <v>18</v>
      </c>
      <c r="I854" s="1">
        <v>4.8520000000000003E-7</v>
      </c>
      <c r="J854" s="1">
        <v>3.176E-3</v>
      </c>
    </row>
    <row r="855" spans="1:13" x14ac:dyDescent="0.25">
      <c r="A855" s="16" t="str">
        <f>HYPERLINK("http://amigo.geneontology.org/amigo/term/GO:0051241","GO:0051241")</f>
        <v>GO:0051241</v>
      </c>
      <c r="B855" t="s">
        <v>1320</v>
      </c>
      <c r="C855">
        <v>59</v>
      </c>
      <c r="H855" s="1">
        <v>4.8720000000000002E-4</v>
      </c>
      <c r="J855" s="1">
        <v>2.7160000000000001E-3</v>
      </c>
      <c r="M855" s="1">
        <v>8.1059999999999997E-4</v>
      </c>
    </row>
    <row r="856" spans="1:13" x14ac:dyDescent="0.25">
      <c r="A856" s="16" t="str">
        <f>HYPERLINK("http://amigo.geneontology.org/amigo/term/GO:0009267","GO:0009267")</f>
        <v>GO:0009267</v>
      </c>
      <c r="B856" t="s">
        <v>1329</v>
      </c>
      <c r="C856">
        <v>82</v>
      </c>
      <c r="H856" s="1">
        <v>1.676E-3</v>
      </c>
    </row>
    <row r="857" spans="1:13" x14ac:dyDescent="0.25">
      <c r="A857" s="16" t="str">
        <f>HYPERLINK("http://amigo.geneontology.org/amigo/term/GO:0009768","GO:0009768")</f>
        <v>GO:0009768</v>
      </c>
      <c r="B857" t="s">
        <v>1463</v>
      </c>
      <c r="C857">
        <v>26</v>
      </c>
      <c r="I857" s="1">
        <v>1.684E-3</v>
      </c>
    </row>
    <row r="858" spans="1:13" x14ac:dyDescent="0.25">
      <c r="A858" s="16" t="str">
        <f>HYPERLINK("http://amigo.geneontology.org/amigo/term/GO:0010206","GO:0010206")</f>
        <v>GO:0010206</v>
      </c>
      <c r="B858" t="s">
        <v>1464</v>
      </c>
      <c r="C858">
        <v>7</v>
      </c>
      <c r="I858" s="1">
        <v>1.6949999999999999E-3</v>
      </c>
    </row>
    <row r="859" spans="1:13" x14ac:dyDescent="0.25">
      <c r="A859" s="16" t="str">
        <f>HYPERLINK("http://amigo.geneontology.org/amigo/term/GO:0006399","GO:0006399")</f>
        <v>GO:0006399</v>
      </c>
      <c r="B859" t="s">
        <v>1465</v>
      </c>
      <c r="C859">
        <v>487</v>
      </c>
      <c r="I859" s="1">
        <v>1.9859999999999999E-3</v>
      </c>
    </row>
    <row r="860" spans="1:13" x14ac:dyDescent="0.25">
      <c r="A860" s="16" t="str">
        <f>HYPERLINK("http://amigo.geneontology.org/amigo/term/GO:0051093","GO:0051093")</f>
        <v>GO:0051093</v>
      </c>
      <c r="B860" t="s">
        <v>1323</v>
      </c>
      <c r="C860">
        <v>64</v>
      </c>
      <c r="H860" s="1">
        <v>6.6399999999999999E-4</v>
      </c>
      <c r="J860" s="1">
        <v>3.4220000000000001E-3</v>
      </c>
      <c r="M860" s="1">
        <v>1.0269999999999999E-3</v>
      </c>
    </row>
    <row r="861" spans="1:13" x14ac:dyDescent="0.25">
      <c r="A861" s="16" t="str">
        <f>HYPERLINK("http://amigo.geneontology.org/amigo/term/GO:0031669","GO:0031669")</f>
        <v>GO:0031669</v>
      </c>
      <c r="B861" t="s">
        <v>1331</v>
      </c>
      <c r="C861">
        <v>87</v>
      </c>
      <c r="H861" s="1">
        <v>2.0830000000000002E-3</v>
      </c>
    </row>
    <row r="862" spans="1:13" x14ac:dyDescent="0.25">
      <c r="A862" s="16" t="str">
        <f>HYPERLINK("http://amigo.geneontology.org/amigo/term/GO:0006778","GO:0006778")</f>
        <v>GO:0006778</v>
      </c>
      <c r="B862" t="s">
        <v>1466</v>
      </c>
      <c r="C862">
        <v>143</v>
      </c>
      <c r="I862" s="1">
        <v>2.1059999999999998E-3</v>
      </c>
      <c r="M862" s="1">
        <v>9.861E-3</v>
      </c>
    </row>
    <row r="863" spans="1:13" x14ac:dyDescent="0.25">
      <c r="A863" s="16" t="str">
        <f>HYPERLINK("http://amigo.geneontology.org/amigo/term/GO:0009926","GO:0009926")</f>
        <v>GO:0009926</v>
      </c>
      <c r="B863" t="s">
        <v>1565</v>
      </c>
      <c r="C863">
        <v>15</v>
      </c>
      <c r="J863" s="1">
        <v>2.2000000000000001E-3</v>
      </c>
    </row>
    <row r="864" spans="1:13" x14ac:dyDescent="0.25">
      <c r="A864" s="16" t="str">
        <f>HYPERLINK("http://amigo.geneontology.org/amigo/term/GO:0042594","GO:0042594")</f>
        <v>GO:0042594</v>
      </c>
      <c r="B864" t="s">
        <v>1332</v>
      </c>
      <c r="C864">
        <v>89</v>
      </c>
      <c r="H864" s="1">
        <v>2.2629999999999998E-3</v>
      </c>
    </row>
    <row r="865" spans="1:13" x14ac:dyDescent="0.25">
      <c r="A865" s="16" t="str">
        <f>HYPERLINK("http://amigo.geneontology.org/amigo/term/GO:0007275","GO:0007275")</f>
        <v>GO:0007275</v>
      </c>
      <c r="B865" t="s">
        <v>1626</v>
      </c>
      <c r="C865">
        <v>1090</v>
      </c>
      <c r="K865" s="1">
        <v>2.5699999999999998E-3</v>
      </c>
    </row>
    <row r="866" spans="1:13" x14ac:dyDescent="0.25">
      <c r="A866" s="16" t="str">
        <f>HYPERLINK("http://amigo.geneontology.org/amigo/term/GO:0006779","GO:0006779")</f>
        <v>GO:0006779</v>
      </c>
      <c r="B866" t="s">
        <v>1467</v>
      </c>
      <c r="C866">
        <v>103</v>
      </c>
      <c r="I866" s="1">
        <v>2.6229999999999999E-3</v>
      </c>
      <c r="M866" s="1">
        <v>3.9950000000000003E-3</v>
      </c>
    </row>
    <row r="867" spans="1:13" x14ac:dyDescent="0.25">
      <c r="A867" s="16" t="str">
        <f>HYPERLINK("http://amigo.geneontology.org/amigo/term/GO:0045892","GO:0045892")</f>
        <v>GO:0045892</v>
      </c>
      <c r="B867" t="s">
        <v>1627</v>
      </c>
      <c r="C867">
        <v>166</v>
      </c>
      <c r="K867" s="1">
        <v>2.8519999999999999E-3</v>
      </c>
      <c r="M867">
        <v>0.01</v>
      </c>
    </row>
    <row r="868" spans="1:13" x14ac:dyDescent="0.25">
      <c r="A868" s="16" t="str">
        <f>HYPERLINK("http://amigo.geneontology.org/amigo/term/GO:1902679","GO:1902679")</f>
        <v>GO:1902679</v>
      </c>
      <c r="B868" t="s">
        <v>1628</v>
      </c>
      <c r="C868">
        <v>169</v>
      </c>
      <c r="K868" s="1">
        <v>3.0000000000000001E-3</v>
      </c>
      <c r="M868">
        <v>0.02</v>
      </c>
    </row>
    <row r="869" spans="1:13" x14ac:dyDescent="0.25">
      <c r="A869" s="16" t="str">
        <f>HYPERLINK("http://amigo.geneontology.org/amigo/term/GO:1903507","GO:1903507")</f>
        <v>GO:1903507</v>
      </c>
      <c r="B869" t="s">
        <v>1629</v>
      </c>
      <c r="C869">
        <v>169</v>
      </c>
      <c r="K869" s="1">
        <v>3.0000000000000001E-3</v>
      </c>
      <c r="M869">
        <v>0.02</v>
      </c>
    </row>
    <row r="870" spans="1:13" x14ac:dyDescent="0.25">
      <c r="A870" s="16" t="str">
        <f>HYPERLINK("http://amigo.geneontology.org/amigo/term/GO:0032890","GO:0032890")</f>
        <v>GO:0032890</v>
      </c>
      <c r="B870" t="s">
        <v>1469</v>
      </c>
      <c r="C870">
        <v>32</v>
      </c>
      <c r="I870" s="1">
        <v>3.0850000000000001E-3</v>
      </c>
    </row>
    <row r="871" spans="1:13" x14ac:dyDescent="0.25">
      <c r="A871" s="16" t="str">
        <f>HYPERLINK("http://amigo.geneontology.org/amigo/term/GO:0051952","GO:0051952")</f>
        <v>GO:0051952</v>
      </c>
      <c r="B871" t="s">
        <v>1470</v>
      </c>
      <c r="C871">
        <v>32</v>
      </c>
      <c r="I871" s="1">
        <v>3.0850000000000001E-3</v>
      </c>
    </row>
    <row r="872" spans="1:13" x14ac:dyDescent="0.25">
      <c r="A872" s="16" t="str">
        <f>HYPERLINK("http://amigo.geneontology.org/amigo/term/GO:0051955","GO:0051955")</f>
        <v>GO:0051955</v>
      </c>
      <c r="B872" t="s">
        <v>1471</v>
      </c>
      <c r="C872">
        <v>32</v>
      </c>
      <c r="I872" s="1">
        <v>3.0850000000000001E-3</v>
      </c>
    </row>
    <row r="873" spans="1:13" x14ac:dyDescent="0.25">
      <c r="A873" s="16" t="str">
        <f>HYPERLINK("http://amigo.geneontology.org/amigo/term/GO:0080143","GO:0080143")</f>
        <v>GO:0080143</v>
      </c>
      <c r="B873" t="s">
        <v>1473</v>
      </c>
      <c r="C873">
        <v>32</v>
      </c>
      <c r="I873" s="1">
        <v>3.0850000000000001E-3</v>
      </c>
    </row>
    <row r="874" spans="1:13" x14ac:dyDescent="0.25">
      <c r="A874" s="16" t="str">
        <f>HYPERLINK("http://amigo.geneontology.org/amigo/term/GO:1903789","GO:1903789")</f>
        <v>GO:1903789</v>
      </c>
      <c r="B874" t="s">
        <v>1472</v>
      </c>
      <c r="C874">
        <v>32</v>
      </c>
      <c r="I874" s="1">
        <v>3.0850000000000001E-3</v>
      </c>
    </row>
    <row r="875" spans="1:13" x14ac:dyDescent="0.25">
      <c r="A875" s="16" t="str">
        <f>HYPERLINK("http://amigo.geneontology.org/amigo/term/GO:0031668","GO:0031668")</f>
        <v>GO:0031668</v>
      </c>
      <c r="B875" t="s">
        <v>1335</v>
      </c>
      <c r="C875">
        <v>97</v>
      </c>
      <c r="H875" s="1">
        <v>3.0899999999999999E-3</v>
      </c>
    </row>
    <row r="876" spans="1:13" x14ac:dyDescent="0.25">
      <c r="A876" s="16" t="str">
        <f>HYPERLINK("http://amigo.geneontology.org/amigo/term/GO:0071496","GO:0071496")</f>
        <v>GO:0071496</v>
      </c>
      <c r="B876" t="s">
        <v>1334</v>
      </c>
      <c r="C876">
        <v>97</v>
      </c>
      <c r="H876" s="1">
        <v>3.0899999999999999E-3</v>
      </c>
    </row>
    <row r="877" spans="1:13" x14ac:dyDescent="0.25">
      <c r="A877" s="16" t="str">
        <f>HYPERLINK("http://amigo.geneontology.org/amigo/term/GO:0019566","GO:0019566")</f>
        <v>GO:0019566</v>
      </c>
      <c r="B877" t="s">
        <v>1566</v>
      </c>
      <c r="C877">
        <v>18</v>
      </c>
      <c r="J877" s="1">
        <v>3.176E-3</v>
      </c>
    </row>
    <row r="878" spans="1:13" x14ac:dyDescent="0.25">
      <c r="A878" s="16" t="str">
        <f>HYPERLINK("http://amigo.geneontology.org/amigo/term/GO:0046373","GO:0046373")</f>
        <v>GO:0046373</v>
      </c>
      <c r="B878" t="s">
        <v>1567</v>
      </c>
      <c r="C878">
        <v>18</v>
      </c>
      <c r="J878" s="1">
        <v>3.176E-3</v>
      </c>
    </row>
    <row r="879" spans="1:13" x14ac:dyDescent="0.25">
      <c r="A879" s="16" t="str">
        <f>HYPERLINK("http://amigo.geneontology.org/amigo/term/GO:0043094","GO:0043094")</f>
        <v>GO:0043094</v>
      </c>
      <c r="B879" t="s">
        <v>1474</v>
      </c>
      <c r="C879">
        <v>108</v>
      </c>
      <c r="I879" s="1">
        <v>3.2179999999999999E-3</v>
      </c>
      <c r="M879" s="1">
        <v>4.561E-3</v>
      </c>
    </row>
    <row r="880" spans="1:13" x14ac:dyDescent="0.25">
      <c r="A880" s="16" t="str">
        <f>HYPERLINK("http://amigo.geneontology.org/amigo/term/GO:0006423","GO:0006423")</f>
        <v>GO:0006423</v>
      </c>
      <c r="B880" t="s">
        <v>1476</v>
      </c>
      <c r="C880">
        <v>10</v>
      </c>
      <c r="I880" s="1">
        <v>3.5669999999999999E-3</v>
      </c>
    </row>
    <row r="881" spans="1:13" x14ac:dyDescent="0.25">
      <c r="A881" s="16" t="str">
        <f>HYPERLINK("http://amigo.geneontology.org/amigo/term/GO:0070681","GO:0070681")</f>
        <v>GO:0070681</v>
      </c>
      <c r="B881" t="s">
        <v>1475</v>
      </c>
      <c r="C881">
        <v>10</v>
      </c>
      <c r="I881" s="1">
        <v>3.5669999999999999E-3</v>
      </c>
    </row>
    <row r="882" spans="1:13" x14ac:dyDescent="0.25">
      <c r="A882" s="16" t="str">
        <f>HYPERLINK("http://amigo.geneontology.org/amigo/term/GO:0033013","GO:0033013")</f>
        <v>GO:0033013</v>
      </c>
      <c r="B882" t="s">
        <v>1478</v>
      </c>
      <c r="C882">
        <v>160</v>
      </c>
      <c r="I882" s="1">
        <v>3.673E-3</v>
      </c>
      <c r="M882">
        <v>0.01</v>
      </c>
    </row>
    <row r="883" spans="1:13" x14ac:dyDescent="0.25">
      <c r="A883" s="16" t="str">
        <f>HYPERLINK("http://amigo.geneontology.org/amigo/term/GO:0006551","GO:0006551")</f>
        <v>GO:0006551</v>
      </c>
      <c r="B883" t="s">
        <v>1337</v>
      </c>
      <c r="C883">
        <v>15</v>
      </c>
      <c r="H883" s="1">
        <v>3.7399999999999998E-3</v>
      </c>
    </row>
    <row r="884" spans="1:13" x14ac:dyDescent="0.25">
      <c r="A884" s="16" t="str">
        <f>HYPERLINK("http://amigo.geneontology.org/amigo/term/GO:0043255","GO:0043255")</f>
        <v>GO:0043255</v>
      </c>
      <c r="B884" t="s">
        <v>1336</v>
      </c>
      <c r="C884">
        <v>15</v>
      </c>
      <c r="H884" s="1">
        <v>3.7399999999999998E-3</v>
      </c>
    </row>
    <row r="885" spans="1:13" x14ac:dyDescent="0.25">
      <c r="A885" s="16" t="str">
        <f>HYPERLINK("http://amigo.geneontology.org/amigo/term/GO:0051253","GO:0051253")</f>
        <v>GO:0051253</v>
      </c>
      <c r="B885" t="s">
        <v>1630</v>
      </c>
      <c r="C885">
        <v>184</v>
      </c>
      <c r="K885" s="1">
        <v>3.8070000000000001E-3</v>
      </c>
      <c r="M885">
        <v>0.02</v>
      </c>
    </row>
    <row r="886" spans="1:13" x14ac:dyDescent="0.25">
      <c r="A886" s="16" t="str">
        <f>HYPERLINK("http://amigo.geneontology.org/amigo/term/GO:0000278","GO:0000278")</f>
        <v>GO:0000278</v>
      </c>
      <c r="B886" t="s">
        <v>1631</v>
      </c>
      <c r="C886">
        <v>185</v>
      </c>
      <c r="K886" s="1">
        <v>3.8649999999999999E-3</v>
      </c>
    </row>
    <row r="887" spans="1:13" x14ac:dyDescent="0.25">
      <c r="A887" s="16" t="str">
        <f>HYPERLINK("http://amigo.geneontology.org/amigo/term/GO:0046656","GO:0046656")</f>
        <v>GO:0046656</v>
      </c>
      <c r="B887" t="s">
        <v>1479</v>
      </c>
      <c r="C887">
        <v>11</v>
      </c>
      <c r="I887" s="1">
        <v>4.333E-3</v>
      </c>
    </row>
    <row r="888" spans="1:13" x14ac:dyDescent="0.25">
      <c r="A888" s="16" t="str">
        <f>HYPERLINK("http://amigo.geneontology.org/amigo/term/GO:0048856","GO:0048856")</f>
        <v>GO:0048856</v>
      </c>
      <c r="B888" t="s">
        <v>1632</v>
      </c>
      <c r="C888">
        <v>1205</v>
      </c>
      <c r="K888" s="1">
        <v>4.4380000000000001E-3</v>
      </c>
    </row>
    <row r="889" spans="1:13" x14ac:dyDescent="0.25">
      <c r="A889" s="16" t="str">
        <f>HYPERLINK("http://amigo.geneontology.org/amigo/term/GO:0005992","GO:0005992")</f>
        <v>GO:0005992</v>
      </c>
      <c r="B889" t="s">
        <v>1339</v>
      </c>
      <c r="C889">
        <v>56</v>
      </c>
      <c r="H889" s="1">
        <v>4.9959999999999996E-3</v>
      </c>
      <c r="M889">
        <v>0.01</v>
      </c>
    </row>
    <row r="890" spans="1:13" x14ac:dyDescent="0.25">
      <c r="A890" s="16" t="str">
        <f>HYPERLINK("http://amigo.geneontology.org/amigo/term/GO:0019310","GO:0019310")</f>
        <v>GO:0019310</v>
      </c>
      <c r="B890" t="s">
        <v>1633</v>
      </c>
      <c r="C890">
        <v>3</v>
      </c>
      <c r="K890" s="1">
        <v>5.0390000000000001E-3</v>
      </c>
    </row>
    <row r="891" spans="1:13" x14ac:dyDescent="0.25">
      <c r="A891" s="16" t="str">
        <f>HYPERLINK("http://amigo.geneontology.org/amigo/term/GO:0045934","GO:0045934")</f>
        <v>GO:0045934</v>
      </c>
      <c r="B891" t="s">
        <v>1634</v>
      </c>
      <c r="C891">
        <v>204</v>
      </c>
      <c r="K891" s="1">
        <v>5.0720000000000001E-3</v>
      </c>
      <c r="M891">
        <v>0.03</v>
      </c>
    </row>
    <row r="892" spans="1:13" x14ac:dyDescent="0.25">
      <c r="A892" s="16" t="str">
        <f>HYPERLINK("http://amigo.geneontology.org/amigo/term/GO:0048285","GO:0048285")</f>
        <v>GO:0048285</v>
      </c>
      <c r="B892" t="s">
        <v>1635</v>
      </c>
      <c r="C892">
        <v>208</v>
      </c>
      <c r="K892" s="1">
        <v>5.3509999999999999E-3</v>
      </c>
    </row>
    <row r="893" spans="1:13" x14ac:dyDescent="0.25">
      <c r="A893" s="16" t="str">
        <f>HYPERLINK("http://amigo.geneontology.org/amigo/term/GO:0009646","GO:0009646")</f>
        <v>GO:0009646</v>
      </c>
      <c r="B893" t="s">
        <v>1340</v>
      </c>
      <c r="C893">
        <v>18</v>
      </c>
      <c r="H893" s="1">
        <v>5.3829999999999998E-3</v>
      </c>
    </row>
    <row r="894" spans="1:13" x14ac:dyDescent="0.25">
      <c r="A894" s="16" t="str">
        <f>HYPERLINK("http://amigo.geneontology.org/amigo/term/GO:0051128","GO:0051128")</f>
        <v>GO:0051128</v>
      </c>
      <c r="B894" t="s">
        <v>1636</v>
      </c>
      <c r="C894">
        <v>209</v>
      </c>
      <c r="K894" s="1">
        <v>5.4229999999999999E-3</v>
      </c>
    </row>
    <row r="895" spans="1:13" x14ac:dyDescent="0.25">
      <c r="A895" s="16" t="str">
        <f>HYPERLINK("http://amigo.geneontology.org/amigo/term/GO:0007049","GO:0007049")</f>
        <v>GO:0007049</v>
      </c>
      <c r="B895" t="s">
        <v>1637</v>
      </c>
      <c r="C895">
        <v>415</v>
      </c>
      <c r="K895" s="1">
        <v>5.4739999999999997E-3</v>
      </c>
    </row>
    <row r="896" spans="1:13" x14ac:dyDescent="0.25">
      <c r="A896" s="16" t="str">
        <f>HYPERLINK("http://amigo.geneontology.org/amigo/term/GO:0033014","GO:0033014")</f>
        <v>GO:0033014</v>
      </c>
      <c r="B896" t="s">
        <v>1481</v>
      </c>
      <c r="C896">
        <v>123</v>
      </c>
      <c r="I896" s="1">
        <v>5.5830000000000003E-3</v>
      </c>
      <c r="M896" s="1">
        <v>6.5380000000000004E-3</v>
      </c>
    </row>
    <row r="897" spans="1:13" x14ac:dyDescent="0.25">
      <c r="A897" s="16" t="str">
        <f>HYPERLINK("http://amigo.geneontology.org/amigo/term/GO:0009914","GO:0009914")</f>
        <v>GO:0009914</v>
      </c>
      <c r="B897" t="s">
        <v>1569</v>
      </c>
      <c r="C897">
        <v>24</v>
      </c>
      <c r="J897" s="1">
        <v>5.6239999999999997E-3</v>
      </c>
    </row>
    <row r="898" spans="1:13" x14ac:dyDescent="0.25">
      <c r="A898" s="16" t="str">
        <f>HYPERLINK("http://amigo.geneontology.org/amigo/term/GO:0060918","GO:0060918")</f>
        <v>GO:0060918</v>
      </c>
      <c r="B898" t="s">
        <v>1570</v>
      </c>
      <c r="C898">
        <v>24</v>
      </c>
      <c r="J898" s="1">
        <v>5.6239999999999997E-3</v>
      </c>
    </row>
    <row r="899" spans="1:13" x14ac:dyDescent="0.25">
      <c r="A899" s="16" t="str">
        <f>HYPERLINK("http://amigo.geneontology.org/amigo/term/GO:0009733","GO:0009733")</f>
        <v>GO:0009733</v>
      </c>
      <c r="B899" t="s">
        <v>1341</v>
      </c>
      <c r="C899">
        <v>526</v>
      </c>
      <c r="H899" s="1">
        <v>5.6610000000000002E-3</v>
      </c>
    </row>
    <row r="900" spans="1:13" x14ac:dyDescent="0.25">
      <c r="A900" s="16" t="str">
        <f>HYPERLINK("http://amigo.geneontology.org/amigo/term/GO:0005991","GO:0005991")</f>
        <v>GO:0005991</v>
      </c>
      <c r="B900" t="s">
        <v>1342</v>
      </c>
      <c r="C900">
        <v>59</v>
      </c>
      <c r="H900" s="1">
        <v>5.7809999999999997E-3</v>
      </c>
      <c r="M900">
        <v>0.01</v>
      </c>
    </row>
    <row r="901" spans="1:13" x14ac:dyDescent="0.25">
      <c r="A901" s="16" t="str">
        <f>HYPERLINK("http://amigo.geneontology.org/amigo/term/GO:0006418","GO:0006418")</f>
        <v>GO:0006418</v>
      </c>
      <c r="B901" t="s">
        <v>1482</v>
      </c>
      <c r="C901">
        <v>233</v>
      </c>
      <c r="I901" s="1">
        <v>5.9080000000000001E-3</v>
      </c>
    </row>
    <row r="902" spans="1:13" x14ac:dyDescent="0.25">
      <c r="A902" s="16" t="str">
        <f>HYPERLINK("http://amigo.geneontology.org/amigo/term/GO:0006677","GO:0006677")</f>
        <v>GO:0006677</v>
      </c>
      <c r="B902" t="s">
        <v>1344</v>
      </c>
      <c r="C902">
        <v>19</v>
      </c>
      <c r="H902" s="1">
        <v>5.9919999999999999E-3</v>
      </c>
    </row>
    <row r="903" spans="1:13" x14ac:dyDescent="0.25">
      <c r="A903" s="16" t="str">
        <f>HYPERLINK("http://amigo.geneontology.org/amigo/term/GO:0006678","GO:0006678")</f>
        <v>GO:0006678</v>
      </c>
      <c r="B903" t="s">
        <v>1345</v>
      </c>
      <c r="C903">
        <v>19</v>
      </c>
      <c r="H903" s="1">
        <v>5.9919999999999999E-3</v>
      </c>
    </row>
    <row r="904" spans="1:13" x14ac:dyDescent="0.25">
      <c r="A904" s="16" t="str">
        <f>HYPERLINK("http://amigo.geneontology.org/amigo/term/GO:0006687","GO:0006687")</f>
        <v>GO:0006687</v>
      </c>
      <c r="B904" t="s">
        <v>1343</v>
      </c>
      <c r="C904">
        <v>19</v>
      </c>
      <c r="H904" s="1">
        <v>5.9919999999999999E-3</v>
      </c>
    </row>
    <row r="905" spans="1:13" x14ac:dyDescent="0.25">
      <c r="A905" s="16" t="str">
        <f>HYPERLINK("http://amigo.geneontology.org/amigo/term/GO:0009735","GO:0009735")</f>
        <v>GO:0009735</v>
      </c>
      <c r="B905" t="s">
        <v>1483</v>
      </c>
      <c r="C905">
        <v>79</v>
      </c>
      <c r="I905" s="1">
        <v>6.0260000000000001E-3</v>
      </c>
    </row>
    <row r="906" spans="1:13" x14ac:dyDescent="0.25">
      <c r="A906" s="16" t="str">
        <f>HYPERLINK("http://amigo.geneontology.org/amigo/term/GO:0098755","GO:0098755")</f>
        <v>GO:0098755</v>
      </c>
      <c r="B906" t="s">
        <v>1574</v>
      </c>
      <c r="C906">
        <v>2</v>
      </c>
      <c r="J906" s="1">
        <v>9.332E-3</v>
      </c>
      <c r="K906" s="1">
        <v>3.362E-3</v>
      </c>
    </row>
    <row r="907" spans="1:13" x14ac:dyDescent="0.25">
      <c r="A907" s="16" t="str">
        <f>HYPERLINK("http://amigo.geneontology.org/amigo/term/GO:0010038","GO:0010038")</f>
        <v>GO:0010038</v>
      </c>
      <c r="B907" t="s">
        <v>1485</v>
      </c>
      <c r="C907">
        <v>128</v>
      </c>
      <c r="I907" s="1">
        <v>6.5890000000000002E-3</v>
      </c>
      <c r="L907" s="1">
        <v>4.3389999999999998E-4</v>
      </c>
    </row>
    <row r="908" spans="1:13" x14ac:dyDescent="0.25">
      <c r="A908" s="16" t="str">
        <f>HYPERLINK("http://amigo.geneontology.org/amigo/term/GO:0007349","GO:0007349")</f>
        <v>GO:0007349</v>
      </c>
      <c r="B908" t="s">
        <v>1638</v>
      </c>
      <c r="C908">
        <v>4</v>
      </c>
      <c r="K908" s="1">
        <v>6.7140000000000003E-3</v>
      </c>
    </row>
    <row r="909" spans="1:13" x14ac:dyDescent="0.25">
      <c r="A909" s="16" t="str">
        <f>HYPERLINK("http://amigo.geneontology.org/amigo/term/GO:0009558","GO:0009558")</f>
        <v>GO:0009558</v>
      </c>
      <c r="B909" t="s">
        <v>1639</v>
      </c>
      <c r="C909">
        <v>4</v>
      </c>
      <c r="K909" s="1">
        <v>6.7140000000000003E-3</v>
      </c>
    </row>
    <row r="910" spans="1:13" x14ac:dyDescent="0.25">
      <c r="A910" s="16" t="str">
        <f>HYPERLINK("http://amigo.geneontology.org/amigo/term/GO:0032879","GO:0032879")</f>
        <v>GO:0032879</v>
      </c>
      <c r="B910" t="s">
        <v>1338</v>
      </c>
      <c r="C910">
        <v>103</v>
      </c>
      <c r="H910" s="1">
        <v>3.8319999999999999E-3</v>
      </c>
      <c r="I910">
        <v>0.01</v>
      </c>
    </row>
    <row r="911" spans="1:13" x14ac:dyDescent="0.25">
      <c r="A911" s="16" t="str">
        <f>HYPERLINK("http://amigo.geneontology.org/amigo/term/GO:0046654","GO:0046654")</f>
        <v>GO:0046654</v>
      </c>
      <c r="B911" t="s">
        <v>1486</v>
      </c>
      <c r="C911">
        <v>14</v>
      </c>
      <c r="I911" s="1">
        <v>7.0410000000000004E-3</v>
      </c>
    </row>
    <row r="912" spans="1:13" x14ac:dyDescent="0.25">
      <c r="A912" s="16" t="str">
        <f>HYPERLINK("http://amigo.geneontology.org/amigo/term/GO:0051239","GO:0051239")</f>
        <v>GO:0051239</v>
      </c>
      <c r="B912" t="s">
        <v>1352</v>
      </c>
      <c r="C912">
        <v>226</v>
      </c>
      <c r="H912">
        <v>0.01</v>
      </c>
      <c r="J912" s="1">
        <v>4.4089999999999997E-3</v>
      </c>
      <c r="M912">
        <v>0.03</v>
      </c>
    </row>
    <row r="913" spans="1:12" x14ac:dyDescent="0.25">
      <c r="A913" s="16" t="str">
        <f>HYPERLINK("http://amigo.geneontology.org/amigo/term/GO:0048523","GO:0048523")</f>
        <v>GO:0048523</v>
      </c>
      <c r="B913" t="s">
        <v>1640</v>
      </c>
      <c r="C913">
        <v>711</v>
      </c>
      <c r="K913" s="1">
        <v>7.2529999999999999E-3</v>
      </c>
    </row>
    <row r="914" spans="1:12" x14ac:dyDescent="0.25">
      <c r="A914" s="16" t="str">
        <f>HYPERLINK("http://amigo.geneontology.org/amigo/term/GO:0006535","GO:0006535")</f>
        <v>GO:0006535</v>
      </c>
      <c r="B914" t="s">
        <v>1487</v>
      </c>
      <c r="C914">
        <v>44</v>
      </c>
      <c r="I914" s="1">
        <v>7.5979999999999997E-3</v>
      </c>
    </row>
    <row r="915" spans="1:12" x14ac:dyDescent="0.25">
      <c r="A915" s="16" t="str">
        <f>HYPERLINK("http://amigo.geneontology.org/amigo/term/GO:0050793","GO:0050793")</f>
        <v>GO:0050793</v>
      </c>
      <c r="B915" t="s">
        <v>1572</v>
      </c>
      <c r="C915">
        <v>363</v>
      </c>
      <c r="J915" s="1">
        <v>7.6169999999999996E-3</v>
      </c>
    </row>
    <row r="916" spans="1:12" x14ac:dyDescent="0.25">
      <c r="A916" s="16" t="str">
        <f>HYPERLINK("http://amigo.geneontology.org/amigo/term/GO:0030091","GO:0030091")</f>
        <v>GO:0030091</v>
      </c>
      <c r="B916" t="s">
        <v>1488</v>
      </c>
      <c r="C916">
        <v>15</v>
      </c>
      <c r="I916" s="1">
        <v>8.0750000000000006E-3</v>
      </c>
    </row>
    <row r="917" spans="1:12" x14ac:dyDescent="0.25">
      <c r="A917" s="16" t="str">
        <f>HYPERLINK("http://amigo.geneontology.org/amigo/term/GO:0007080","GO:0007080")</f>
        <v>GO:0007080</v>
      </c>
      <c r="B917" t="s">
        <v>1645</v>
      </c>
      <c r="C917">
        <v>5</v>
      </c>
      <c r="K917" s="1">
        <v>8.3850000000000001E-3</v>
      </c>
    </row>
    <row r="918" spans="1:12" x14ac:dyDescent="0.25">
      <c r="A918" s="16" t="str">
        <f>HYPERLINK("http://amigo.geneontology.org/amigo/term/GO:0042450","GO:0042450")</f>
        <v>GO:0042450</v>
      </c>
      <c r="B918" t="s">
        <v>1641</v>
      </c>
      <c r="C918">
        <v>5</v>
      </c>
      <c r="K918" s="1">
        <v>8.3850000000000001E-3</v>
      </c>
    </row>
    <row r="919" spans="1:12" x14ac:dyDescent="0.25">
      <c r="A919" s="16" t="str">
        <f>HYPERLINK("http://amigo.geneontology.org/amigo/term/GO:0050000","GO:0050000")</f>
        <v>GO:0050000</v>
      </c>
      <c r="B919" t="s">
        <v>1642</v>
      </c>
      <c r="C919">
        <v>5</v>
      </c>
      <c r="K919" s="1">
        <v>8.3850000000000001E-3</v>
      </c>
    </row>
    <row r="920" spans="1:12" x14ac:dyDescent="0.25">
      <c r="A920" s="16" t="str">
        <f>HYPERLINK("http://amigo.geneontology.org/amigo/term/GO:0051303","GO:0051303")</f>
        <v>GO:0051303</v>
      </c>
      <c r="B920" t="s">
        <v>1643</v>
      </c>
      <c r="C920">
        <v>5</v>
      </c>
      <c r="K920" s="1">
        <v>8.3850000000000001E-3</v>
      </c>
    </row>
    <row r="921" spans="1:12" x14ac:dyDescent="0.25">
      <c r="A921" s="16" t="str">
        <f>HYPERLINK("http://amigo.geneontology.org/amigo/term/GO:0051310","GO:0051310")</f>
        <v>GO:0051310</v>
      </c>
      <c r="B921" t="s">
        <v>1644</v>
      </c>
      <c r="C921">
        <v>5</v>
      </c>
      <c r="K921" s="1">
        <v>8.3850000000000001E-3</v>
      </c>
    </row>
    <row r="922" spans="1:12" x14ac:dyDescent="0.25">
      <c r="A922" s="16" t="str">
        <f>HYPERLINK("http://amigo.geneontology.org/amigo/term/GO:0051315","GO:0051315")</f>
        <v>GO:0051315</v>
      </c>
      <c r="B922" t="s">
        <v>1646</v>
      </c>
      <c r="C922">
        <v>5</v>
      </c>
      <c r="K922" s="1">
        <v>8.3850000000000001E-3</v>
      </c>
    </row>
    <row r="923" spans="1:12" x14ac:dyDescent="0.25">
      <c r="A923" s="16" t="str">
        <f>HYPERLINK("http://amigo.geneontology.org/amigo/term/GO:0046686","GO:0046686")</f>
        <v>GO:0046686</v>
      </c>
      <c r="B923" t="s">
        <v>1489</v>
      </c>
      <c r="C923">
        <v>87</v>
      </c>
      <c r="I923" s="1">
        <v>8.4329999999999995E-3</v>
      </c>
      <c r="L923" s="1">
        <v>5.2299999999999997E-5</v>
      </c>
    </row>
    <row r="924" spans="1:12" x14ac:dyDescent="0.25">
      <c r="A924" s="16" t="str">
        <f>HYPERLINK("http://amigo.geneontology.org/amigo/term/GO:0007623","GO:0007623")</f>
        <v>GO:0007623</v>
      </c>
      <c r="B924" t="s">
        <v>1490</v>
      </c>
      <c r="C924">
        <v>46</v>
      </c>
      <c r="I924" s="1">
        <v>8.5920000000000007E-3</v>
      </c>
    </row>
    <row r="925" spans="1:12" x14ac:dyDescent="0.25">
      <c r="A925" s="16" t="str">
        <f>HYPERLINK("http://amigo.geneontology.org/amigo/term/GO:0042407","GO:0042407")</f>
        <v>GO:0042407</v>
      </c>
      <c r="B925" t="s">
        <v>1491</v>
      </c>
      <c r="C925">
        <v>1</v>
      </c>
      <c r="I925" s="1">
        <v>9.129E-3</v>
      </c>
    </row>
    <row r="926" spans="1:12" x14ac:dyDescent="0.25">
      <c r="A926" s="16" t="str">
        <f>HYPERLINK("http://amigo.geneontology.org/amigo/term/GO:0009964","GO:0009964")</f>
        <v>GO:0009964</v>
      </c>
      <c r="B926" t="s">
        <v>1573</v>
      </c>
      <c r="C926">
        <v>2</v>
      </c>
      <c r="J926" s="1">
        <v>9.332E-3</v>
      </c>
    </row>
    <row r="927" spans="1:12" x14ac:dyDescent="0.25">
      <c r="A927" s="16" t="str">
        <f>HYPERLINK("http://amigo.geneontology.org/amigo/term/GO:0034765","GO:0034765")</f>
        <v>GO:0034765</v>
      </c>
      <c r="B927" t="s">
        <v>1346</v>
      </c>
      <c r="C927">
        <v>24</v>
      </c>
      <c r="H927" s="1">
        <v>9.4780000000000003E-3</v>
      </c>
    </row>
    <row r="928" spans="1:12" x14ac:dyDescent="0.25">
      <c r="A928" s="16" t="str">
        <f>HYPERLINK("http://amigo.geneontology.org/amigo/term/GO:0019344","GO:0019344")</f>
        <v>GO:0019344</v>
      </c>
      <c r="B928" t="s">
        <v>1492</v>
      </c>
      <c r="C928">
        <v>48</v>
      </c>
      <c r="I928" s="1">
        <v>9.6589999999999992E-3</v>
      </c>
    </row>
    <row r="929" spans="1:13" x14ac:dyDescent="0.25">
      <c r="A929" s="16" t="str">
        <f>HYPERLINK("http://amigo.geneontology.org/amigo/term/GO:0048609","GO:0048609")</f>
        <v>GO:0048609</v>
      </c>
      <c r="B929" t="s">
        <v>1647</v>
      </c>
      <c r="C929">
        <v>88</v>
      </c>
      <c r="K929" s="1">
        <v>9.783E-3</v>
      </c>
    </row>
    <row r="930" spans="1:13" x14ac:dyDescent="0.25">
      <c r="A930" s="16" t="str">
        <f>HYPERLINK("http://amigo.geneontology.org/amigo/term/GO:0015939","GO:0015939")</f>
        <v>GO:0015939</v>
      </c>
      <c r="B930" t="s">
        <v>1657</v>
      </c>
      <c r="C930">
        <v>6</v>
      </c>
      <c r="K930">
        <v>0.01</v>
      </c>
      <c r="L930">
        <v>0.04</v>
      </c>
    </row>
    <row r="931" spans="1:13" x14ac:dyDescent="0.25">
      <c r="A931" s="16" t="str">
        <f>HYPERLINK("http://amigo.geneontology.org/amigo/term/GO:0015940","GO:0015940")</f>
        <v>GO:0015940</v>
      </c>
      <c r="B931" t="s">
        <v>1658</v>
      </c>
      <c r="C931">
        <v>6</v>
      </c>
      <c r="K931">
        <v>0.01</v>
      </c>
      <c r="L931">
        <v>0.04</v>
      </c>
    </row>
    <row r="932" spans="1:13" x14ac:dyDescent="0.25">
      <c r="A932" s="16" t="str">
        <f>HYPERLINK("http://amigo.geneontology.org/amigo/term/GO:0046351","GO:0046351")</f>
        <v>GO:0046351</v>
      </c>
      <c r="B932" t="s">
        <v>1355</v>
      </c>
      <c r="C932">
        <v>79</v>
      </c>
      <c r="H932">
        <v>0.01</v>
      </c>
      <c r="M932">
        <v>0.02</v>
      </c>
    </row>
    <row r="933" spans="1:13" x14ac:dyDescent="0.25">
      <c r="A933" s="16" t="str">
        <f>HYPERLINK("http://amigo.geneontology.org/amigo/term/GO:0005996","GO:0005996")</f>
        <v>GO:0005996</v>
      </c>
      <c r="B933" t="s">
        <v>1578</v>
      </c>
      <c r="C933">
        <v>292</v>
      </c>
      <c r="J933">
        <v>0.01</v>
      </c>
    </row>
    <row r="934" spans="1:13" x14ac:dyDescent="0.25">
      <c r="A934" s="16" t="str">
        <f>HYPERLINK("http://amigo.geneontology.org/amigo/term/GO:0005997","GO:0005997")</f>
        <v>GO:0005997</v>
      </c>
      <c r="B934" t="s">
        <v>1351</v>
      </c>
      <c r="C934">
        <v>2</v>
      </c>
      <c r="H934">
        <v>0.01</v>
      </c>
    </row>
    <row r="935" spans="1:13" x14ac:dyDescent="0.25">
      <c r="A935" s="16" t="str">
        <f>HYPERLINK("http://amigo.geneontology.org/amigo/term/GO:0006099","GO:0006099")</f>
        <v>GO:0006099</v>
      </c>
      <c r="B935" t="s">
        <v>1494</v>
      </c>
      <c r="C935">
        <v>101</v>
      </c>
      <c r="I935">
        <v>0.01</v>
      </c>
    </row>
    <row r="936" spans="1:13" x14ac:dyDescent="0.25">
      <c r="A936" s="16" t="str">
        <f>HYPERLINK("http://amigo.geneontology.org/amigo/term/GO:0006144","GO:0006144")</f>
        <v>GO:0006144</v>
      </c>
      <c r="B936" t="s">
        <v>1353</v>
      </c>
      <c r="C936">
        <v>29</v>
      </c>
      <c r="H936">
        <v>0.01</v>
      </c>
    </row>
    <row r="937" spans="1:13" x14ac:dyDescent="0.25">
      <c r="A937" s="16" t="str">
        <f>HYPERLINK("http://amigo.geneontology.org/amigo/term/GO:0006260","GO:0006260")</f>
        <v>GO:0006260</v>
      </c>
      <c r="B937" t="s">
        <v>1579</v>
      </c>
      <c r="C937">
        <v>281</v>
      </c>
      <c r="J937">
        <v>0.01</v>
      </c>
    </row>
    <row r="938" spans="1:13" x14ac:dyDescent="0.25">
      <c r="A938" s="16" t="str">
        <f>HYPERLINK("http://amigo.geneontology.org/amigo/term/GO:0006821","GO:0006821")</f>
        <v>GO:0006821</v>
      </c>
      <c r="B938" t="s">
        <v>1581</v>
      </c>
      <c r="C938">
        <v>34</v>
      </c>
      <c r="J938">
        <v>0.01</v>
      </c>
    </row>
    <row r="939" spans="1:13" x14ac:dyDescent="0.25">
      <c r="A939" s="16" t="str">
        <f>HYPERLINK("http://amigo.geneontology.org/amigo/term/GO:0007112","GO:0007112")</f>
        <v>GO:0007112</v>
      </c>
      <c r="B939" t="s">
        <v>1651</v>
      </c>
      <c r="C939">
        <v>6</v>
      </c>
      <c r="K939">
        <v>0.01</v>
      </c>
    </row>
    <row r="940" spans="1:13" x14ac:dyDescent="0.25">
      <c r="A940" s="16" t="str">
        <f>HYPERLINK("http://amigo.geneontology.org/amigo/term/GO:0008608","GO:0008608")</f>
        <v>GO:0008608</v>
      </c>
      <c r="B940" t="s">
        <v>1656</v>
      </c>
      <c r="C940">
        <v>8</v>
      </c>
      <c r="K940">
        <v>0.01</v>
      </c>
    </row>
    <row r="941" spans="1:13" x14ac:dyDescent="0.25">
      <c r="A941" s="16" t="str">
        <f>HYPERLINK("http://amigo.geneontology.org/amigo/term/GO:0009638","GO:0009638")</f>
        <v>GO:0009638</v>
      </c>
      <c r="B941" t="s">
        <v>1495</v>
      </c>
      <c r="C941">
        <v>18</v>
      </c>
      <c r="I941">
        <v>0.01</v>
      </c>
    </row>
    <row r="942" spans="1:13" x14ac:dyDescent="0.25">
      <c r="A942" s="16" t="str">
        <f>HYPERLINK("http://amigo.geneontology.org/amigo/term/GO:0009738","GO:0009738")</f>
        <v>GO:0009738</v>
      </c>
      <c r="B942" t="s">
        <v>1577</v>
      </c>
      <c r="C942">
        <v>97</v>
      </c>
      <c r="J942">
        <v>0.01</v>
      </c>
      <c r="K942">
        <v>0.01</v>
      </c>
    </row>
    <row r="943" spans="1:13" x14ac:dyDescent="0.25">
      <c r="A943" s="16" t="str">
        <f>HYPERLINK("http://amigo.geneontology.org/amigo/term/GO:0009791","GO:0009791")</f>
        <v>GO:0009791</v>
      </c>
      <c r="B943" t="s">
        <v>1655</v>
      </c>
      <c r="C943">
        <v>532</v>
      </c>
      <c r="K943">
        <v>0.01</v>
      </c>
    </row>
    <row r="944" spans="1:13" x14ac:dyDescent="0.25">
      <c r="A944" s="16" t="str">
        <f>HYPERLINK("http://amigo.geneontology.org/amigo/term/GO:0010966","GO:0010966")</f>
        <v>GO:0010966</v>
      </c>
      <c r="B944" t="s">
        <v>1347</v>
      </c>
      <c r="C944">
        <v>2</v>
      </c>
      <c r="H944">
        <v>0.01</v>
      </c>
    </row>
    <row r="945" spans="1:11" x14ac:dyDescent="0.25">
      <c r="A945" s="16" t="str">
        <f>HYPERLINK("http://amigo.geneontology.org/amigo/term/GO:0016070","GO:0016070")</f>
        <v>GO:0016070</v>
      </c>
      <c r="B945" t="s">
        <v>1648</v>
      </c>
      <c r="C945">
        <v>3477</v>
      </c>
      <c r="K945">
        <v>0.01</v>
      </c>
    </row>
    <row r="946" spans="1:11" x14ac:dyDescent="0.25">
      <c r="A946" s="16" t="str">
        <f>HYPERLINK("http://amigo.geneontology.org/amigo/term/GO:0019321","GO:0019321")</f>
        <v>GO:0019321</v>
      </c>
      <c r="B946" t="s">
        <v>1580</v>
      </c>
      <c r="C946">
        <v>34</v>
      </c>
      <c r="J946">
        <v>0.01</v>
      </c>
    </row>
    <row r="947" spans="1:11" x14ac:dyDescent="0.25">
      <c r="A947" s="16" t="str">
        <f>HYPERLINK("http://amigo.geneontology.org/amigo/term/GO:0031324","GO:0031324")</f>
        <v>GO:0031324</v>
      </c>
      <c r="B947" t="s">
        <v>1652</v>
      </c>
      <c r="C947">
        <v>546</v>
      </c>
      <c r="K947">
        <v>0.01</v>
      </c>
    </row>
    <row r="948" spans="1:11" x14ac:dyDescent="0.25">
      <c r="A948" s="16" t="str">
        <f>HYPERLINK("http://amigo.geneontology.org/amigo/term/GO:0032504","GO:0032504")</f>
        <v>GO:0032504</v>
      </c>
      <c r="B948" t="s">
        <v>1649</v>
      </c>
      <c r="C948">
        <v>91</v>
      </c>
      <c r="K948">
        <v>0.01</v>
      </c>
    </row>
    <row r="949" spans="1:11" x14ac:dyDescent="0.25">
      <c r="A949" s="16" t="str">
        <f>HYPERLINK("http://amigo.geneontology.org/amigo/term/GO:0033206","GO:0033206")</f>
        <v>GO:0033206</v>
      </c>
      <c r="B949" t="s">
        <v>1650</v>
      </c>
      <c r="C949">
        <v>6</v>
      </c>
      <c r="K949">
        <v>0.01</v>
      </c>
    </row>
    <row r="950" spans="1:11" x14ac:dyDescent="0.25">
      <c r="A950" s="16" t="str">
        <f>HYPERLINK("http://amigo.geneontology.org/amigo/term/GO:0034660","GO:0034660")</f>
        <v>GO:0034660</v>
      </c>
      <c r="B950" t="s">
        <v>1493</v>
      </c>
      <c r="C950">
        <v>775</v>
      </c>
      <c r="I950">
        <v>0.01</v>
      </c>
    </row>
    <row r="951" spans="1:11" x14ac:dyDescent="0.25">
      <c r="A951" s="16" t="str">
        <f>HYPERLINK("http://amigo.geneontology.org/amigo/term/GO:0051172","GO:0051172")</f>
        <v>GO:0051172</v>
      </c>
      <c r="B951" t="s">
        <v>1653</v>
      </c>
      <c r="C951">
        <v>524</v>
      </c>
      <c r="K951">
        <v>0.01</v>
      </c>
    </row>
    <row r="952" spans="1:11" x14ac:dyDescent="0.25">
      <c r="A952" s="16" t="str">
        <f>HYPERLINK("http://amigo.geneontology.org/amigo/term/GO:0052746","GO:0052746")</f>
        <v>GO:0052746</v>
      </c>
      <c r="B952" t="s">
        <v>1356</v>
      </c>
      <c r="C952">
        <v>2</v>
      </c>
      <c r="H952">
        <v>0.01</v>
      </c>
    </row>
    <row r="953" spans="1:11" x14ac:dyDescent="0.25">
      <c r="A953" s="16" t="str">
        <f>HYPERLINK("http://amigo.geneontology.org/amigo/term/GO:0071215","GO:0071215")</f>
        <v>GO:0071215</v>
      </c>
      <c r="B953" t="s">
        <v>1576</v>
      </c>
      <c r="C953">
        <v>105</v>
      </c>
      <c r="J953">
        <v>0.01</v>
      </c>
      <c r="K953">
        <v>0.01</v>
      </c>
    </row>
    <row r="954" spans="1:11" x14ac:dyDescent="0.25">
      <c r="A954" s="16" t="str">
        <f>HYPERLINK("http://amigo.geneontology.org/amigo/term/GO:0080022","GO:0080022")</f>
        <v>GO:0080022</v>
      </c>
      <c r="B954" t="s">
        <v>1659</v>
      </c>
      <c r="C954">
        <v>6</v>
      </c>
      <c r="K954">
        <v>0.01</v>
      </c>
    </row>
    <row r="955" spans="1:11" x14ac:dyDescent="0.25">
      <c r="A955" s="16" t="str">
        <f>HYPERLINK("http://amigo.geneontology.org/amigo/term/GO:0080163","GO:0080163")</f>
        <v>GO:0080163</v>
      </c>
      <c r="B955" t="s">
        <v>1654</v>
      </c>
      <c r="C955">
        <v>7</v>
      </c>
      <c r="K955">
        <v>0.01</v>
      </c>
    </row>
    <row r="956" spans="1:11" x14ac:dyDescent="0.25">
      <c r="A956" s="16" t="str">
        <f>HYPERLINK("http://amigo.geneontology.org/amigo/term/GO:0097306","GO:0097306")</f>
        <v>GO:0097306</v>
      </c>
      <c r="B956" t="s">
        <v>1575</v>
      </c>
      <c r="C956">
        <v>105</v>
      </c>
      <c r="J956">
        <v>0.01</v>
      </c>
      <c r="K956">
        <v>0.01</v>
      </c>
    </row>
    <row r="957" spans="1:11" x14ac:dyDescent="0.25">
      <c r="A957" s="16" t="str">
        <f>HYPERLINK("http://amigo.geneontology.org/amigo/term/GO:1902395","GO:1902395")</f>
        <v>GO:1902395</v>
      </c>
      <c r="B957" t="s">
        <v>1354</v>
      </c>
      <c r="C957">
        <v>2</v>
      </c>
      <c r="H957">
        <v>0.01</v>
      </c>
    </row>
    <row r="958" spans="1:11" x14ac:dyDescent="0.25">
      <c r="A958" s="16" t="str">
        <f>HYPERLINK("http://amigo.geneontology.org/amigo/term/GO:1903795","GO:1903795")</f>
        <v>GO:1903795</v>
      </c>
      <c r="B958" t="s">
        <v>1349</v>
      </c>
      <c r="C958">
        <v>2</v>
      </c>
      <c r="H958">
        <v>0.01</v>
      </c>
    </row>
    <row r="959" spans="1:11" x14ac:dyDescent="0.25">
      <c r="A959" s="16" t="str">
        <f>HYPERLINK("http://amigo.geneontology.org/amigo/term/GO:1903959","GO:1903959")</f>
        <v>GO:1903959</v>
      </c>
      <c r="B959" t="s">
        <v>1348</v>
      </c>
      <c r="C959">
        <v>2</v>
      </c>
      <c r="H959">
        <v>0.01</v>
      </c>
    </row>
    <row r="960" spans="1:11" x14ac:dyDescent="0.25">
      <c r="A960" s="16" t="str">
        <f>HYPERLINK("http://amigo.geneontology.org/amigo/term/GO:2000185","GO:2000185")</f>
        <v>GO:2000185</v>
      </c>
      <c r="B960" t="s">
        <v>1350</v>
      </c>
      <c r="C960">
        <v>2</v>
      </c>
      <c r="H960">
        <v>0.01</v>
      </c>
    </row>
    <row r="961" spans="1:13" x14ac:dyDescent="0.25">
      <c r="A961" s="16" t="str">
        <f>HYPERLINK("http://amigo.geneontology.org/amigo/term/GO:0009416","GO:0009416")</f>
        <v>GO:0009416</v>
      </c>
      <c r="B961" t="s">
        <v>1436</v>
      </c>
      <c r="C961">
        <v>364</v>
      </c>
      <c r="I961" s="1">
        <v>1.5679999999999999E-4</v>
      </c>
      <c r="K961">
        <v>0.02</v>
      </c>
    </row>
    <row r="962" spans="1:13" x14ac:dyDescent="0.25">
      <c r="A962" s="16" t="str">
        <f>HYPERLINK("http://amigo.geneontology.org/amigo/term/GO:0009651","GO:0009651")</f>
        <v>GO:0009651</v>
      </c>
      <c r="B962" t="s">
        <v>1497</v>
      </c>
      <c r="C962">
        <v>217</v>
      </c>
      <c r="I962">
        <v>0.02</v>
      </c>
      <c r="K962" s="1">
        <v>5.2090000000000003E-4</v>
      </c>
      <c r="L962" s="1">
        <v>6.2129999999999998E-3</v>
      </c>
    </row>
    <row r="963" spans="1:13" x14ac:dyDescent="0.25">
      <c r="A963" s="16" t="str">
        <f>HYPERLINK("http://amigo.geneontology.org/amigo/term/GO:0042181","GO:0042181")</f>
        <v>GO:0042181</v>
      </c>
      <c r="B963" t="s">
        <v>1460</v>
      </c>
      <c r="C963">
        <v>46</v>
      </c>
      <c r="I963" s="1">
        <v>8.2879999999999998E-4</v>
      </c>
      <c r="J963">
        <v>0.02</v>
      </c>
    </row>
    <row r="964" spans="1:13" x14ac:dyDescent="0.25">
      <c r="A964" s="16" t="str">
        <f>HYPERLINK("http://amigo.geneontology.org/amigo/term/GO:1901661","GO:1901661")</f>
        <v>GO:1901661</v>
      </c>
      <c r="B964" t="s">
        <v>1459</v>
      </c>
      <c r="C964">
        <v>46</v>
      </c>
      <c r="I964" s="1">
        <v>8.2879999999999998E-4</v>
      </c>
      <c r="J964">
        <v>0.02</v>
      </c>
    </row>
    <row r="965" spans="1:13" x14ac:dyDescent="0.25">
      <c r="A965" s="16" t="str">
        <f>HYPERLINK("http://amigo.geneontology.org/amigo/term/GO:1901663","GO:1901663")</f>
        <v>GO:1901663</v>
      </c>
      <c r="B965" t="s">
        <v>1461</v>
      </c>
      <c r="C965">
        <v>46</v>
      </c>
      <c r="I965" s="1">
        <v>8.2879999999999998E-4</v>
      </c>
      <c r="J965">
        <v>0.02</v>
      </c>
    </row>
    <row r="966" spans="1:13" x14ac:dyDescent="0.25">
      <c r="A966" s="16" t="str">
        <f>HYPERLINK("http://amigo.geneontology.org/amigo/term/GO:0010431","GO:0010431")</f>
        <v>GO:0010431</v>
      </c>
      <c r="B966" t="s">
        <v>1484</v>
      </c>
      <c r="C966">
        <v>13</v>
      </c>
      <c r="I966" s="1">
        <v>6.0720000000000001E-3</v>
      </c>
      <c r="K966">
        <v>0.02</v>
      </c>
    </row>
    <row r="967" spans="1:13" x14ac:dyDescent="0.25">
      <c r="A967" s="16" t="str">
        <f>HYPERLINK("http://amigo.geneontology.org/amigo/term/GO:0010231","GO:0010231")</f>
        <v>GO:0010231</v>
      </c>
      <c r="B967" t="s">
        <v>1594</v>
      </c>
      <c r="C967">
        <v>5</v>
      </c>
      <c r="J967">
        <v>0.02</v>
      </c>
      <c r="K967" s="1">
        <v>8.3850000000000001E-3</v>
      </c>
    </row>
    <row r="968" spans="1:13" x14ac:dyDescent="0.25">
      <c r="A968" s="16" t="str">
        <f>HYPERLINK("http://amigo.geneontology.org/amigo/term/GO:0097437","GO:0097437")</f>
        <v>GO:0097437</v>
      </c>
      <c r="B968" t="s">
        <v>1593</v>
      </c>
      <c r="C968">
        <v>5</v>
      </c>
      <c r="J968">
        <v>0.02</v>
      </c>
      <c r="K968" s="1">
        <v>8.3850000000000001E-3</v>
      </c>
    </row>
    <row r="969" spans="1:13" x14ac:dyDescent="0.25">
      <c r="A969" s="16" t="str">
        <f>HYPERLINK("http://amigo.geneontology.org/amigo/term/GO:0044242","GO:0044242")</f>
        <v>GO:0044242</v>
      </c>
      <c r="B969" t="s">
        <v>1374</v>
      </c>
      <c r="C969">
        <v>90</v>
      </c>
      <c r="H969">
        <v>0.02</v>
      </c>
      <c r="K969">
        <v>0.01</v>
      </c>
    </row>
    <row r="970" spans="1:13" x14ac:dyDescent="0.25">
      <c r="A970" s="16" t="str">
        <f>HYPERLINK("http://amigo.geneontology.org/amigo/term/GO:0009314","GO:0009314")</f>
        <v>GO:0009314</v>
      </c>
      <c r="B970" t="s">
        <v>1438</v>
      </c>
      <c r="C970">
        <v>379</v>
      </c>
      <c r="I970" s="1">
        <v>2.2690000000000001E-4</v>
      </c>
      <c r="K970">
        <v>0.03</v>
      </c>
    </row>
    <row r="971" spans="1:13" x14ac:dyDescent="0.25">
      <c r="A971" s="16" t="str">
        <f>HYPERLINK("http://amigo.geneontology.org/amigo/term/GO:1902584","GO:1902584")</f>
        <v>GO:1902584</v>
      </c>
      <c r="B971" t="s">
        <v>1568</v>
      </c>
      <c r="C971">
        <v>21</v>
      </c>
      <c r="J971" s="1">
        <v>4.3189999999999999E-3</v>
      </c>
      <c r="K971">
        <v>0.03</v>
      </c>
    </row>
    <row r="972" spans="1:13" x14ac:dyDescent="0.25">
      <c r="A972" s="16" t="str">
        <f>HYPERLINK("http://amigo.geneontology.org/amigo/term/GO:0006012","GO:0006012")</f>
        <v>GO:0006012</v>
      </c>
      <c r="B972" t="s">
        <v>1584</v>
      </c>
      <c r="C972">
        <v>43</v>
      </c>
      <c r="J972">
        <v>0.02</v>
      </c>
      <c r="L972">
        <v>0.04</v>
      </c>
    </row>
    <row r="973" spans="1:13" x14ac:dyDescent="0.25">
      <c r="A973" s="16" t="str">
        <f>HYPERLINK("http://amigo.geneontology.org/amigo/term/GO:2000242","GO:2000242")</f>
        <v>GO:2000242</v>
      </c>
      <c r="B973" t="s">
        <v>1589</v>
      </c>
      <c r="C973">
        <v>40</v>
      </c>
      <c r="J973">
        <v>0.02</v>
      </c>
      <c r="M973" s="1">
        <v>2.5710000000000002E-4</v>
      </c>
    </row>
    <row r="974" spans="1:13" x14ac:dyDescent="0.25">
      <c r="A974" s="16" t="str">
        <f>HYPERLINK("http://amigo.geneontology.org/amigo/term/GO:0000256","GO:0000256")</f>
        <v>GO:0000256</v>
      </c>
      <c r="B974" t="s">
        <v>1362</v>
      </c>
      <c r="C974">
        <v>3</v>
      </c>
      <c r="H974">
        <v>0.02</v>
      </c>
    </row>
    <row r="975" spans="1:13" x14ac:dyDescent="0.25">
      <c r="A975" s="16" t="str">
        <f>HYPERLINK("http://amigo.geneontology.org/amigo/term/GO:0000372","GO:0000372")</f>
        <v>GO:0000372</v>
      </c>
      <c r="B975" t="s">
        <v>1499</v>
      </c>
      <c r="C975">
        <v>2</v>
      </c>
      <c r="I975">
        <v>0.02</v>
      </c>
    </row>
    <row r="976" spans="1:13" x14ac:dyDescent="0.25">
      <c r="A976" s="16" t="str">
        <f>HYPERLINK("http://amigo.geneontology.org/amigo/term/GO:0000373","GO:0000373")</f>
        <v>GO:0000373</v>
      </c>
      <c r="B976" t="s">
        <v>1500</v>
      </c>
      <c r="C976">
        <v>26</v>
      </c>
      <c r="I976">
        <v>0.02</v>
      </c>
    </row>
    <row r="977" spans="1:11" x14ac:dyDescent="0.25">
      <c r="A977" s="16" t="str">
        <f>HYPERLINK("http://amigo.geneontology.org/amigo/term/GO:0000376","GO:0000376")</f>
        <v>GO:0000376</v>
      </c>
      <c r="B977" t="s">
        <v>1498</v>
      </c>
      <c r="C977">
        <v>2</v>
      </c>
      <c r="I977">
        <v>0.02</v>
      </c>
    </row>
    <row r="978" spans="1:11" x14ac:dyDescent="0.25">
      <c r="A978" s="16" t="str">
        <f>HYPERLINK("http://amigo.geneontology.org/amigo/term/GO:0006020","GO:0006020")</f>
        <v>GO:0006020</v>
      </c>
      <c r="B978" t="s">
        <v>1675</v>
      </c>
      <c r="C978">
        <v>12</v>
      </c>
      <c r="K978">
        <v>0.02</v>
      </c>
    </row>
    <row r="979" spans="1:11" x14ac:dyDescent="0.25">
      <c r="A979" s="16" t="str">
        <f>HYPERLINK("http://amigo.geneontology.org/amigo/term/GO:0006145","GO:0006145")</f>
        <v>GO:0006145</v>
      </c>
      <c r="B979" t="s">
        <v>1363</v>
      </c>
      <c r="C979">
        <v>4</v>
      </c>
      <c r="H979">
        <v>0.02</v>
      </c>
    </row>
    <row r="980" spans="1:11" x14ac:dyDescent="0.25">
      <c r="A980" s="16" t="str">
        <f>HYPERLINK("http://amigo.geneontology.org/amigo/term/GO:0006177","GO:0006177")</f>
        <v>GO:0006177</v>
      </c>
      <c r="B980" t="s">
        <v>1674</v>
      </c>
      <c r="C980">
        <v>9</v>
      </c>
      <c r="K980">
        <v>0.02</v>
      </c>
    </row>
    <row r="981" spans="1:11" x14ac:dyDescent="0.25">
      <c r="A981" s="16" t="str">
        <f>HYPERLINK("http://amigo.geneontology.org/amigo/term/GO:0006272","GO:0006272")</f>
        <v>GO:0006272</v>
      </c>
      <c r="B981" t="s">
        <v>1586</v>
      </c>
      <c r="C981">
        <v>4</v>
      </c>
      <c r="J981">
        <v>0.02</v>
      </c>
    </row>
    <row r="982" spans="1:11" x14ac:dyDescent="0.25">
      <c r="A982" s="16" t="str">
        <f>HYPERLINK("http://amigo.geneontology.org/amigo/term/GO:0006635","GO:0006635")</f>
        <v>GO:0006635</v>
      </c>
      <c r="B982" t="s">
        <v>1378</v>
      </c>
      <c r="C982">
        <v>34</v>
      </c>
      <c r="H982">
        <v>0.02</v>
      </c>
    </row>
    <row r="983" spans="1:11" x14ac:dyDescent="0.25">
      <c r="A983" s="16" t="str">
        <f>HYPERLINK("http://amigo.geneontology.org/amigo/term/GO:0006679","GO:0006679")</f>
        <v>GO:0006679</v>
      </c>
      <c r="B983" t="s">
        <v>1372</v>
      </c>
      <c r="C983">
        <v>3</v>
      </c>
      <c r="H983">
        <v>0.02</v>
      </c>
    </row>
    <row r="984" spans="1:11" x14ac:dyDescent="0.25">
      <c r="A984" s="16" t="str">
        <f>HYPERLINK("http://amigo.geneontology.org/amigo/term/GO:0006688","GO:0006688")</f>
        <v>GO:0006688</v>
      </c>
      <c r="B984" t="s">
        <v>1370</v>
      </c>
      <c r="C984">
        <v>3</v>
      </c>
      <c r="H984">
        <v>0.02</v>
      </c>
    </row>
    <row r="985" spans="1:11" x14ac:dyDescent="0.25">
      <c r="A985" s="16" t="str">
        <f>HYPERLINK("http://amigo.geneontology.org/amigo/term/GO:0006729","GO:0006729")</f>
        <v>GO:0006729</v>
      </c>
      <c r="B985" t="s">
        <v>1669</v>
      </c>
      <c r="C985">
        <v>9</v>
      </c>
      <c r="K985">
        <v>0.02</v>
      </c>
    </row>
    <row r="986" spans="1:11" x14ac:dyDescent="0.25">
      <c r="A986" s="16" t="str">
        <f>HYPERLINK("http://amigo.geneontology.org/amigo/term/GO:0006814","GO:0006814")</f>
        <v>GO:0006814</v>
      </c>
      <c r="B986" t="s">
        <v>1373</v>
      </c>
      <c r="C986">
        <v>34</v>
      </c>
      <c r="H986">
        <v>0.02</v>
      </c>
    </row>
    <row r="987" spans="1:11" x14ac:dyDescent="0.25">
      <c r="A987" s="16" t="str">
        <f>HYPERLINK("http://amigo.geneontology.org/amigo/term/GO:0006880","GO:0006880")</f>
        <v>GO:0006880</v>
      </c>
      <c r="B987" t="s">
        <v>1672</v>
      </c>
      <c r="C987">
        <v>9</v>
      </c>
      <c r="K987">
        <v>0.02</v>
      </c>
    </row>
    <row r="988" spans="1:11" x14ac:dyDescent="0.25">
      <c r="A988" s="16" t="str">
        <f>HYPERLINK("http://amigo.geneontology.org/amigo/term/GO:0009062","GO:0009062")</f>
        <v>GO:0009062</v>
      </c>
      <c r="B988" t="s">
        <v>1375</v>
      </c>
      <c r="C988">
        <v>35</v>
      </c>
      <c r="H988">
        <v>0.02</v>
      </c>
    </row>
    <row r="989" spans="1:11" x14ac:dyDescent="0.25">
      <c r="A989" s="16" t="str">
        <f>HYPERLINK("http://amigo.geneontology.org/amigo/term/GO:0009635","GO:0009635")</f>
        <v>GO:0009635</v>
      </c>
      <c r="B989" t="s">
        <v>1583</v>
      </c>
      <c r="C989">
        <v>5</v>
      </c>
      <c r="J989">
        <v>0.02</v>
      </c>
    </row>
    <row r="990" spans="1:11" x14ac:dyDescent="0.25">
      <c r="A990" s="16" t="str">
        <f>HYPERLINK("http://amigo.geneontology.org/amigo/term/GO:0009799","GO:0009799")</f>
        <v>GO:0009799</v>
      </c>
      <c r="B990" t="s">
        <v>1502</v>
      </c>
      <c r="C990">
        <v>2</v>
      </c>
      <c r="I990">
        <v>0.02</v>
      </c>
    </row>
    <row r="991" spans="1:11" x14ac:dyDescent="0.25">
      <c r="A991" s="16" t="str">
        <f>HYPERLINK("http://amigo.geneontology.org/amigo/term/GO:0009855","GO:0009855")</f>
        <v>GO:0009855</v>
      </c>
      <c r="B991" t="s">
        <v>1503</v>
      </c>
      <c r="C991">
        <v>2</v>
      </c>
      <c r="I991">
        <v>0.02</v>
      </c>
    </row>
    <row r="992" spans="1:11" x14ac:dyDescent="0.25">
      <c r="A992" s="16" t="str">
        <f>HYPERLINK("http://amigo.geneontology.org/amigo/term/GO:0009953","GO:0009953")</f>
        <v>GO:0009953</v>
      </c>
      <c r="B992" t="s">
        <v>1501</v>
      </c>
      <c r="C992">
        <v>2</v>
      </c>
      <c r="I992">
        <v>0.02</v>
      </c>
    </row>
    <row r="993" spans="1:11" x14ac:dyDescent="0.25">
      <c r="A993" s="16" t="str">
        <f>HYPERLINK("http://amigo.geneontology.org/amigo/term/GO:0009962","GO:0009962")</f>
        <v>GO:0009962</v>
      </c>
      <c r="B993" t="s">
        <v>1588</v>
      </c>
      <c r="C993">
        <v>4</v>
      </c>
      <c r="J993">
        <v>0.02</v>
      </c>
    </row>
    <row r="994" spans="1:11" x14ac:dyDescent="0.25">
      <c r="A994" s="16" t="str">
        <f>HYPERLINK("http://amigo.geneontology.org/amigo/term/GO:0010135","GO:0010135")</f>
        <v>GO:0010135</v>
      </c>
      <c r="B994" t="s">
        <v>1364</v>
      </c>
      <c r="C994">
        <v>4</v>
      </c>
      <c r="H994">
        <v>0.02</v>
      </c>
    </row>
    <row r="995" spans="1:11" x14ac:dyDescent="0.25">
      <c r="A995" s="16" t="str">
        <f>HYPERLINK("http://amigo.geneontology.org/amigo/term/GO:0010136","GO:0010136")</f>
        <v>GO:0010136</v>
      </c>
      <c r="B995" t="s">
        <v>1365</v>
      </c>
      <c r="C995">
        <v>4</v>
      </c>
      <c r="H995">
        <v>0.02</v>
      </c>
    </row>
    <row r="996" spans="1:11" x14ac:dyDescent="0.25">
      <c r="A996" s="16" t="str">
        <f>HYPERLINK("http://amigo.geneontology.org/amigo/term/GO:0010162","GO:0010162")</f>
        <v>GO:0010162</v>
      </c>
      <c r="B996" t="s">
        <v>1603</v>
      </c>
      <c r="C996">
        <v>6</v>
      </c>
      <c r="J996">
        <v>0.03</v>
      </c>
      <c r="K996">
        <v>0.01</v>
      </c>
    </row>
    <row r="997" spans="1:11" x14ac:dyDescent="0.25">
      <c r="A997" s="16" t="str">
        <f>HYPERLINK("http://amigo.geneontology.org/amigo/term/GO:0019395","GO:0019395")</f>
        <v>GO:0019395</v>
      </c>
      <c r="B997" t="s">
        <v>1377</v>
      </c>
      <c r="C997">
        <v>35</v>
      </c>
      <c r="H997">
        <v>0.02</v>
      </c>
    </row>
    <row r="998" spans="1:11" x14ac:dyDescent="0.25">
      <c r="A998" s="16" t="str">
        <f>HYPERLINK("http://amigo.geneontology.org/amigo/term/GO:0022611","GO:0022611")</f>
        <v>GO:0022611</v>
      </c>
      <c r="B998" t="s">
        <v>1602</v>
      </c>
      <c r="C998">
        <v>6</v>
      </c>
      <c r="J998">
        <v>0.03</v>
      </c>
      <c r="K998">
        <v>0.01</v>
      </c>
    </row>
    <row r="999" spans="1:11" x14ac:dyDescent="0.25">
      <c r="A999" s="16" t="str">
        <f>HYPERLINK("http://amigo.geneontology.org/amigo/term/GO:0034311","GO:0034311")</f>
        <v>GO:0034311</v>
      </c>
      <c r="B999" t="s">
        <v>1666</v>
      </c>
      <c r="C999">
        <v>11</v>
      </c>
      <c r="K999">
        <v>0.02</v>
      </c>
    </row>
    <row r="1000" spans="1:11" x14ac:dyDescent="0.25">
      <c r="A1000" s="16" t="str">
        <f>HYPERLINK("http://amigo.geneontology.org/amigo/term/GO:0034312","GO:0034312")</f>
        <v>GO:0034312</v>
      </c>
      <c r="B1000" t="s">
        <v>1667</v>
      </c>
      <c r="C1000">
        <v>11</v>
      </c>
      <c r="K1000">
        <v>0.02</v>
      </c>
    </row>
    <row r="1001" spans="1:11" x14ac:dyDescent="0.25">
      <c r="A1001" s="16" t="str">
        <f>HYPERLINK("http://amigo.geneontology.org/amigo/term/GO:0034440","GO:0034440")</f>
        <v>GO:0034440</v>
      </c>
      <c r="B1001" t="s">
        <v>1376</v>
      </c>
      <c r="C1001">
        <v>39</v>
      </c>
      <c r="H1001">
        <v>0.02</v>
      </c>
    </row>
    <row r="1002" spans="1:11" x14ac:dyDescent="0.25">
      <c r="A1002" s="16" t="str">
        <f>HYPERLINK("http://amigo.geneontology.org/amigo/term/GO:0035966","GO:0035966")</f>
        <v>GO:0035966</v>
      </c>
      <c r="B1002" t="s">
        <v>1367</v>
      </c>
      <c r="C1002">
        <v>33</v>
      </c>
      <c r="H1002">
        <v>0.02</v>
      </c>
    </row>
    <row r="1003" spans="1:11" x14ac:dyDescent="0.25">
      <c r="A1003" s="16" t="str">
        <f>HYPERLINK("http://amigo.geneontology.org/amigo/term/GO:0035967","GO:0035967")</f>
        <v>GO:0035967</v>
      </c>
      <c r="B1003" t="s">
        <v>1368</v>
      </c>
      <c r="C1003">
        <v>33</v>
      </c>
      <c r="H1003">
        <v>0.02</v>
      </c>
    </row>
    <row r="1004" spans="1:11" x14ac:dyDescent="0.25">
      <c r="A1004" s="16" t="str">
        <f>HYPERLINK("http://amigo.geneontology.org/amigo/term/GO:0036503","GO:0036503")</f>
        <v>GO:0036503</v>
      </c>
      <c r="B1004" t="s">
        <v>1366</v>
      </c>
      <c r="C1004">
        <v>38</v>
      </c>
      <c r="H1004">
        <v>0.02</v>
      </c>
    </row>
    <row r="1005" spans="1:11" x14ac:dyDescent="0.25">
      <c r="A1005" s="16" t="str">
        <f>HYPERLINK("http://amigo.geneontology.org/amigo/term/GO:0043067","GO:0043067")</f>
        <v>GO:0043067</v>
      </c>
      <c r="B1005" t="s">
        <v>1496</v>
      </c>
      <c r="C1005">
        <v>26</v>
      </c>
      <c r="I1005">
        <v>0.02</v>
      </c>
    </row>
    <row r="1006" spans="1:11" x14ac:dyDescent="0.25">
      <c r="A1006" s="16" t="str">
        <f>HYPERLINK("http://amigo.geneontology.org/amigo/term/GO:0043269","GO:0043269")</f>
        <v>GO:0043269</v>
      </c>
      <c r="B1006" t="s">
        <v>1357</v>
      </c>
      <c r="C1006">
        <v>33</v>
      </c>
      <c r="H1006">
        <v>0.02</v>
      </c>
    </row>
    <row r="1007" spans="1:11" x14ac:dyDescent="0.25">
      <c r="A1007" s="16" t="str">
        <f>HYPERLINK("http://amigo.geneontology.org/amigo/term/GO:0045128","GO:0045128")</f>
        <v>GO:0045128</v>
      </c>
      <c r="B1007" t="s">
        <v>1592</v>
      </c>
      <c r="C1007">
        <v>4</v>
      </c>
      <c r="J1007">
        <v>0.02</v>
      </c>
    </row>
    <row r="1008" spans="1:11" x14ac:dyDescent="0.25">
      <c r="A1008" s="16" t="str">
        <f>HYPERLINK("http://amigo.geneontology.org/amigo/term/GO:0045835","GO:0045835")</f>
        <v>GO:0045835</v>
      </c>
      <c r="B1008" t="s">
        <v>1591</v>
      </c>
      <c r="C1008">
        <v>5</v>
      </c>
      <c r="J1008">
        <v>0.02</v>
      </c>
    </row>
    <row r="1009" spans="1:11" x14ac:dyDescent="0.25">
      <c r="A1009" s="16" t="str">
        <f>HYPERLINK("http://amigo.geneontology.org/amigo/term/GO:0046037","GO:0046037")</f>
        <v>GO:0046037</v>
      </c>
      <c r="B1009" t="s">
        <v>1673</v>
      </c>
      <c r="C1009">
        <v>9</v>
      </c>
      <c r="K1009">
        <v>0.02</v>
      </c>
    </row>
    <row r="1010" spans="1:11" x14ac:dyDescent="0.25">
      <c r="A1010" s="16" t="str">
        <f>HYPERLINK("http://amigo.geneontology.org/amigo/term/GO:0046146","GO:0046146")</f>
        <v>GO:0046146</v>
      </c>
      <c r="B1010" t="s">
        <v>1668</v>
      </c>
      <c r="C1010">
        <v>9</v>
      </c>
      <c r="K1010">
        <v>0.02</v>
      </c>
    </row>
    <row r="1011" spans="1:11" x14ac:dyDescent="0.25">
      <c r="A1011" s="16" t="str">
        <f>HYPERLINK("http://amigo.geneontology.org/amigo/term/GO:0046476","GO:0046476")</f>
        <v>GO:0046476</v>
      </c>
      <c r="B1011" t="s">
        <v>1371</v>
      </c>
      <c r="C1011">
        <v>3</v>
      </c>
      <c r="H1011">
        <v>0.02</v>
      </c>
    </row>
    <row r="1012" spans="1:11" x14ac:dyDescent="0.25">
      <c r="A1012" s="16" t="str">
        <f>HYPERLINK("http://amigo.geneontology.org/amigo/term/GO:0048262","GO:0048262")</f>
        <v>GO:0048262</v>
      </c>
      <c r="B1012" t="s">
        <v>1504</v>
      </c>
      <c r="C1012">
        <v>2</v>
      </c>
      <c r="I1012">
        <v>0.02</v>
      </c>
    </row>
    <row r="1013" spans="1:11" x14ac:dyDescent="0.25">
      <c r="A1013" s="16" t="str">
        <f>HYPERLINK("http://amigo.geneontology.org/amigo/term/GO:0048263","GO:0048263")</f>
        <v>GO:0048263</v>
      </c>
      <c r="B1013" t="s">
        <v>1505</v>
      </c>
      <c r="C1013">
        <v>2</v>
      </c>
      <c r="I1013">
        <v>0.02</v>
      </c>
    </row>
    <row r="1014" spans="1:11" x14ac:dyDescent="0.25">
      <c r="A1014" s="16" t="str">
        <f>HYPERLINK("http://amigo.geneontology.org/amigo/term/GO:0048871","GO:0048871")</f>
        <v>GO:0048871</v>
      </c>
      <c r="B1014" t="s">
        <v>1379</v>
      </c>
      <c r="C1014">
        <v>3</v>
      </c>
      <c r="H1014">
        <v>0.02</v>
      </c>
    </row>
    <row r="1015" spans="1:11" x14ac:dyDescent="0.25">
      <c r="A1015" s="16" t="str">
        <f>HYPERLINK("http://amigo.geneontology.org/amigo/term/GO:0050992","GO:0050992")</f>
        <v>GO:0050992</v>
      </c>
      <c r="B1015" t="s">
        <v>1361</v>
      </c>
      <c r="C1015">
        <v>4</v>
      </c>
      <c r="H1015">
        <v>0.02</v>
      </c>
    </row>
    <row r="1016" spans="1:11" x14ac:dyDescent="0.25">
      <c r="A1016" s="16" t="str">
        <f>HYPERLINK("http://amigo.geneontology.org/amigo/term/GO:0050993","GO:0050993")</f>
        <v>GO:0050993</v>
      </c>
      <c r="B1016" t="s">
        <v>1360</v>
      </c>
      <c r="C1016">
        <v>4</v>
      </c>
      <c r="H1016">
        <v>0.02</v>
      </c>
    </row>
    <row r="1017" spans="1:11" x14ac:dyDescent="0.25">
      <c r="A1017" s="16" t="str">
        <f>HYPERLINK("http://amigo.geneontology.org/amigo/term/GO:0051238","GO:0051238")</f>
        <v>GO:0051238</v>
      </c>
      <c r="B1017" t="s">
        <v>1670</v>
      </c>
      <c r="C1017">
        <v>9</v>
      </c>
      <c r="K1017">
        <v>0.02</v>
      </c>
    </row>
    <row r="1018" spans="1:11" x14ac:dyDescent="0.25">
      <c r="A1018" s="16" t="str">
        <f>HYPERLINK("http://amigo.geneontology.org/amigo/term/GO:0051447","GO:0051447")</f>
        <v>GO:0051447</v>
      </c>
      <c r="B1018" t="s">
        <v>1590</v>
      </c>
      <c r="C1018">
        <v>5</v>
      </c>
      <c r="J1018">
        <v>0.02</v>
      </c>
    </row>
    <row r="1019" spans="1:11" x14ac:dyDescent="0.25">
      <c r="A1019" s="16" t="str">
        <f>HYPERLINK("http://amigo.geneontology.org/amigo/term/GO:0097009","GO:0097009")</f>
        <v>GO:0097009</v>
      </c>
      <c r="B1019" t="s">
        <v>1380</v>
      </c>
      <c r="C1019">
        <v>3</v>
      </c>
      <c r="H1019">
        <v>0.02</v>
      </c>
    </row>
    <row r="1020" spans="1:11" x14ac:dyDescent="0.25">
      <c r="A1020" s="16" t="str">
        <f>HYPERLINK("http://amigo.geneontology.org/amigo/term/GO:0097577","GO:0097577")</f>
        <v>GO:0097577</v>
      </c>
      <c r="B1020" t="s">
        <v>1671</v>
      </c>
      <c r="C1020">
        <v>9</v>
      </c>
      <c r="K1020">
        <v>0.02</v>
      </c>
    </row>
    <row r="1021" spans="1:11" x14ac:dyDescent="0.25">
      <c r="A1021" s="16" t="str">
        <f>HYPERLINK("http://amigo.geneontology.org/amigo/term/GO:1900457","GO:1900457")</f>
        <v>GO:1900457</v>
      </c>
      <c r="B1021" t="s">
        <v>1660</v>
      </c>
      <c r="C1021">
        <v>14</v>
      </c>
      <c r="K1021">
        <v>0.02</v>
      </c>
    </row>
    <row r="1022" spans="1:11" x14ac:dyDescent="0.25">
      <c r="A1022" s="16" t="str">
        <f>HYPERLINK("http://amigo.geneontology.org/amigo/term/GO:1900458","GO:1900458")</f>
        <v>GO:1900458</v>
      </c>
      <c r="B1022" t="s">
        <v>1661</v>
      </c>
      <c r="C1022">
        <v>9</v>
      </c>
      <c r="K1022">
        <v>0.02</v>
      </c>
    </row>
    <row r="1023" spans="1:11" x14ac:dyDescent="0.25">
      <c r="A1023" s="16" t="str">
        <f>HYPERLINK("http://amigo.geneontology.org/amigo/term/GO:0009059","GO:0009059")</f>
        <v>GO:0009059</v>
      </c>
      <c r="B1023" t="s">
        <v>1421</v>
      </c>
      <c r="C1023">
        <v>4487</v>
      </c>
      <c r="I1023" s="1">
        <v>4.1419999999999999E-7</v>
      </c>
      <c r="K1023">
        <v>0.04</v>
      </c>
    </row>
    <row r="1024" spans="1:11" x14ac:dyDescent="0.25">
      <c r="A1024" s="16" t="str">
        <f>HYPERLINK("http://amigo.geneontology.org/amigo/term/GO:0034645","GO:0034645")</f>
        <v>GO:0034645</v>
      </c>
      <c r="B1024" t="s">
        <v>1423</v>
      </c>
      <c r="C1024">
        <v>4439</v>
      </c>
      <c r="I1024" s="1">
        <v>2.0959999999999999E-6</v>
      </c>
      <c r="K1024">
        <v>0.04</v>
      </c>
    </row>
    <row r="1025" spans="1:13" x14ac:dyDescent="0.25">
      <c r="A1025" s="16" t="str">
        <f>HYPERLINK("http://amigo.geneontology.org/amigo/term/GO:0016052","GO:0016052")</f>
        <v>GO:0016052</v>
      </c>
      <c r="B1025" t="s">
        <v>1330</v>
      </c>
      <c r="C1025">
        <v>439</v>
      </c>
      <c r="H1025" s="1">
        <v>1.737E-3</v>
      </c>
      <c r="K1025">
        <v>0.04</v>
      </c>
      <c r="L1025">
        <v>0.02</v>
      </c>
    </row>
    <row r="1026" spans="1:13" x14ac:dyDescent="0.25">
      <c r="A1026" s="16" t="str">
        <f>HYPERLINK("http://amigo.geneontology.org/amigo/term/GO:0009110","GO:0009110")</f>
        <v>GO:0009110</v>
      </c>
      <c r="B1026" t="s">
        <v>1468</v>
      </c>
      <c r="C1026">
        <v>154</v>
      </c>
      <c r="I1026" s="1">
        <v>3.045E-3</v>
      </c>
      <c r="J1026">
        <v>0.04</v>
      </c>
      <c r="M1026">
        <v>0.01</v>
      </c>
    </row>
    <row r="1027" spans="1:13" x14ac:dyDescent="0.25">
      <c r="A1027" s="16" t="str">
        <f>HYPERLINK("http://amigo.geneontology.org/amigo/term/GO:0006766","GO:0006766")</f>
        <v>GO:0006766</v>
      </c>
      <c r="B1027" t="s">
        <v>1477</v>
      </c>
      <c r="C1027">
        <v>160</v>
      </c>
      <c r="I1027" s="1">
        <v>3.673E-3</v>
      </c>
      <c r="J1027">
        <v>0.04</v>
      </c>
      <c r="M1027">
        <v>0.01</v>
      </c>
    </row>
    <row r="1028" spans="1:13" x14ac:dyDescent="0.25">
      <c r="A1028" s="16" t="str">
        <f>HYPERLINK("http://amigo.geneontology.org/amigo/term/GO:2000070","GO:2000070")</f>
        <v>GO:2000070</v>
      </c>
      <c r="B1028" t="s">
        <v>1571</v>
      </c>
      <c r="C1028">
        <v>26</v>
      </c>
      <c r="J1028" s="1">
        <v>6.5820000000000002E-3</v>
      </c>
      <c r="K1028">
        <v>0.04</v>
      </c>
    </row>
    <row r="1029" spans="1:13" x14ac:dyDescent="0.25">
      <c r="A1029" s="16" t="str">
        <f>HYPERLINK("http://amigo.geneontology.org/amigo/term/GO:0009845","GO:0009845")</f>
        <v>GO:0009845</v>
      </c>
      <c r="B1029" t="s">
        <v>1544</v>
      </c>
      <c r="C1029">
        <v>39</v>
      </c>
      <c r="I1029">
        <v>0.05</v>
      </c>
      <c r="K1029" s="1">
        <v>6.0060000000000002E-7</v>
      </c>
    </row>
    <row r="1030" spans="1:13" x14ac:dyDescent="0.25">
      <c r="A1030" s="16" t="str">
        <f>HYPERLINK("http://amigo.geneontology.org/amigo/term/GO:0010029","GO:0010029")</f>
        <v>GO:0010029</v>
      </c>
      <c r="B1030" t="s">
        <v>1559</v>
      </c>
      <c r="C1030">
        <v>29</v>
      </c>
      <c r="J1030" s="1">
        <v>3.3859999999999999E-4</v>
      </c>
      <c r="K1030">
        <v>0.05</v>
      </c>
      <c r="L1030">
        <v>0.02</v>
      </c>
    </row>
    <row r="1031" spans="1:13" x14ac:dyDescent="0.25">
      <c r="A1031" s="16" t="str">
        <f>HYPERLINK("http://amigo.geneontology.org/amigo/term/GO:1900140","GO:1900140")</f>
        <v>GO:1900140</v>
      </c>
      <c r="B1031" t="s">
        <v>1558</v>
      </c>
      <c r="C1031">
        <v>29</v>
      </c>
      <c r="J1031" s="1">
        <v>3.3859999999999999E-4</v>
      </c>
      <c r="K1031">
        <v>0.05</v>
      </c>
      <c r="L1031">
        <v>0.02</v>
      </c>
    </row>
    <row r="1032" spans="1:13" x14ac:dyDescent="0.25">
      <c r="A1032" s="16" t="str">
        <f>HYPERLINK("http://amigo.geneontology.org/amigo/term/GO:0051049","GO:0051049")</f>
        <v>GO:0051049</v>
      </c>
      <c r="B1032" t="s">
        <v>1333</v>
      </c>
      <c r="C1032">
        <v>90</v>
      </c>
      <c r="H1032" s="1">
        <v>2.356E-3</v>
      </c>
      <c r="I1032">
        <v>0.05</v>
      </c>
    </row>
    <row r="1033" spans="1:13" x14ac:dyDescent="0.25">
      <c r="A1033" s="16" t="str">
        <f>HYPERLINK("http://amigo.geneontology.org/amigo/term/GO:0042180","GO:0042180")</f>
        <v>GO:0042180</v>
      </c>
      <c r="B1033" t="s">
        <v>1480</v>
      </c>
      <c r="C1033">
        <v>75</v>
      </c>
      <c r="I1033" s="1">
        <v>5.0150000000000004E-3</v>
      </c>
      <c r="J1033">
        <v>0.05</v>
      </c>
    </row>
    <row r="1034" spans="1:13" x14ac:dyDescent="0.25">
      <c r="A1034" s="16" t="str">
        <f>HYPERLINK("http://amigo.geneontology.org/amigo/term/GO:0000255","GO:0000255")</f>
        <v>GO:0000255</v>
      </c>
      <c r="B1034" t="s">
        <v>1385</v>
      </c>
      <c r="C1034">
        <v>5</v>
      </c>
      <c r="H1034">
        <v>0.03</v>
      </c>
    </row>
    <row r="1035" spans="1:13" x14ac:dyDescent="0.25">
      <c r="A1035" s="16" t="str">
        <f>HYPERLINK("http://amigo.geneontology.org/amigo/term/GO:0000911","GO:0000911")</f>
        <v>GO:0000911</v>
      </c>
      <c r="B1035" t="s">
        <v>1678</v>
      </c>
      <c r="C1035">
        <v>19</v>
      </c>
      <c r="K1035">
        <v>0.03</v>
      </c>
    </row>
    <row r="1036" spans="1:13" x14ac:dyDescent="0.25">
      <c r="A1036" s="16" t="str">
        <f>HYPERLINK("http://amigo.geneontology.org/amigo/term/GO:0006086","GO:0006086")</f>
        <v>GO:0006086</v>
      </c>
      <c r="B1036" t="s">
        <v>1682</v>
      </c>
      <c r="C1036">
        <v>20</v>
      </c>
      <c r="K1036">
        <v>0.03</v>
      </c>
    </row>
    <row r="1037" spans="1:13" x14ac:dyDescent="0.25">
      <c r="A1037" s="16" t="str">
        <f>HYPERLINK("http://amigo.geneontology.org/amigo/term/GO:0006223","GO:0006223")</f>
        <v>GO:0006223</v>
      </c>
      <c r="B1037" t="s">
        <v>1509</v>
      </c>
      <c r="C1037">
        <v>3</v>
      </c>
      <c r="I1037">
        <v>0.03</v>
      </c>
    </row>
    <row r="1038" spans="1:13" x14ac:dyDescent="0.25">
      <c r="A1038" s="16" t="str">
        <f>HYPERLINK("http://amigo.geneontology.org/amigo/term/GO:0006833","GO:0006833")</f>
        <v>GO:0006833</v>
      </c>
      <c r="B1038" t="s">
        <v>1514</v>
      </c>
      <c r="C1038">
        <v>27</v>
      </c>
      <c r="I1038">
        <v>0.03</v>
      </c>
    </row>
    <row r="1039" spans="1:13" x14ac:dyDescent="0.25">
      <c r="A1039" s="16" t="str">
        <f>HYPERLINK("http://amigo.geneontology.org/amigo/term/GO:0006879","GO:0006879")</f>
        <v>GO:0006879</v>
      </c>
      <c r="B1039" t="s">
        <v>1681</v>
      </c>
      <c r="C1039">
        <v>21</v>
      </c>
      <c r="K1039">
        <v>0.03</v>
      </c>
    </row>
    <row r="1040" spans="1:13" x14ac:dyDescent="0.25">
      <c r="A1040" s="16" t="str">
        <f>HYPERLINK("http://amigo.geneontology.org/amigo/term/GO:0009233","GO:0009233")</f>
        <v>GO:0009233</v>
      </c>
      <c r="B1040" t="s">
        <v>1597</v>
      </c>
      <c r="C1040">
        <v>6</v>
      </c>
      <c r="J1040">
        <v>0.03</v>
      </c>
    </row>
    <row r="1041" spans="1:10" x14ac:dyDescent="0.25">
      <c r="A1041" s="16" t="str">
        <f>HYPERLINK("http://amigo.geneontology.org/amigo/term/GO:0009234","GO:0009234")</f>
        <v>GO:0009234</v>
      </c>
      <c r="B1041" t="s">
        <v>1598</v>
      </c>
      <c r="C1041">
        <v>6</v>
      </c>
      <c r="J1041">
        <v>0.03</v>
      </c>
    </row>
    <row r="1042" spans="1:10" x14ac:dyDescent="0.25">
      <c r="A1042" s="16" t="str">
        <f>HYPERLINK("http://amigo.geneontology.org/amigo/term/GO:0009396","GO:0009396")</f>
        <v>GO:0009396</v>
      </c>
      <c r="B1042" t="s">
        <v>1506</v>
      </c>
      <c r="C1042">
        <v>29</v>
      </c>
      <c r="I1042">
        <v>0.03</v>
      </c>
    </row>
    <row r="1043" spans="1:10" x14ac:dyDescent="0.25">
      <c r="A1043" s="16" t="str">
        <f>HYPERLINK("http://amigo.geneontology.org/amigo/term/GO:0010236","GO:0010236")</f>
        <v>GO:0010236</v>
      </c>
      <c r="B1043" t="s">
        <v>1517</v>
      </c>
      <c r="C1043">
        <v>3</v>
      </c>
      <c r="I1043">
        <v>0.03</v>
      </c>
    </row>
    <row r="1044" spans="1:10" x14ac:dyDescent="0.25">
      <c r="A1044" s="16" t="str">
        <f>HYPERLINK("http://amigo.geneontology.org/amigo/term/GO:0010322","GO:0010322")</f>
        <v>GO:0010322</v>
      </c>
      <c r="B1044" t="s">
        <v>1386</v>
      </c>
      <c r="C1044">
        <v>5</v>
      </c>
      <c r="H1044">
        <v>0.03</v>
      </c>
    </row>
    <row r="1045" spans="1:10" x14ac:dyDescent="0.25">
      <c r="A1045" s="16" t="str">
        <f>HYPERLINK("http://amigo.geneontology.org/amigo/term/GO:0010520","GO:0010520")</f>
        <v>GO:0010520</v>
      </c>
      <c r="B1045" t="s">
        <v>1601</v>
      </c>
      <c r="C1045">
        <v>6</v>
      </c>
      <c r="J1045">
        <v>0.03</v>
      </c>
    </row>
    <row r="1046" spans="1:10" x14ac:dyDescent="0.25">
      <c r="A1046" s="16" t="str">
        <f>HYPERLINK("http://amigo.geneontology.org/amigo/term/GO:0017062","GO:0017062")</f>
        <v>GO:0017062</v>
      </c>
      <c r="B1046" t="s">
        <v>1599</v>
      </c>
      <c r="C1046">
        <v>6</v>
      </c>
      <c r="J1046">
        <v>0.03</v>
      </c>
    </row>
    <row r="1047" spans="1:10" x14ac:dyDescent="0.25">
      <c r="A1047" s="16" t="str">
        <f>HYPERLINK("http://amigo.geneontology.org/amigo/term/GO:0019408","GO:0019408")</f>
        <v>GO:0019408</v>
      </c>
      <c r="B1047" t="s">
        <v>1387</v>
      </c>
      <c r="C1047">
        <v>5</v>
      </c>
      <c r="H1047">
        <v>0.03</v>
      </c>
    </row>
    <row r="1048" spans="1:10" x14ac:dyDescent="0.25">
      <c r="A1048" s="16" t="str">
        <f>HYPERLINK("http://amigo.geneontology.org/amigo/term/GO:0032543","GO:0032543")</f>
        <v>GO:0032543</v>
      </c>
      <c r="B1048" t="s">
        <v>1516</v>
      </c>
      <c r="C1048">
        <v>31</v>
      </c>
      <c r="I1048">
        <v>0.03</v>
      </c>
    </row>
    <row r="1049" spans="1:10" x14ac:dyDescent="0.25">
      <c r="A1049" s="16" t="str">
        <f>HYPERLINK("http://amigo.geneontology.org/amigo/term/GO:0034551","GO:0034551")</f>
        <v>GO:0034551</v>
      </c>
      <c r="B1049" t="s">
        <v>1600</v>
      </c>
      <c r="C1049">
        <v>6</v>
      </c>
      <c r="J1049">
        <v>0.03</v>
      </c>
    </row>
    <row r="1050" spans="1:10" x14ac:dyDescent="0.25">
      <c r="A1050" s="16" t="str">
        <f>HYPERLINK("http://amigo.geneontology.org/amigo/term/GO:0042044","GO:0042044")</f>
        <v>GO:0042044</v>
      </c>
      <c r="B1050" t="s">
        <v>1513</v>
      </c>
      <c r="C1050">
        <v>27</v>
      </c>
      <c r="I1050">
        <v>0.03</v>
      </c>
    </row>
    <row r="1051" spans="1:10" x14ac:dyDescent="0.25">
      <c r="A1051" s="16" t="str">
        <f>HYPERLINK("http://amigo.geneontology.org/amigo/term/GO:0043100","GO:0043100")</f>
        <v>GO:0043100</v>
      </c>
      <c r="B1051" t="s">
        <v>1507</v>
      </c>
      <c r="C1051">
        <v>3</v>
      </c>
      <c r="I1051">
        <v>0.03</v>
      </c>
    </row>
    <row r="1052" spans="1:10" x14ac:dyDescent="0.25">
      <c r="A1052" s="16" t="str">
        <f>HYPERLINK("http://amigo.geneontology.org/amigo/term/GO:0043650","GO:0043650")</f>
        <v>GO:0043650</v>
      </c>
      <c r="B1052" t="s">
        <v>1359</v>
      </c>
      <c r="C1052">
        <v>33</v>
      </c>
      <c r="H1052">
        <v>0.02</v>
      </c>
      <c r="I1052">
        <v>0.04</v>
      </c>
    </row>
    <row r="1053" spans="1:10" x14ac:dyDescent="0.25">
      <c r="A1053" s="16" t="str">
        <f>HYPERLINK("http://amigo.geneontology.org/amigo/term/GO:0044070","GO:0044070")</f>
        <v>GO:0044070</v>
      </c>
      <c r="B1053" t="s">
        <v>1382</v>
      </c>
      <c r="C1053">
        <v>5</v>
      </c>
      <c r="H1053">
        <v>0.03</v>
      </c>
    </row>
    <row r="1054" spans="1:10" x14ac:dyDescent="0.25">
      <c r="A1054" s="16" t="str">
        <f>HYPERLINK("http://amigo.geneontology.org/amigo/term/GO:0046107","GO:0046107")</f>
        <v>GO:0046107</v>
      </c>
      <c r="B1054" t="s">
        <v>1508</v>
      </c>
      <c r="C1054">
        <v>3</v>
      </c>
      <c r="I1054">
        <v>0.03</v>
      </c>
    </row>
    <row r="1055" spans="1:10" x14ac:dyDescent="0.25">
      <c r="A1055" s="16" t="str">
        <f>HYPERLINK("http://amigo.geneontology.org/amigo/term/GO:0046176","GO:0046176")</f>
        <v>GO:0046176</v>
      </c>
      <c r="B1055" t="s">
        <v>1523</v>
      </c>
      <c r="C1055">
        <v>3</v>
      </c>
      <c r="I1055">
        <v>0.03</v>
      </c>
    </row>
    <row r="1056" spans="1:10" x14ac:dyDescent="0.25">
      <c r="A1056" s="16" t="str">
        <f>HYPERLINK("http://amigo.geneontology.org/amigo/term/GO:0046177","GO:0046177")</f>
        <v>GO:0046177</v>
      </c>
      <c r="B1056" t="s">
        <v>1524</v>
      </c>
      <c r="C1056">
        <v>3</v>
      </c>
      <c r="I1056">
        <v>0.03</v>
      </c>
    </row>
    <row r="1057" spans="1:11" x14ac:dyDescent="0.25">
      <c r="A1057" s="16" t="str">
        <f>HYPERLINK("http://amigo.geneontology.org/amigo/term/GO:0048564","GO:0048564")</f>
        <v>GO:0048564</v>
      </c>
      <c r="B1057" t="s">
        <v>1520</v>
      </c>
      <c r="C1057">
        <v>28</v>
      </c>
      <c r="I1057">
        <v>0.03</v>
      </c>
    </row>
    <row r="1058" spans="1:11" x14ac:dyDescent="0.25">
      <c r="A1058" s="16" t="str">
        <f>HYPERLINK("http://amigo.geneontology.org/amigo/term/GO:0070588","GO:0070588")</f>
        <v>GO:0070588</v>
      </c>
      <c r="B1058" t="s">
        <v>1384</v>
      </c>
      <c r="C1058">
        <v>47</v>
      </c>
      <c r="H1058">
        <v>0.03</v>
      </c>
    </row>
    <row r="1059" spans="1:11" x14ac:dyDescent="0.25">
      <c r="A1059" s="16" t="str">
        <f>HYPERLINK("http://amigo.geneontology.org/amigo/term/GO:0080060","GO:0080060")</f>
        <v>GO:0080060</v>
      </c>
      <c r="B1059" t="s">
        <v>1521</v>
      </c>
      <c r="C1059">
        <v>3</v>
      </c>
      <c r="I1059">
        <v>0.03</v>
      </c>
    </row>
    <row r="1060" spans="1:11" x14ac:dyDescent="0.25">
      <c r="A1060" s="16" t="str">
        <f>HYPERLINK("http://amigo.geneontology.org/amigo/term/GO:0090322","GO:0090322")</f>
        <v>GO:0090322</v>
      </c>
      <c r="B1060" t="s">
        <v>1522</v>
      </c>
      <c r="C1060">
        <v>3</v>
      </c>
      <c r="I1060">
        <v>0.03</v>
      </c>
    </row>
    <row r="1061" spans="1:11" x14ac:dyDescent="0.25">
      <c r="A1061" s="16" t="str">
        <f>HYPERLINK("http://amigo.geneontology.org/amigo/term/GO:2000071","GO:2000071")</f>
        <v>GO:2000071</v>
      </c>
      <c r="B1061" t="s">
        <v>1525</v>
      </c>
      <c r="C1061">
        <v>3</v>
      </c>
      <c r="I1061">
        <v>0.03</v>
      </c>
    </row>
    <row r="1062" spans="1:11" x14ac:dyDescent="0.25">
      <c r="A1062" s="16" t="str">
        <f>HYPERLINK("http://amigo.geneontology.org/amigo/term/GO:0006085","GO:0006085")</f>
        <v>GO:0006085</v>
      </c>
      <c r="B1062" t="s">
        <v>1692</v>
      </c>
      <c r="C1062">
        <v>26</v>
      </c>
      <c r="K1062">
        <v>0.04</v>
      </c>
    </row>
    <row r="1063" spans="1:11" x14ac:dyDescent="0.25">
      <c r="A1063" s="16" t="str">
        <f>HYPERLINK("http://amigo.geneontology.org/amigo/term/GO:0006168","GO:0006168")</f>
        <v>GO:0006168</v>
      </c>
      <c r="B1063" t="s">
        <v>1613</v>
      </c>
      <c r="C1063">
        <v>9</v>
      </c>
      <c r="J1063">
        <v>0.04</v>
      </c>
    </row>
    <row r="1064" spans="1:11" x14ac:dyDescent="0.25">
      <c r="A1064" s="16" t="str">
        <f>HYPERLINK("http://amigo.geneontology.org/amigo/term/GO:0006526","GO:0006526")</f>
        <v>GO:0006526</v>
      </c>
      <c r="B1064" t="s">
        <v>1691</v>
      </c>
      <c r="C1064">
        <v>27</v>
      </c>
      <c r="K1064">
        <v>0.04</v>
      </c>
    </row>
    <row r="1065" spans="1:11" x14ac:dyDescent="0.25">
      <c r="A1065" s="16" t="str">
        <f>HYPERLINK("http://amigo.geneontology.org/amigo/term/GO:0008614","GO:0008614")</f>
        <v>GO:0008614</v>
      </c>
      <c r="B1065" t="s">
        <v>1608</v>
      </c>
      <c r="C1065">
        <v>9</v>
      </c>
      <c r="J1065">
        <v>0.04</v>
      </c>
    </row>
    <row r="1066" spans="1:11" x14ac:dyDescent="0.25">
      <c r="A1066" s="16" t="str">
        <f>HYPERLINK("http://amigo.geneontology.org/amigo/term/GO:0008615","GO:0008615")</f>
        <v>GO:0008615</v>
      </c>
      <c r="B1066" t="s">
        <v>1609</v>
      </c>
      <c r="C1066">
        <v>9</v>
      </c>
      <c r="J1066">
        <v>0.04</v>
      </c>
    </row>
    <row r="1067" spans="1:11" x14ac:dyDescent="0.25">
      <c r="A1067" s="16" t="str">
        <f>HYPERLINK("http://amigo.geneontology.org/amigo/term/GO:0010264","GO:0010264")</f>
        <v>GO:0010264</v>
      </c>
      <c r="B1067" t="s">
        <v>1395</v>
      </c>
      <c r="C1067">
        <v>6</v>
      </c>
      <c r="H1067">
        <v>0.04</v>
      </c>
    </row>
    <row r="1068" spans="1:11" x14ac:dyDescent="0.25">
      <c r="A1068" s="16" t="str">
        <f>HYPERLINK("http://amigo.geneontology.org/amigo/term/GO:0010923","GO:0010923")</f>
        <v>GO:0010923</v>
      </c>
      <c r="B1068" t="s">
        <v>1687</v>
      </c>
      <c r="C1068">
        <v>25</v>
      </c>
      <c r="K1068">
        <v>0.04</v>
      </c>
    </row>
    <row r="1069" spans="1:11" x14ac:dyDescent="0.25">
      <c r="A1069" s="16" t="str">
        <f>HYPERLINK("http://amigo.geneontology.org/amigo/term/GO:0016094","GO:0016094")</f>
        <v>GO:0016094</v>
      </c>
      <c r="B1069" t="s">
        <v>1391</v>
      </c>
      <c r="C1069">
        <v>7</v>
      </c>
      <c r="H1069">
        <v>0.04</v>
      </c>
    </row>
    <row r="1070" spans="1:11" x14ac:dyDescent="0.25">
      <c r="A1070" s="16" t="str">
        <f>HYPERLINK("http://amigo.geneontology.org/amigo/term/GO:0019860","GO:0019860")</f>
        <v>GO:0019860</v>
      </c>
      <c r="B1070" t="s">
        <v>1527</v>
      </c>
      <c r="C1070">
        <v>5</v>
      </c>
      <c r="I1070">
        <v>0.04</v>
      </c>
    </row>
    <row r="1071" spans="1:11" x14ac:dyDescent="0.25">
      <c r="A1071" s="16" t="str">
        <f>HYPERLINK("http://amigo.geneontology.org/amigo/term/GO:0032515","GO:0032515")</f>
        <v>GO:0032515</v>
      </c>
      <c r="B1071" t="s">
        <v>1690</v>
      </c>
      <c r="C1071">
        <v>24</v>
      </c>
      <c r="K1071">
        <v>0.04</v>
      </c>
    </row>
    <row r="1072" spans="1:11" x14ac:dyDescent="0.25">
      <c r="A1072" s="16" t="str">
        <f>HYPERLINK("http://amigo.geneontology.org/amigo/term/GO:0033517","GO:0033517")</f>
        <v>GO:0033517</v>
      </c>
      <c r="B1072" t="s">
        <v>1394</v>
      </c>
      <c r="C1072">
        <v>6</v>
      </c>
      <c r="H1072">
        <v>0.04</v>
      </c>
    </row>
    <row r="1073" spans="1:11" x14ac:dyDescent="0.25">
      <c r="A1073" s="16" t="str">
        <f>HYPERLINK("http://amigo.geneontology.org/amigo/term/GO:0035305","GO:0035305")</f>
        <v>GO:0035305</v>
      </c>
      <c r="B1073" t="s">
        <v>1686</v>
      </c>
      <c r="C1073">
        <v>25</v>
      </c>
      <c r="K1073">
        <v>0.04</v>
      </c>
    </row>
    <row r="1074" spans="1:11" x14ac:dyDescent="0.25">
      <c r="A1074" s="16" t="str">
        <f>HYPERLINK("http://amigo.geneontology.org/amigo/term/GO:0035308","GO:0035308")</f>
        <v>GO:0035308</v>
      </c>
      <c r="B1074" t="s">
        <v>1689</v>
      </c>
      <c r="C1074">
        <v>24</v>
      </c>
      <c r="K1074">
        <v>0.04</v>
      </c>
    </row>
    <row r="1075" spans="1:11" x14ac:dyDescent="0.25">
      <c r="A1075" s="16" t="str">
        <f>HYPERLINK("http://amigo.geneontology.org/amigo/term/GO:0042559","GO:0042559")</f>
        <v>GO:0042559</v>
      </c>
      <c r="B1075" t="s">
        <v>1526</v>
      </c>
      <c r="C1075">
        <v>37</v>
      </c>
      <c r="I1075">
        <v>0.04</v>
      </c>
    </row>
    <row r="1076" spans="1:11" x14ac:dyDescent="0.25">
      <c r="A1076" s="16" t="str">
        <f>HYPERLINK("http://amigo.geneontology.org/amigo/term/GO:0043096","GO:0043096")</f>
        <v>GO:0043096</v>
      </c>
      <c r="B1076" t="s">
        <v>1610</v>
      </c>
      <c r="C1076">
        <v>9</v>
      </c>
      <c r="J1076">
        <v>0.04</v>
      </c>
    </row>
    <row r="1077" spans="1:11" x14ac:dyDescent="0.25">
      <c r="A1077" s="16" t="str">
        <f>HYPERLINK("http://amigo.geneontology.org/amigo/term/GO:0043605","GO:0043605")</f>
        <v>GO:0043605</v>
      </c>
      <c r="B1077" t="s">
        <v>1389</v>
      </c>
      <c r="C1077">
        <v>6</v>
      </c>
      <c r="H1077">
        <v>0.04</v>
      </c>
    </row>
    <row r="1078" spans="1:11" x14ac:dyDescent="0.25">
      <c r="A1078" s="16" t="str">
        <f>HYPERLINK("http://amigo.geneontology.org/amigo/term/GO:0046083","GO:0046083")</f>
        <v>GO:0046083</v>
      </c>
      <c r="B1078" t="s">
        <v>1611</v>
      </c>
      <c r="C1078">
        <v>9</v>
      </c>
      <c r="J1078">
        <v>0.04</v>
      </c>
    </row>
    <row r="1079" spans="1:11" x14ac:dyDescent="0.25">
      <c r="A1079" s="16" t="str">
        <f>HYPERLINK("http://amigo.geneontology.org/amigo/term/GO:0046084","GO:0046084")</f>
        <v>GO:0046084</v>
      </c>
      <c r="B1079" t="s">
        <v>1612</v>
      </c>
      <c r="C1079">
        <v>9</v>
      </c>
      <c r="J1079">
        <v>0.04</v>
      </c>
    </row>
    <row r="1080" spans="1:11" x14ac:dyDescent="0.25">
      <c r="A1080" s="16" t="str">
        <f>HYPERLINK("http://amigo.geneontology.org/amigo/term/GO:0046113","GO:0046113")</f>
        <v>GO:0046113</v>
      </c>
      <c r="B1080" t="s">
        <v>1390</v>
      </c>
      <c r="C1080">
        <v>7</v>
      </c>
      <c r="H1080">
        <v>0.04</v>
      </c>
    </row>
    <row r="1081" spans="1:11" x14ac:dyDescent="0.25">
      <c r="A1081" s="16" t="str">
        <f>HYPERLINK("http://amigo.geneontology.org/amigo/term/GO:0048830","GO:0048830")</f>
        <v>GO:0048830</v>
      </c>
      <c r="B1081" t="s">
        <v>1528</v>
      </c>
      <c r="C1081">
        <v>4</v>
      </c>
      <c r="I1081">
        <v>0.04</v>
      </c>
    </row>
    <row r="1082" spans="1:11" x14ac:dyDescent="0.25">
      <c r="A1082" s="16" t="str">
        <f>HYPERLINK("http://amigo.geneontology.org/amigo/term/GO:0072329","GO:0072329")</f>
        <v>GO:0072329</v>
      </c>
      <c r="B1082" t="s">
        <v>1393</v>
      </c>
      <c r="C1082">
        <v>48</v>
      </c>
      <c r="H1082">
        <v>0.04</v>
      </c>
    </row>
    <row r="1083" spans="1:11" x14ac:dyDescent="0.25">
      <c r="A1083" s="16" t="str">
        <f>HYPERLINK("http://amigo.geneontology.org/amigo/term/GO:0080148","GO:0080148")</f>
        <v>GO:0080148</v>
      </c>
      <c r="B1083" t="s">
        <v>1535</v>
      </c>
      <c r="C1083">
        <v>5</v>
      </c>
      <c r="I1083">
        <v>0.04</v>
      </c>
    </row>
    <row r="1084" spans="1:11" x14ac:dyDescent="0.25">
      <c r="A1084" s="16" t="str">
        <f>HYPERLINK("http://amigo.geneontology.org/amigo/term/GO:1905183","GO:1905183")</f>
        <v>GO:1905183</v>
      </c>
      <c r="B1084" t="s">
        <v>1606</v>
      </c>
      <c r="C1084">
        <v>9</v>
      </c>
      <c r="J1084">
        <v>0.04</v>
      </c>
    </row>
    <row r="1085" spans="1:11" x14ac:dyDescent="0.25">
      <c r="A1085" s="16" t="str">
        <f>HYPERLINK("http://amigo.geneontology.org/amigo/term/GO:0006415","GO:0006415")</f>
        <v>GO:0006415</v>
      </c>
      <c r="B1085" t="s">
        <v>1541</v>
      </c>
      <c r="C1085">
        <v>39</v>
      </c>
      <c r="I1085">
        <v>0.05</v>
      </c>
    </row>
    <row r="1086" spans="1:11" x14ac:dyDescent="0.25">
      <c r="A1086" s="16" t="str">
        <f>HYPERLINK("http://amigo.geneontology.org/amigo/term/GO:0009085","GO:0009085")</f>
        <v>GO:0009085</v>
      </c>
      <c r="B1086" t="s">
        <v>1693</v>
      </c>
      <c r="C1086">
        <v>29</v>
      </c>
      <c r="K1086">
        <v>0.05</v>
      </c>
    </row>
    <row r="1087" spans="1:11" x14ac:dyDescent="0.25">
      <c r="A1087" s="16" t="str">
        <f>HYPERLINK("http://amigo.geneontology.org/amigo/term/GO:0009089","GO:0009089")</f>
        <v>GO:0009089</v>
      </c>
      <c r="B1087" t="s">
        <v>1695</v>
      </c>
      <c r="C1087">
        <v>29</v>
      </c>
      <c r="K1087">
        <v>0.05</v>
      </c>
    </row>
    <row r="1088" spans="1:11" x14ac:dyDescent="0.25">
      <c r="A1088" s="16" t="str">
        <f>HYPERLINK("http://amigo.geneontology.org/amigo/term/GO:0019348","GO:0019348")</f>
        <v>GO:0019348</v>
      </c>
      <c r="B1088" t="s">
        <v>1411</v>
      </c>
      <c r="C1088">
        <v>8</v>
      </c>
      <c r="H1088">
        <v>0.05</v>
      </c>
    </row>
    <row r="1089" spans="1:13" x14ac:dyDescent="0.25">
      <c r="A1089" s="16" t="str">
        <f>HYPERLINK("http://amigo.geneontology.org/amigo/term/GO:0040020","GO:0040020")</f>
        <v>GO:0040020</v>
      </c>
      <c r="B1089" t="s">
        <v>1615</v>
      </c>
      <c r="C1089">
        <v>10</v>
      </c>
      <c r="J1089">
        <v>0.05</v>
      </c>
    </row>
    <row r="1090" spans="1:13" x14ac:dyDescent="0.25">
      <c r="A1090" s="16" t="str">
        <f>HYPERLINK("http://amigo.geneontology.org/amigo/term/GO:0045489","GO:0045489")</f>
        <v>GO:0045489</v>
      </c>
      <c r="B1090" t="s">
        <v>1542</v>
      </c>
      <c r="C1090">
        <v>39</v>
      </c>
      <c r="I1090">
        <v>0.05</v>
      </c>
    </row>
    <row r="1091" spans="1:13" x14ac:dyDescent="0.25">
      <c r="A1091" s="16" t="str">
        <f>HYPERLINK("http://amigo.geneontology.org/amigo/term/GO:0046173","GO:0046173")</f>
        <v>GO:0046173</v>
      </c>
      <c r="B1091" t="s">
        <v>1696</v>
      </c>
      <c r="C1091">
        <v>28</v>
      </c>
      <c r="K1091">
        <v>0.05</v>
      </c>
    </row>
    <row r="1092" spans="1:13" x14ac:dyDescent="0.25">
      <c r="A1092" s="16" t="str">
        <f>HYPERLINK("http://amigo.geneontology.org/amigo/term/GO:0046451","GO:0046451")</f>
        <v>GO:0046451</v>
      </c>
      <c r="B1092" t="s">
        <v>1694</v>
      </c>
      <c r="C1092">
        <v>29</v>
      </c>
      <c r="K1092">
        <v>0.05</v>
      </c>
    </row>
    <row r="1093" spans="1:13" x14ac:dyDescent="0.25">
      <c r="A1093" s="16" t="str">
        <f>HYPERLINK("http://amigo.geneontology.org/amigo/term/GO:0046513","GO:0046513")</f>
        <v>GO:0046513</v>
      </c>
      <c r="B1093" t="s">
        <v>1410</v>
      </c>
      <c r="C1093">
        <v>8</v>
      </c>
      <c r="H1093">
        <v>0.05</v>
      </c>
    </row>
    <row r="1094" spans="1:13" x14ac:dyDescent="0.25">
      <c r="A1094" s="16" t="str">
        <f>HYPERLINK("http://amigo.geneontology.org/amigo/term/GO:0051788","GO:0051788")</f>
        <v>GO:0051788</v>
      </c>
      <c r="B1094" t="s">
        <v>1405</v>
      </c>
      <c r="C1094">
        <v>8</v>
      </c>
      <c r="H1094">
        <v>0.05</v>
      </c>
    </row>
    <row r="1095" spans="1:13" x14ac:dyDescent="0.25">
      <c r="A1095" s="16" t="str">
        <f>HYPERLINK("http://amigo.geneontology.org/amigo/term/GO:0055062","GO:0055062")</f>
        <v>GO:0055062</v>
      </c>
      <c r="B1095" t="s">
        <v>1400</v>
      </c>
      <c r="C1095">
        <v>8</v>
      </c>
      <c r="H1095">
        <v>0.05</v>
      </c>
    </row>
    <row r="1096" spans="1:13" x14ac:dyDescent="0.25">
      <c r="A1096" s="16" t="str">
        <f>HYPERLINK("http://amigo.geneontology.org/amigo/term/GO:0055072","GO:0055072")</f>
        <v>GO:0055072</v>
      </c>
      <c r="B1096" t="s">
        <v>1697</v>
      </c>
      <c r="C1096">
        <v>29</v>
      </c>
      <c r="K1096">
        <v>0.05</v>
      </c>
    </row>
    <row r="1097" spans="1:13" x14ac:dyDescent="0.25">
      <c r="A1097" s="16" t="str">
        <f>HYPERLINK("http://amigo.geneontology.org/amigo/term/GO:0055081","GO:0055081")</f>
        <v>GO:0055081</v>
      </c>
      <c r="B1097" t="s">
        <v>1398</v>
      </c>
      <c r="C1097">
        <v>8</v>
      </c>
      <c r="H1097">
        <v>0.05</v>
      </c>
    </row>
    <row r="1098" spans="1:13" x14ac:dyDescent="0.25">
      <c r="A1098" s="16" t="str">
        <f>HYPERLINK("http://amigo.geneontology.org/amigo/term/GO:0071071","GO:0071071")</f>
        <v>GO:0071071</v>
      </c>
      <c r="B1098" t="s">
        <v>1409</v>
      </c>
      <c r="C1098">
        <v>8</v>
      </c>
      <c r="H1098">
        <v>0.05</v>
      </c>
    </row>
    <row r="1099" spans="1:13" x14ac:dyDescent="0.25">
      <c r="A1099" s="16" t="str">
        <f>HYPERLINK("http://amigo.geneontology.org/amigo/term/GO:0071218","GO:0071218")</f>
        <v>GO:0071218</v>
      </c>
      <c r="B1099" t="s">
        <v>1406</v>
      </c>
      <c r="C1099">
        <v>8</v>
      </c>
      <c r="H1099">
        <v>0.05</v>
      </c>
    </row>
    <row r="1100" spans="1:13" x14ac:dyDescent="0.25">
      <c r="A1100" s="16" t="str">
        <f>HYPERLINK("http://amigo.geneontology.org/amigo/term/GO:0071712","GO:0071712")</f>
        <v>GO:0071712</v>
      </c>
      <c r="B1100" t="s">
        <v>1407</v>
      </c>
      <c r="C1100">
        <v>8</v>
      </c>
      <c r="H1100">
        <v>0.05</v>
      </c>
    </row>
    <row r="1101" spans="1:13" x14ac:dyDescent="0.25">
      <c r="A1101" s="16" t="str">
        <f>HYPERLINK("http://amigo.geneontology.org/amigo/term/GO:0072506","GO:0072506")</f>
        <v>GO:0072506</v>
      </c>
      <c r="B1101" t="s">
        <v>1399</v>
      </c>
      <c r="C1101">
        <v>8</v>
      </c>
      <c r="H1101">
        <v>0.05</v>
      </c>
    </row>
    <row r="1102" spans="1:13" x14ac:dyDescent="0.25">
      <c r="A1102" s="16" t="str">
        <f>HYPERLINK("http://amigo.geneontology.org/amigo/term/GO:1903725","GO:1903725")</f>
        <v>GO:1903725</v>
      </c>
      <c r="B1102" t="s">
        <v>1408</v>
      </c>
      <c r="C1102">
        <v>8</v>
      </c>
      <c r="H1102">
        <v>0.05</v>
      </c>
    </row>
    <row r="1103" spans="1:13" x14ac:dyDescent="0.25">
      <c r="A1103" s="17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</row>
    <row r="1104" spans="1:13" s="13" customFormat="1" x14ac:dyDescent="0.25">
      <c r="A1104" s="18" t="str">
        <f>HYPERLINK("http://amigo.geneontology.org/amigo/term/GO:0048582","GO:0048582")</f>
        <v>GO:0048582</v>
      </c>
      <c r="B1104" s="13" t="s">
        <v>3126</v>
      </c>
      <c r="C1104" s="13">
        <v>36</v>
      </c>
      <c r="L1104" s="13">
        <v>0.03</v>
      </c>
      <c r="M1104" s="14">
        <v>1.875E-4</v>
      </c>
    </row>
    <row r="1105" spans="1:12" x14ac:dyDescent="0.25">
      <c r="A1105" s="16" t="str">
        <f>HYPERLINK("http://amigo.geneontology.org/amigo/term/GO:0006022","GO:0006022")</f>
        <v>GO:0006022</v>
      </c>
      <c r="B1105" t="s">
        <v>2922</v>
      </c>
      <c r="C1105">
        <v>76</v>
      </c>
      <c r="L1105" s="1">
        <v>5.7959999999999998E-19</v>
      </c>
    </row>
    <row r="1106" spans="1:12" x14ac:dyDescent="0.25">
      <c r="A1106" s="16" t="str">
        <f>HYPERLINK("http://amigo.geneontology.org/amigo/term/GO:0006026","GO:0006026")</f>
        <v>GO:0006026</v>
      </c>
      <c r="B1106" t="s">
        <v>2925</v>
      </c>
      <c r="C1106">
        <v>76</v>
      </c>
      <c r="L1106" s="1">
        <v>5.7959999999999998E-19</v>
      </c>
    </row>
    <row r="1107" spans="1:12" x14ac:dyDescent="0.25">
      <c r="A1107" s="16" t="str">
        <f>HYPERLINK("http://amigo.geneontology.org/amigo/term/GO:0006030","GO:0006030")</f>
        <v>GO:0006030</v>
      </c>
      <c r="B1107" t="s">
        <v>2926</v>
      </c>
      <c r="C1107">
        <v>76</v>
      </c>
      <c r="L1107" s="1">
        <v>5.7959999999999998E-19</v>
      </c>
    </row>
    <row r="1108" spans="1:12" x14ac:dyDescent="0.25">
      <c r="A1108" s="16" t="str">
        <f>HYPERLINK("http://amigo.geneontology.org/amigo/term/GO:0006032","GO:0006032")</f>
        <v>GO:0006032</v>
      </c>
      <c r="B1108" t="s">
        <v>2929</v>
      </c>
      <c r="C1108">
        <v>76</v>
      </c>
      <c r="L1108" s="1">
        <v>5.7959999999999998E-19</v>
      </c>
    </row>
    <row r="1109" spans="1:12" x14ac:dyDescent="0.25">
      <c r="A1109" s="16" t="str">
        <f>HYPERLINK("http://amigo.geneontology.org/amigo/term/GO:0046348","GO:0046348")</f>
        <v>GO:0046348</v>
      </c>
      <c r="B1109" t="s">
        <v>2927</v>
      </c>
      <c r="C1109">
        <v>76</v>
      </c>
      <c r="L1109" s="1">
        <v>5.7959999999999998E-19</v>
      </c>
    </row>
    <row r="1110" spans="1:12" x14ac:dyDescent="0.25">
      <c r="A1110" s="16" t="str">
        <f>HYPERLINK("http://amigo.geneontology.org/amigo/term/GO:1901072","GO:1901072")</f>
        <v>GO:1901072</v>
      </c>
      <c r="B1110" t="s">
        <v>2928</v>
      </c>
      <c r="C1110">
        <v>76</v>
      </c>
      <c r="L1110" s="1">
        <v>5.7959999999999998E-19</v>
      </c>
    </row>
    <row r="1111" spans="1:12" x14ac:dyDescent="0.25">
      <c r="A1111" s="16" t="str">
        <f>HYPERLINK("http://amigo.geneontology.org/amigo/term/GO:1901071","GO:1901071")</f>
        <v>GO:1901071</v>
      </c>
      <c r="B1111" t="s">
        <v>2930</v>
      </c>
      <c r="C1111">
        <v>79</v>
      </c>
      <c r="L1111" s="1">
        <v>1.131E-18</v>
      </c>
    </row>
    <row r="1112" spans="1:12" x14ac:dyDescent="0.25">
      <c r="A1112" s="16" t="str">
        <f>HYPERLINK("http://amigo.geneontology.org/amigo/term/GO:0016998","GO:0016998")</f>
        <v>GO:0016998</v>
      </c>
      <c r="B1112" t="s">
        <v>2932</v>
      </c>
      <c r="C1112">
        <v>91</v>
      </c>
      <c r="L1112" s="1">
        <v>1.257E-17</v>
      </c>
    </row>
    <row r="1113" spans="1:12" x14ac:dyDescent="0.25">
      <c r="A1113" s="16" t="str">
        <f>HYPERLINK("http://amigo.geneontology.org/amigo/term/GO:0006040","GO:0006040")</f>
        <v>GO:0006040</v>
      </c>
      <c r="B1113" t="s">
        <v>2934</v>
      </c>
      <c r="C1113">
        <v>98</v>
      </c>
      <c r="L1113" s="1">
        <v>4.3600000000000002E-17</v>
      </c>
    </row>
    <row r="1114" spans="1:12" x14ac:dyDescent="0.25">
      <c r="A1114" s="16" t="str">
        <f>HYPERLINK("http://amigo.geneontology.org/amigo/term/GO:1901136","GO:1901136")</f>
        <v>GO:1901136</v>
      </c>
      <c r="B1114" t="s">
        <v>2936</v>
      </c>
      <c r="C1114">
        <v>144</v>
      </c>
      <c r="L1114" s="1">
        <v>2.307E-14</v>
      </c>
    </row>
    <row r="1115" spans="1:12" x14ac:dyDescent="0.25">
      <c r="A1115" s="16" t="str">
        <f>HYPERLINK("http://amigo.geneontology.org/amigo/term/GO:1901565","GO:1901565")</f>
        <v>GO:1901565</v>
      </c>
      <c r="B1115" t="s">
        <v>2939</v>
      </c>
      <c r="C1115">
        <v>1167</v>
      </c>
      <c r="L1115" s="1">
        <v>5.6200000000000002E-10</v>
      </c>
    </row>
    <row r="1116" spans="1:12" x14ac:dyDescent="0.25">
      <c r="A1116" s="16" t="str">
        <f>HYPERLINK("http://amigo.geneontology.org/amigo/term/GO:0044265","GO:0044265")</f>
        <v>GO:0044265</v>
      </c>
      <c r="B1116" t="s">
        <v>2966</v>
      </c>
      <c r="C1116">
        <v>1035</v>
      </c>
      <c r="L1116" s="1">
        <v>5.1959999999999999E-6</v>
      </c>
    </row>
    <row r="1117" spans="1:12" x14ac:dyDescent="0.25">
      <c r="A1117" s="16" t="str">
        <f>HYPERLINK("http://amigo.geneontology.org/amigo/term/GO:1901575","GO:1901575")</f>
        <v>GO:1901575</v>
      </c>
      <c r="B1117" t="s">
        <v>1388</v>
      </c>
      <c r="C1117">
        <v>2138</v>
      </c>
      <c r="L1117" s="1">
        <v>7.7519999999999996E-6</v>
      </c>
    </row>
    <row r="1118" spans="1:12" x14ac:dyDescent="0.25">
      <c r="A1118" s="16" t="str">
        <f>HYPERLINK("http://amigo.geneontology.org/amigo/term/GO:0044248","GO:0044248")</f>
        <v>GO:0044248</v>
      </c>
      <c r="B1118" t="s">
        <v>2982</v>
      </c>
      <c r="C1118">
        <v>2292</v>
      </c>
      <c r="L1118" s="1">
        <v>7.428E-5</v>
      </c>
    </row>
    <row r="1119" spans="1:12" x14ac:dyDescent="0.25">
      <c r="A1119" s="16" t="str">
        <f>HYPERLINK("http://amigo.geneontology.org/amigo/term/GO:0009057","GO:0009057")</f>
        <v>GO:0009057</v>
      </c>
      <c r="B1119" t="s">
        <v>2986</v>
      </c>
      <c r="C1119">
        <v>1272</v>
      </c>
      <c r="L1119" s="1">
        <v>1.2210000000000001E-4</v>
      </c>
    </row>
    <row r="1120" spans="1:12" x14ac:dyDescent="0.25">
      <c r="A1120" s="16" t="str">
        <f>HYPERLINK("http://amigo.geneontology.org/amigo/term/GO:0033609","GO:0033609")</f>
        <v>GO:0033609</v>
      </c>
      <c r="B1120" t="s">
        <v>2988</v>
      </c>
      <c r="C1120">
        <v>3</v>
      </c>
      <c r="L1120" s="1">
        <v>1.6760000000000001E-4</v>
      </c>
    </row>
    <row r="1121" spans="1:12" x14ac:dyDescent="0.25">
      <c r="A1121" s="16" t="str">
        <f>HYPERLINK("http://amigo.geneontology.org/amigo/term/GO:0033611","GO:0033611")</f>
        <v>GO:0033611</v>
      </c>
      <c r="B1121" t="s">
        <v>2990</v>
      </c>
      <c r="C1121">
        <v>3</v>
      </c>
      <c r="L1121" s="1">
        <v>1.6760000000000001E-4</v>
      </c>
    </row>
    <row r="1122" spans="1:12" x14ac:dyDescent="0.25">
      <c r="A1122" s="16" t="str">
        <f>HYPERLINK("http://amigo.geneontology.org/amigo/term/GO:0009698","GO:0009698")</f>
        <v>GO:0009698</v>
      </c>
      <c r="B1122" t="s">
        <v>2991</v>
      </c>
      <c r="C1122">
        <v>157</v>
      </c>
      <c r="L1122" s="1">
        <v>1.9880000000000001E-4</v>
      </c>
    </row>
    <row r="1123" spans="1:12" x14ac:dyDescent="0.25">
      <c r="A1123" s="16" t="str">
        <f>HYPERLINK("http://amigo.geneontology.org/amigo/term/GO:0042537","GO:0042537")</f>
        <v>GO:0042537</v>
      </c>
      <c r="B1123" t="s">
        <v>996</v>
      </c>
      <c r="C1123">
        <v>71</v>
      </c>
      <c r="L1123" s="1">
        <v>2.018E-4</v>
      </c>
    </row>
    <row r="1124" spans="1:12" x14ac:dyDescent="0.25">
      <c r="A1124" s="16" t="str">
        <f>HYPERLINK("http://amigo.geneontology.org/amigo/term/GO:0001906","GO:0001906")</f>
        <v>GO:0001906</v>
      </c>
      <c r="B1124" t="s">
        <v>3000</v>
      </c>
      <c r="C1124">
        <v>4</v>
      </c>
      <c r="L1124" s="1">
        <v>3.3349999999999997E-4</v>
      </c>
    </row>
    <row r="1125" spans="1:12" x14ac:dyDescent="0.25">
      <c r="A1125" s="16" t="str">
        <f>HYPERLINK("http://amigo.geneontology.org/amigo/term/GO:0031640","GO:0031640")</f>
        <v>GO:0031640</v>
      </c>
      <c r="B1125" t="s">
        <v>3002</v>
      </c>
      <c r="C1125">
        <v>4</v>
      </c>
      <c r="L1125" s="1">
        <v>3.3349999999999997E-4</v>
      </c>
    </row>
    <row r="1126" spans="1:12" x14ac:dyDescent="0.25">
      <c r="A1126" s="16" t="str">
        <f>HYPERLINK("http://amigo.geneontology.org/amigo/term/GO:0072488","GO:0072488")</f>
        <v>GO:0072488</v>
      </c>
      <c r="B1126" t="s">
        <v>3007</v>
      </c>
      <c r="C1126">
        <v>21</v>
      </c>
      <c r="L1126" s="1">
        <v>5.0449999999999996E-4</v>
      </c>
    </row>
    <row r="1127" spans="1:12" x14ac:dyDescent="0.25">
      <c r="A1127" s="16" t="str">
        <f>HYPERLINK("http://amigo.geneontology.org/amigo/term/GO:0019748","GO:0019748")</f>
        <v>GO:0019748</v>
      </c>
      <c r="B1127" t="s">
        <v>995</v>
      </c>
      <c r="C1127">
        <v>195</v>
      </c>
      <c r="L1127" s="1">
        <v>7.3039999999999997E-4</v>
      </c>
    </row>
    <row r="1128" spans="1:12" x14ac:dyDescent="0.25">
      <c r="A1128" s="16" t="str">
        <f>HYPERLINK("http://amigo.geneontology.org/amigo/term/GO:0030042","GO:0030042")</f>
        <v>GO:0030042</v>
      </c>
      <c r="B1128" t="s">
        <v>3016</v>
      </c>
      <c r="C1128">
        <v>26</v>
      </c>
      <c r="L1128" s="1">
        <v>9.5909999999999995E-4</v>
      </c>
    </row>
    <row r="1129" spans="1:12" x14ac:dyDescent="0.25">
      <c r="A1129" s="16" t="str">
        <f>HYPERLINK("http://amigo.geneontology.org/amigo/term/GO:0051261","GO:0051261")</f>
        <v>GO:0051261</v>
      </c>
      <c r="B1129" t="s">
        <v>3014</v>
      </c>
      <c r="C1129">
        <v>26</v>
      </c>
      <c r="L1129" s="1">
        <v>9.5909999999999995E-4</v>
      </c>
    </row>
    <row r="1130" spans="1:12" x14ac:dyDescent="0.25">
      <c r="A1130" s="16" t="str">
        <f>HYPERLINK("http://amigo.geneontology.org/amigo/term/GO:0090501","GO:0090501")</f>
        <v>GO:0090501</v>
      </c>
      <c r="B1130" t="s">
        <v>3017</v>
      </c>
      <c r="C1130">
        <v>62</v>
      </c>
      <c r="L1130" s="1">
        <v>1.237E-3</v>
      </c>
    </row>
    <row r="1131" spans="1:12" x14ac:dyDescent="0.25">
      <c r="A1131" s="16" t="str">
        <f>HYPERLINK("http://amigo.geneontology.org/amigo/term/GO:0010030","GO:0010030")</f>
        <v>GO:0010030</v>
      </c>
      <c r="B1131" t="s">
        <v>3021</v>
      </c>
      <c r="C1131">
        <v>8</v>
      </c>
      <c r="L1131" s="1">
        <v>1.5250000000000001E-3</v>
      </c>
    </row>
    <row r="1132" spans="1:12" x14ac:dyDescent="0.25">
      <c r="A1132" s="16" t="str">
        <f>HYPERLINK("http://amigo.geneontology.org/amigo/term/GO:0043624","GO:0043624")</f>
        <v>GO:0043624</v>
      </c>
      <c r="B1132" t="s">
        <v>3022</v>
      </c>
      <c r="C1132">
        <v>68</v>
      </c>
      <c r="L1132" s="1">
        <v>1.7440000000000001E-3</v>
      </c>
    </row>
    <row r="1133" spans="1:12" x14ac:dyDescent="0.25">
      <c r="A1133" s="16" t="str">
        <f>HYPERLINK("http://amigo.geneontology.org/amigo/term/GO:0009056","GO:0009056")</f>
        <v>GO:0009056</v>
      </c>
      <c r="B1133" t="s">
        <v>1397</v>
      </c>
      <c r="C1133">
        <v>2844</v>
      </c>
      <c r="L1133" s="1">
        <v>1.82E-3</v>
      </c>
    </row>
    <row r="1134" spans="1:12" x14ac:dyDescent="0.25">
      <c r="A1134" s="16" t="str">
        <f>HYPERLINK("http://amigo.geneontology.org/amigo/term/GO:0008154","GO:0008154")</f>
        <v>GO:0008154</v>
      </c>
      <c r="B1134" t="s">
        <v>3028</v>
      </c>
      <c r="C1134">
        <v>34</v>
      </c>
      <c r="L1134" s="1">
        <v>2.1120000000000002E-3</v>
      </c>
    </row>
    <row r="1135" spans="1:12" x14ac:dyDescent="0.25">
      <c r="A1135" s="16" t="str">
        <f>HYPERLINK("http://amigo.geneontology.org/amigo/term/GO:0009723","GO:0009723")</f>
        <v>GO:0009723</v>
      </c>
      <c r="B1135" t="s">
        <v>1009</v>
      </c>
      <c r="C1135">
        <v>72</v>
      </c>
      <c r="L1135" s="1">
        <v>2.1519999999999998E-3</v>
      </c>
    </row>
    <row r="1136" spans="1:12" x14ac:dyDescent="0.25">
      <c r="A1136" s="16" t="str">
        <f>HYPERLINK("http://amigo.geneontology.org/amigo/term/GO:0032984","GO:0032984")</f>
        <v>GO:0032984</v>
      </c>
      <c r="B1136" t="s">
        <v>3040</v>
      </c>
      <c r="C1136">
        <v>80</v>
      </c>
      <c r="L1136" s="1">
        <v>3.156E-3</v>
      </c>
    </row>
    <row r="1137" spans="1:12" x14ac:dyDescent="0.25">
      <c r="A1137" s="16" t="str">
        <f>HYPERLINK("http://amigo.geneontology.org/amigo/term/GO:0010214","GO:0010214")</f>
        <v>GO:0010214</v>
      </c>
      <c r="B1137" t="s">
        <v>3044</v>
      </c>
      <c r="C1137">
        <v>12</v>
      </c>
      <c r="L1137" s="1">
        <v>3.5249999999999999E-3</v>
      </c>
    </row>
    <row r="1138" spans="1:12" x14ac:dyDescent="0.25">
      <c r="A1138" s="16" t="str">
        <f>HYPERLINK("http://amigo.geneontology.org/amigo/term/GO:0043649","GO:0043649")</f>
        <v>GO:0043649</v>
      </c>
      <c r="B1138" t="s">
        <v>3045</v>
      </c>
      <c r="C1138">
        <v>12</v>
      </c>
      <c r="L1138" s="1">
        <v>3.5249999999999999E-3</v>
      </c>
    </row>
    <row r="1139" spans="1:12" x14ac:dyDescent="0.25">
      <c r="A1139" s="16" t="str">
        <f>HYPERLINK("http://amigo.geneontology.org/amigo/term/GO:0019439","GO:0019439")</f>
        <v>GO:0019439</v>
      </c>
      <c r="B1139" t="s">
        <v>3050</v>
      </c>
      <c r="C1139">
        <v>405</v>
      </c>
      <c r="L1139" s="1">
        <v>3.8430000000000001E-3</v>
      </c>
    </row>
    <row r="1140" spans="1:12" x14ac:dyDescent="0.25">
      <c r="A1140" s="16" t="str">
        <f>HYPERLINK("http://amigo.geneontology.org/amigo/term/GO:0009626","GO:0009626")</f>
        <v>GO:0009626</v>
      </c>
      <c r="B1140" t="s">
        <v>3056</v>
      </c>
      <c r="C1140">
        <v>13</v>
      </c>
      <c r="L1140" s="1">
        <v>4.1450000000000002E-3</v>
      </c>
    </row>
    <row r="1141" spans="1:12" x14ac:dyDescent="0.25">
      <c r="A1141" s="16" t="str">
        <f>HYPERLINK("http://amigo.geneontology.org/amigo/term/GO:0034050","GO:0034050")</f>
        <v>GO:0034050</v>
      </c>
      <c r="B1141" t="s">
        <v>3055</v>
      </c>
      <c r="C1141">
        <v>13</v>
      </c>
      <c r="L1141" s="1">
        <v>4.1450000000000002E-3</v>
      </c>
    </row>
    <row r="1142" spans="1:12" x14ac:dyDescent="0.25">
      <c r="A1142" s="16" t="str">
        <f>HYPERLINK("http://amigo.geneontology.org/amigo/term/GO:1901361","GO:1901361")</f>
        <v>GO:1901361</v>
      </c>
      <c r="B1142" t="s">
        <v>3057</v>
      </c>
      <c r="C1142">
        <v>410</v>
      </c>
      <c r="L1142" s="1">
        <v>4.1599999999999996E-3</v>
      </c>
    </row>
    <row r="1143" spans="1:12" x14ac:dyDescent="0.25">
      <c r="A1143" s="16" t="str">
        <f>HYPERLINK("http://amigo.geneontology.org/amigo/term/GO:0009813","GO:0009813")</f>
        <v>GO:0009813</v>
      </c>
      <c r="B1143" t="s">
        <v>3061</v>
      </c>
      <c r="C1143">
        <v>15</v>
      </c>
      <c r="L1143" s="1">
        <v>5.5250000000000004E-3</v>
      </c>
    </row>
    <row r="1144" spans="1:12" x14ac:dyDescent="0.25">
      <c r="A1144" s="16" t="str">
        <f>HYPERLINK("http://amigo.geneontology.org/amigo/term/GO:0051702","GO:0051702")</f>
        <v>GO:0051702</v>
      </c>
      <c r="B1144" t="s">
        <v>3060</v>
      </c>
      <c r="C1144">
        <v>15</v>
      </c>
      <c r="L1144" s="1">
        <v>5.5250000000000004E-3</v>
      </c>
    </row>
    <row r="1145" spans="1:12" x14ac:dyDescent="0.25">
      <c r="A1145" s="16" t="str">
        <f>HYPERLINK("http://amigo.geneontology.org/amigo/term/GO:0009082","GO:0009082")</f>
        <v>GO:0009082</v>
      </c>
      <c r="B1145" t="s">
        <v>3063</v>
      </c>
      <c r="C1145">
        <v>48</v>
      </c>
      <c r="L1145" s="1">
        <v>5.6480000000000002E-3</v>
      </c>
    </row>
    <row r="1146" spans="1:12" x14ac:dyDescent="0.25">
      <c r="A1146" s="16" t="str">
        <f>HYPERLINK("http://amigo.geneontology.org/amigo/term/GO:0009812","GO:0009812")</f>
        <v>GO:0009812</v>
      </c>
      <c r="B1146" t="s">
        <v>3071</v>
      </c>
      <c r="C1146">
        <v>16</v>
      </c>
      <c r="L1146" s="1">
        <v>6.2830000000000004E-3</v>
      </c>
    </row>
    <row r="1147" spans="1:12" x14ac:dyDescent="0.25">
      <c r="A1147" s="16" t="str">
        <f>HYPERLINK("http://amigo.geneontology.org/amigo/term/GO:0022411","GO:0022411")</f>
        <v>GO:0022411</v>
      </c>
      <c r="B1147" t="s">
        <v>3072</v>
      </c>
      <c r="C1147">
        <v>98</v>
      </c>
      <c r="L1147" s="1">
        <v>6.4879999999999998E-3</v>
      </c>
    </row>
    <row r="1148" spans="1:12" x14ac:dyDescent="0.25">
      <c r="A1148" s="16" t="str">
        <f>HYPERLINK("http://amigo.geneontology.org/amigo/term/GO:0012501","GO:0012501")</f>
        <v>GO:0012501</v>
      </c>
      <c r="B1148" t="s">
        <v>3078</v>
      </c>
      <c r="C1148">
        <v>17</v>
      </c>
      <c r="L1148" s="1">
        <v>7.0860000000000003E-3</v>
      </c>
    </row>
    <row r="1149" spans="1:12" x14ac:dyDescent="0.25">
      <c r="A1149" s="16" t="str">
        <f>HYPERLINK("http://amigo.geneontology.org/amigo/term/GO:0072330","GO:0072330")</f>
        <v>GO:0072330</v>
      </c>
      <c r="B1149" t="s">
        <v>530</v>
      </c>
      <c r="C1149">
        <v>382</v>
      </c>
      <c r="L1149" s="1">
        <v>8.7749999999999998E-3</v>
      </c>
    </row>
    <row r="1150" spans="1:12" x14ac:dyDescent="0.25">
      <c r="A1150" s="16" t="str">
        <f>HYPERLINK("http://amigo.geneontology.org/amigo/term/GO:0009081","GO:0009081")</f>
        <v>GO:0009081</v>
      </c>
      <c r="B1150" t="s">
        <v>1402</v>
      </c>
      <c r="C1150">
        <v>58</v>
      </c>
      <c r="L1150" s="1">
        <v>9.5370000000000003E-3</v>
      </c>
    </row>
    <row r="1151" spans="1:12" x14ac:dyDescent="0.25">
      <c r="A1151" s="16" t="str">
        <f>HYPERLINK("http://amigo.geneontology.org/amigo/term/GO:0000719","GO:0000719")</f>
        <v>GO:0000719</v>
      </c>
      <c r="B1151" t="s">
        <v>3103</v>
      </c>
      <c r="C1151">
        <v>2</v>
      </c>
      <c r="L1151">
        <v>0.01</v>
      </c>
    </row>
    <row r="1152" spans="1:12" x14ac:dyDescent="0.25">
      <c r="A1152" s="16" t="str">
        <f>HYPERLINK("http://amigo.geneontology.org/amigo/term/GO:0006560","GO:0006560")</f>
        <v>GO:0006560</v>
      </c>
      <c r="B1152" t="s">
        <v>3102</v>
      </c>
      <c r="C1152">
        <v>21</v>
      </c>
      <c r="L1152">
        <v>0.01</v>
      </c>
    </row>
    <row r="1153" spans="1:12" x14ac:dyDescent="0.25">
      <c r="A1153" s="16" t="str">
        <f>HYPERLINK("http://amigo.geneontology.org/amigo/term/GO:0016226","GO:0016226")</f>
        <v>GO:0016226</v>
      </c>
      <c r="B1153" t="s">
        <v>3095</v>
      </c>
      <c r="C1153">
        <v>61</v>
      </c>
      <c r="L1153">
        <v>0.01</v>
      </c>
    </row>
    <row r="1154" spans="1:12" x14ac:dyDescent="0.25">
      <c r="A1154" s="16" t="str">
        <f>HYPERLINK("http://amigo.geneontology.org/amigo/term/GO:0031163","GO:0031163")</f>
        <v>GO:0031163</v>
      </c>
      <c r="B1154" t="s">
        <v>3092</v>
      </c>
      <c r="C1154">
        <v>61</v>
      </c>
      <c r="L1154">
        <v>0.01</v>
      </c>
    </row>
    <row r="1155" spans="1:12" x14ac:dyDescent="0.25">
      <c r="A1155" s="16" t="str">
        <f>HYPERLINK("http://amigo.geneontology.org/amigo/term/GO:0044403","GO:0044403")</f>
        <v>GO:0044403</v>
      </c>
      <c r="B1155" t="s">
        <v>3101</v>
      </c>
      <c r="C1155">
        <v>24</v>
      </c>
      <c r="L1155">
        <v>0.01</v>
      </c>
    </row>
    <row r="1156" spans="1:12" x14ac:dyDescent="0.25">
      <c r="A1156" s="16" t="str">
        <f>HYPERLINK("http://amigo.geneontology.org/amigo/term/GO:1901135","GO:1901135")</f>
        <v>GO:1901135</v>
      </c>
      <c r="B1156" t="s">
        <v>3089</v>
      </c>
      <c r="C1156">
        <v>1440</v>
      </c>
      <c r="L1156">
        <v>0.01</v>
      </c>
    </row>
    <row r="1157" spans="1:12" x14ac:dyDescent="0.25">
      <c r="A1157" s="16" t="str">
        <f>HYPERLINK("http://amigo.geneontology.org/amigo/term/GO:0008219","GO:0008219")</f>
        <v>GO:0008219</v>
      </c>
      <c r="B1157" t="s">
        <v>3114</v>
      </c>
      <c r="C1157">
        <v>28</v>
      </c>
      <c r="L1157">
        <v>0.02</v>
      </c>
    </row>
    <row r="1158" spans="1:12" x14ac:dyDescent="0.25">
      <c r="A1158" s="16" t="str">
        <f>HYPERLINK("http://amigo.geneontology.org/amigo/term/GO:0033356","GO:0033356")</f>
        <v>GO:0033356</v>
      </c>
      <c r="B1158" t="s">
        <v>3115</v>
      </c>
      <c r="C1158">
        <v>3</v>
      </c>
      <c r="L1158">
        <v>0.02</v>
      </c>
    </row>
    <row r="1159" spans="1:12" x14ac:dyDescent="0.25">
      <c r="A1159" s="16" t="str">
        <f>HYPERLINK("http://amigo.geneontology.org/amigo/term/GO:0051301","GO:0051301")</f>
        <v>GO:0051301</v>
      </c>
      <c r="B1159" t="s">
        <v>3110</v>
      </c>
      <c r="C1159">
        <v>140</v>
      </c>
      <c r="L1159">
        <v>0.02</v>
      </c>
    </row>
    <row r="1160" spans="1:12" x14ac:dyDescent="0.25">
      <c r="A1160" s="16" t="str">
        <f>HYPERLINK("http://amigo.geneontology.org/amigo/term/GO:0090305","GO:0090305")</f>
        <v>GO:0090305</v>
      </c>
      <c r="B1160" t="s">
        <v>3108</v>
      </c>
      <c r="C1160">
        <v>139</v>
      </c>
      <c r="L1160">
        <v>0.02</v>
      </c>
    </row>
    <row r="1161" spans="1:12" x14ac:dyDescent="0.25">
      <c r="A1161" s="16" t="str">
        <f>HYPERLINK("http://amigo.geneontology.org/amigo/term/GO:0009650","GO:0009650")</f>
        <v>GO:0009650</v>
      </c>
      <c r="B1161" t="s">
        <v>3130</v>
      </c>
      <c r="C1161">
        <v>4</v>
      </c>
      <c r="L1161">
        <v>0.03</v>
      </c>
    </row>
    <row r="1162" spans="1:12" x14ac:dyDescent="0.25">
      <c r="A1162" s="16" t="str">
        <f>HYPERLINK("http://amigo.geneontology.org/amigo/term/GO:0015698","GO:0015698")</f>
        <v>GO:0015698</v>
      </c>
      <c r="B1162" t="s">
        <v>1309</v>
      </c>
      <c r="C1162">
        <v>161</v>
      </c>
      <c r="L1162">
        <v>0.03</v>
      </c>
    </row>
    <row r="1163" spans="1:12" x14ac:dyDescent="0.25">
      <c r="A1163" s="16" t="str">
        <f>HYPERLINK("http://amigo.geneontology.org/amigo/term/GO:0016108","GO:0016108")</f>
        <v>GO:0016108</v>
      </c>
      <c r="B1163" t="s">
        <v>3121</v>
      </c>
      <c r="C1163">
        <v>39</v>
      </c>
      <c r="L1163">
        <v>0.03</v>
      </c>
    </row>
    <row r="1164" spans="1:12" x14ac:dyDescent="0.25">
      <c r="A1164" s="16" t="str">
        <f>HYPERLINK("http://amigo.geneontology.org/amigo/term/GO:0016109","GO:0016109")</f>
        <v>GO:0016109</v>
      </c>
      <c r="B1164" t="s">
        <v>3123</v>
      </c>
      <c r="C1164">
        <v>33</v>
      </c>
      <c r="L1164">
        <v>0.03</v>
      </c>
    </row>
    <row r="1165" spans="1:12" x14ac:dyDescent="0.25">
      <c r="A1165" s="16" t="str">
        <f>HYPERLINK("http://amigo.geneontology.org/amigo/term/GO:0016116","GO:0016116")</f>
        <v>GO:0016116</v>
      </c>
      <c r="B1165" t="s">
        <v>3124</v>
      </c>
      <c r="C1165">
        <v>39</v>
      </c>
      <c r="L1165">
        <v>0.03</v>
      </c>
    </row>
    <row r="1166" spans="1:12" x14ac:dyDescent="0.25">
      <c r="A1166" s="16" t="str">
        <f>HYPERLINK("http://amigo.geneontology.org/amigo/term/GO:0016117","GO:0016117")</f>
        <v>GO:0016117</v>
      </c>
      <c r="B1166" t="s">
        <v>3125</v>
      </c>
      <c r="C1166">
        <v>33</v>
      </c>
      <c r="L1166">
        <v>0.03</v>
      </c>
    </row>
    <row r="1167" spans="1:12" x14ac:dyDescent="0.25">
      <c r="A1167" s="16" t="str">
        <f>HYPERLINK("http://amigo.geneontology.org/amigo/term/GO:0045087","GO:0045087")</f>
        <v>GO:0045087</v>
      </c>
      <c r="B1167" t="s">
        <v>3128</v>
      </c>
      <c r="C1167">
        <v>39</v>
      </c>
      <c r="L1167">
        <v>0.03</v>
      </c>
    </row>
    <row r="1168" spans="1:12" x14ac:dyDescent="0.25">
      <c r="A1168" s="16" t="str">
        <f>HYPERLINK("http://amigo.geneontology.org/amigo/term/GO:0006290","GO:0006290")</f>
        <v>GO:0006290</v>
      </c>
      <c r="B1168" t="s">
        <v>3145</v>
      </c>
      <c r="C1168">
        <v>5</v>
      </c>
      <c r="L1168">
        <v>0.04</v>
      </c>
    </row>
    <row r="1169" spans="1:13" x14ac:dyDescent="0.25">
      <c r="A1169" s="16" t="str">
        <f>HYPERLINK("http://amigo.geneontology.org/amigo/term/GO:0006955","GO:0006955")</f>
        <v>GO:0006955</v>
      </c>
      <c r="B1169" t="s">
        <v>3134</v>
      </c>
      <c r="C1169">
        <v>41</v>
      </c>
      <c r="L1169">
        <v>0.04</v>
      </c>
    </row>
    <row r="1170" spans="1:13" x14ac:dyDescent="0.25">
      <c r="A1170" s="16" t="str">
        <f>HYPERLINK("http://amigo.geneontology.org/amigo/term/GO:0009086","GO:0009086")</f>
        <v>GO:0009086</v>
      </c>
      <c r="B1170" t="s">
        <v>3137</v>
      </c>
      <c r="C1170">
        <v>42</v>
      </c>
      <c r="L1170">
        <v>0.04</v>
      </c>
    </row>
    <row r="1171" spans="1:13" x14ac:dyDescent="0.25">
      <c r="A1171" s="16" t="str">
        <f>HYPERLINK("http://amigo.geneontology.org/amigo/term/GO:0031407","GO:0031407")</f>
        <v>GO:0031407</v>
      </c>
      <c r="B1171" t="s">
        <v>3142</v>
      </c>
      <c r="C1171">
        <v>43</v>
      </c>
      <c r="L1171">
        <v>0.04</v>
      </c>
    </row>
    <row r="1172" spans="1:13" x14ac:dyDescent="0.25">
      <c r="A1172" s="16" t="str">
        <f>HYPERLINK("http://amigo.geneontology.org/amigo/term/GO:0031408","GO:0031408")</f>
        <v>GO:0031408</v>
      </c>
      <c r="B1172" t="s">
        <v>3144</v>
      </c>
      <c r="C1172">
        <v>42</v>
      </c>
      <c r="L1172">
        <v>0.04</v>
      </c>
    </row>
    <row r="1173" spans="1:13" x14ac:dyDescent="0.25">
      <c r="A1173" s="16" t="str">
        <f>HYPERLINK("http://amigo.geneontology.org/amigo/term/GO:0062034","GO:0062034")</f>
        <v>GO:0062034</v>
      </c>
      <c r="B1173" t="s">
        <v>3139</v>
      </c>
      <c r="C1173">
        <v>5</v>
      </c>
      <c r="L1173">
        <v>0.04</v>
      </c>
    </row>
    <row r="1174" spans="1:13" x14ac:dyDescent="0.25">
      <c r="A1174" s="16" t="str">
        <f>HYPERLINK("http://amigo.geneontology.org/amigo/term/GO:0045454","GO:0045454")</f>
        <v>GO:0045454</v>
      </c>
      <c r="B1174" t="s">
        <v>465</v>
      </c>
      <c r="C1174">
        <v>317</v>
      </c>
      <c r="M1174" s="1">
        <v>2.3670000000000001E-20</v>
      </c>
    </row>
    <row r="1175" spans="1:13" x14ac:dyDescent="0.25">
      <c r="A1175" s="16" t="str">
        <f>HYPERLINK("http://amigo.geneontology.org/amigo/term/GO:0042592","GO:0042592")</f>
        <v>GO:0042592</v>
      </c>
      <c r="B1175" t="s">
        <v>605</v>
      </c>
      <c r="C1175">
        <v>572</v>
      </c>
      <c r="M1175" s="1">
        <v>2.1129999999999998E-15</v>
      </c>
    </row>
    <row r="1176" spans="1:13" x14ac:dyDescent="0.25">
      <c r="A1176" s="16" t="str">
        <f>HYPERLINK("http://amigo.geneontology.org/amigo/term/GO:0065008","GO:0065008")</f>
        <v>GO:0065008</v>
      </c>
      <c r="B1176" t="s">
        <v>599</v>
      </c>
      <c r="C1176">
        <v>877</v>
      </c>
      <c r="M1176" s="1">
        <v>6.2229999999999998E-13</v>
      </c>
    </row>
    <row r="1177" spans="1:13" x14ac:dyDescent="0.25">
      <c r="A1177" s="16" t="str">
        <f>HYPERLINK("http://amigo.geneontology.org/amigo/term/GO:0019354","GO:0019354")</f>
        <v>GO:0019354</v>
      </c>
      <c r="B1177" t="s">
        <v>3157</v>
      </c>
      <c r="C1177">
        <v>3</v>
      </c>
      <c r="M1177" s="1">
        <v>2.8299999999999999E-8</v>
      </c>
    </row>
    <row r="1178" spans="1:13" x14ac:dyDescent="0.25">
      <c r="A1178" s="16" t="str">
        <f>HYPERLINK("http://amigo.geneontology.org/amigo/term/GO:0046156","GO:0046156")</f>
        <v>GO:0046156</v>
      </c>
      <c r="B1178" t="s">
        <v>3155</v>
      </c>
      <c r="C1178">
        <v>3</v>
      </c>
      <c r="M1178" s="1">
        <v>2.8299999999999999E-8</v>
      </c>
    </row>
    <row r="1179" spans="1:13" x14ac:dyDescent="0.25">
      <c r="A1179" s="16" t="str">
        <f>HYPERLINK("http://amigo.geneontology.org/amigo/term/GO:0048572","GO:0048572")</f>
        <v>GO:0048572</v>
      </c>
      <c r="B1179" t="s">
        <v>3158</v>
      </c>
      <c r="C1179">
        <v>3</v>
      </c>
      <c r="M1179" s="1">
        <v>2.8299999999999999E-8</v>
      </c>
    </row>
    <row r="1180" spans="1:13" x14ac:dyDescent="0.25">
      <c r="A1180" s="16" t="str">
        <f>HYPERLINK("http://amigo.geneontology.org/amigo/term/GO:0048576","GO:0048576")</f>
        <v>GO:0048576</v>
      </c>
      <c r="B1180" t="s">
        <v>3160</v>
      </c>
      <c r="C1180">
        <v>3</v>
      </c>
      <c r="M1180" s="1">
        <v>2.8299999999999999E-8</v>
      </c>
    </row>
    <row r="1181" spans="1:13" x14ac:dyDescent="0.25">
      <c r="A1181" s="16" t="str">
        <f>HYPERLINK("http://amigo.geneontology.org/amigo/term/GO:0009235","GO:0009235")</f>
        <v>GO:0009235</v>
      </c>
      <c r="B1181" t="s">
        <v>3161</v>
      </c>
      <c r="C1181">
        <v>9</v>
      </c>
      <c r="M1181" s="1">
        <v>2.345E-6</v>
      </c>
    </row>
    <row r="1182" spans="1:13" x14ac:dyDescent="0.25">
      <c r="A1182" s="16" t="str">
        <f>HYPERLINK("http://amigo.geneontology.org/amigo/term/GO:0009236","GO:0009236")</f>
        <v>GO:0009236</v>
      </c>
      <c r="B1182" t="s">
        <v>3162</v>
      </c>
      <c r="C1182">
        <v>9</v>
      </c>
      <c r="M1182" s="1">
        <v>2.345E-6</v>
      </c>
    </row>
    <row r="1183" spans="1:13" x14ac:dyDescent="0.25">
      <c r="A1183" s="16" t="str">
        <f>HYPERLINK("http://amigo.geneontology.org/amigo/term/GO:0048571","GO:0048571")</f>
        <v>GO:0048571</v>
      </c>
      <c r="B1183" t="s">
        <v>3163</v>
      </c>
      <c r="C1183">
        <v>9</v>
      </c>
      <c r="M1183" s="1">
        <v>2.345E-6</v>
      </c>
    </row>
    <row r="1184" spans="1:13" x14ac:dyDescent="0.25">
      <c r="A1184" s="16" t="str">
        <f>HYPERLINK("http://amigo.geneontology.org/amigo/term/GO:0048587","GO:0048587")</f>
        <v>GO:0048587</v>
      </c>
      <c r="B1184" t="s">
        <v>3164</v>
      </c>
      <c r="C1184">
        <v>12</v>
      </c>
      <c r="M1184" s="1">
        <v>6.1E-6</v>
      </c>
    </row>
    <row r="1185" spans="1:13" x14ac:dyDescent="0.25">
      <c r="A1185" s="16" t="str">
        <f>HYPERLINK("http://amigo.geneontology.org/amigo/term/GO:0048579","GO:0048579")</f>
        <v>GO:0048579</v>
      </c>
      <c r="B1185" t="s">
        <v>3165</v>
      </c>
      <c r="C1185">
        <v>19</v>
      </c>
      <c r="M1185" s="1">
        <v>2.6440000000000001E-5</v>
      </c>
    </row>
    <row r="1186" spans="1:13" x14ac:dyDescent="0.25">
      <c r="A1186" s="16" t="str">
        <f>HYPERLINK("http://amigo.geneontology.org/amigo/term/GO:0009648","GO:0009648")</f>
        <v>GO:0009648</v>
      </c>
      <c r="B1186" t="s">
        <v>3168</v>
      </c>
      <c r="C1186">
        <v>23</v>
      </c>
      <c r="M1186" s="1">
        <v>4.7899999999999999E-5</v>
      </c>
    </row>
    <row r="1187" spans="1:13" x14ac:dyDescent="0.25">
      <c r="A1187" s="16" t="str">
        <f>HYPERLINK("http://amigo.geneontology.org/amigo/term/GO:0006662","GO:0006662")</f>
        <v>GO:0006662</v>
      </c>
      <c r="B1187" t="s">
        <v>3173</v>
      </c>
      <c r="C1187">
        <v>65</v>
      </c>
      <c r="M1187" s="1">
        <v>4.9990000000000001E-5</v>
      </c>
    </row>
    <row r="1188" spans="1:13" x14ac:dyDescent="0.25">
      <c r="A1188" s="16" t="str">
        <f>HYPERLINK("http://amigo.geneontology.org/amigo/term/GO:0018904","GO:0018904")</f>
        <v>GO:0018904</v>
      </c>
      <c r="B1188" t="s">
        <v>3170</v>
      </c>
      <c r="C1188">
        <v>65</v>
      </c>
      <c r="M1188" s="1">
        <v>4.9990000000000001E-5</v>
      </c>
    </row>
    <row r="1189" spans="1:13" x14ac:dyDescent="0.25">
      <c r="A1189" s="16" t="str">
        <f>HYPERLINK("http://amigo.geneontology.org/amigo/term/GO:2000243","GO:2000243")</f>
        <v>GO:2000243</v>
      </c>
      <c r="B1189" t="s">
        <v>3174</v>
      </c>
      <c r="C1189">
        <v>26</v>
      </c>
      <c r="M1189" s="1">
        <v>6.9839999999999995E-5</v>
      </c>
    </row>
    <row r="1190" spans="1:13" x14ac:dyDescent="0.25">
      <c r="A1190" s="16" t="str">
        <f>HYPERLINK("http://amigo.geneontology.org/amigo/term/GO:0048586","GO:0048586")</f>
        <v>GO:0048586</v>
      </c>
      <c r="B1190" t="s">
        <v>3175</v>
      </c>
      <c r="C1190">
        <v>37</v>
      </c>
      <c r="M1190" s="1">
        <v>2.0359999999999999E-4</v>
      </c>
    </row>
    <row r="1191" spans="1:13" x14ac:dyDescent="0.25">
      <c r="A1191" s="16" t="str">
        <f>HYPERLINK("http://amigo.geneontology.org/amigo/term/GO:0048268","GO:0048268")</f>
        <v>GO:0048268</v>
      </c>
      <c r="B1191" t="s">
        <v>3176</v>
      </c>
      <c r="C1191">
        <v>40</v>
      </c>
      <c r="M1191" s="1">
        <v>2.5710000000000002E-4</v>
      </c>
    </row>
    <row r="1192" spans="1:13" x14ac:dyDescent="0.25">
      <c r="A1192" s="16" t="str">
        <f>HYPERLINK("http://amigo.geneontology.org/amigo/term/GO:0006783","GO:0006783")</f>
        <v>GO:0006783</v>
      </c>
      <c r="B1192" t="s">
        <v>3178</v>
      </c>
      <c r="C1192">
        <v>47</v>
      </c>
      <c r="M1192" s="1">
        <v>4.1540000000000001E-4</v>
      </c>
    </row>
    <row r="1193" spans="1:13" x14ac:dyDescent="0.25">
      <c r="A1193" s="16" t="str">
        <f>HYPERLINK("http://amigo.geneontology.org/amigo/term/GO:0051240","GO:0051240")</f>
        <v>GO:0051240</v>
      </c>
      <c r="B1193" t="s">
        <v>3181</v>
      </c>
      <c r="C1193">
        <v>51</v>
      </c>
      <c r="M1193" s="1">
        <v>5.287E-4</v>
      </c>
    </row>
    <row r="1194" spans="1:13" x14ac:dyDescent="0.25">
      <c r="A1194" s="16" t="str">
        <f>HYPERLINK("http://amigo.geneontology.org/amigo/term/GO:2000028","GO:2000028")</f>
        <v>GO:2000028</v>
      </c>
      <c r="B1194" t="s">
        <v>3186</v>
      </c>
      <c r="C1194">
        <v>56</v>
      </c>
      <c r="M1194" s="1">
        <v>6.9589999999999995E-4</v>
      </c>
    </row>
    <row r="1195" spans="1:13" x14ac:dyDescent="0.25">
      <c r="A1195" s="16" t="str">
        <f>HYPERLINK("http://amigo.geneontology.org/amigo/term/GO:0042168","GO:0042168")</f>
        <v>GO:0042168</v>
      </c>
      <c r="B1195" t="s">
        <v>3187</v>
      </c>
      <c r="C1195">
        <v>57</v>
      </c>
      <c r="M1195" s="1">
        <v>7.3289999999999998E-4</v>
      </c>
    </row>
    <row r="1196" spans="1:13" x14ac:dyDescent="0.25">
      <c r="A1196" s="16" t="str">
        <f>HYPERLINK("http://amigo.geneontology.org/amigo/term/GO:0051094","GO:0051094")</f>
        <v>GO:0051094</v>
      </c>
      <c r="B1196" t="s">
        <v>3188</v>
      </c>
      <c r="C1196">
        <v>58</v>
      </c>
      <c r="M1196" s="1">
        <v>7.7110000000000004E-4</v>
      </c>
    </row>
    <row r="1197" spans="1:13" x14ac:dyDescent="0.25">
      <c r="A1197" s="16" t="str">
        <f>HYPERLINK("http://amigo.geneontology.org/amigo/term/GO:0006541","GO:0006541")</f>
        <v>GO:0006541</v>
      </c>
      <c r="B1197" t="s">
        <v>1515</v>
      </c>
      <c r="C1197">
        <v>73</v>
      </c>
      <c r="M1197" s="1">
        <v>1.503E-3</v>
      </c>
    </row>
    <row r="1198" spans="1:13" x14ac:dyDescent="0.25">
      <c r="A1198" s="16" t="str">
        <f>HYPERLINK("http://amigo.geneontology.org/amigo/term/GO:0000105","GO:0000105")</f>
        <v>GO:0000105</v>
      </c>
      <c r="B1198" t="s">
        <v>3194</v>
      </c>
      <c r="C1198">
        <v>21</v>
      </c>
      <c r="M1198" s="1">
        <v>1.885E-3</v>
      </c>
    </row>
    <row r="1199" spans="1:13" x14ac:dyDescent="0.25">
      <c r="A1199" s="16" t="str">
        <f>HYPERLINK("http://amigo.geneontology.org/amigo/term/GO:0006547","GO:0006547")</f>
        <v>GO:0006547</v>
      </c>
      <c r="B1199" t="s">
        <v>3192</v>
      </c>
      <c r="C1199">
        <v>21</v>
      </c>
      <c r="M1199" s="1">
        <v>1.885E-3</v>
      </c>
    </row>
    <row r="1200" spans="1:13" x14ac:dyDescent="0.25">
      <c r="A1200" s="16" t="str">
        <f>HYPERLINK("http://amigo.geneontology.org/amigo/term/GO:0009067","GO:0009067")</f>
        <v>GO:0009067</v>
      </c>
      <c r="B1200" t="s">
        <v>3200</v>
      </c>
      <c r="C1200">
        <v>88</v>
      </c>
      <c r="M1200" s="1">
        <v>2.5639999999999999E-3</v>
      </c>
    </row>
    <row r="1201" spans="1:13" x14ac:dyDescent="0.25">
      <c r="A1201" s="16" t="str">
        <f>HYPERLINK("http://amigo.geneontology.org/amigo/term/GO:0009909","GO:0009909")</f>
        <v>GO:0009909</v>
      </c>
      <c r="B1201" t="s">
        <v>3202</v>
      </c>
      <c r="C1201">
        <v>94</v>
      </c>
      <c r="M1201" s="1">
        <v>3.0899999999999999E-3</v>
      </c>
    </row>
    <row r="1202" spans="1:13" x14ac:dyDescent="0.25">
      <c r="A1202" s="16" t="str">
        <f>HYPERLINK("http://amigo.geneontology.org/amigo/term/GO:0048831","GO:0048831")</f>
        <v>GO:0048831</v>
      </c>
      <c r="B1202" t="s">
        <v>3204</v>
      </c>
      <c r="C1202">
        <v>98</v>
      </c>
      <c r="M1202" s="1">
        <v>3.4749999999999998E-3</v>
      </c>
    </row>
    <row r="1203" spans="1:13" x14ac:dyDescent="0.25">
      <c r="A1203" s="16" t="str">
        <f>HYPERLINK("http://amigo.geneontology.org/amigo/term/GO:0009066","GO:0009066")</f>
        <v>GO:0009066</v>
      </c>
      <c r="B1203" t="s">
        <v>3209</v>
      </c>
      <c r="C1203">
        <v>103</v>
      </c>
      <c r="M1203" s="1">
        <v>3.9950000000000003E-3</v>
      </c>
    </row>
    <row r="1204" spans="1:13" x14ac:dyDescent="0.25">
      <c r="A1204" s="16" t="str">
        <f>HYPERLINK("http://amigo.geneontology.org/amigo/term/GO:0006470","GO:0006470")</f>
        <v>GO:0006470</v>
      </c>
      <c r="B1204" t="s">
        <v>3215</v>
      </c>
      <c r="C1204">
        <v>241</v>
      </c>
      <c r="M1204" s="1">
        <v>6.6629999999999997E-3</v>
      </c>
    </row>
    <row r="1205" spans="1:13" x14ac:dyDescent="0.25">
      <c r="A1205" s="16" t="str">
        <f>HYPERLINK("http://amigo.geneontology.org/amigo/term/GO:0048868","GO:0048868")</f>
        <v>GO:0048868</v>
      </c>
      <c r="B1205" t="s">
        <v>3219</v>
      </c>
      <c r="C1205">
        <v>44</v>
      </c>
      <c r="M1205" s="1">
        <v>8.1069999999999996E-3</v>
      </c>
    </row>
    <row r="1206" spans="1:13" x14ac:dyDescent="0.25">
      <c r="A1206" s="16" t="str">
        <f>HYPERLINK("http://amigo.geneontology.org/amigo/term/GO:0042364","GO:0042364")</f>
        <v>GO:0042364</v>
      </c>
      <c r="B1206" t="s">
        <v>3221</v>
      </c>
      <c r="C1206">
        <v>134</v>
      </c>
      <c r="M1206" s="1">
        <v>8.2660000000000008E-3</v>
      </c>
    </row>
    <row r="1207" spans="1:13" x14ac:dyDescent="0.25">
      <c r="A1207" s="16" t="str">
        <f>HYPERLINK("http://amigo.geneontology.org/amigo/term/GO:0006767","GO:0006767")</f>
        <v>GO:0006767</v>
      </c>
      <c r="B1207" t="s">
        <v>3223</v>
      </c>
      <c r="C1207">
        <v>140</v>
      </c>
      <c r="M1207" s="1">
        <v>9.3109999999999998E-3</v>
      </c>
    </row>
    <row r="1208" spans="1:13" x14ac:dyDescent="0.25">
      <c r="A1208" s="16" t="str">
        <f>HYPERLINK("http://amigo.geneontology.org/amigo/term/GO:0006098","GO:0006098")</f>
        <v>GO:0006098</v>
      </c>
      <c r="B1208" t="s">
        <v>3227</v>
      </c>
      <c r="C1208">
        <v>48</v>
      </c>
      <c r="M1208" s="1">
        <v>9.5899999999999996E-3</v>
      </c>
    </row>
    <row r="1209" spans="1:13" x14ac:dyDescent="0.25">
      <c r="A1209" s="16" t="str">
        <f>HYPERLINK("http://amigo.geneontology.org/amigo/term/GO:0006740","GO:0006740")</f>
        <v>GO:0006740</v>
      </c>
      <c r="B1209" t="s">
        <v>3225</v>
      </c>
      <c r="C1209">
        <v>48</v>
      </c>
      <c r="M1209" s="1">
        <v>9.5899999999999996E-3</v>
      </c>
    </row>
    <row r="1210" spans="1:13" x14ac:dyDescent="0.25">
      <c r="A1210" s="16" t="str">
        <f>HYPERLINK("http://amigo.geneontology.org/amigo/term/GO:0051156","GO:0051156")</f>
        <v>GO:0051156</v>
      </c>
      <c r="B1210" t="s">
        <v>3229</v>
      </c>
      <c r="C1210">
        <v>49</v>
      </c>
      <c r="M1210" s="1">
        <v>9.9780000000000008E-3</v>
      </c>
    </row>
    <row r="1211" spans="1:13" x14ac:dyDescent="0.25">
      <c r="A1211" s="16" t="str">
        <f>HYPERLINK("http://amigo.geneontology.org/amigo/term/GO:0009064","GO:0009064")</f>
        <v>GO:0009064</v>
      </c>
      <c r="B1211" t="s">
        <v>544</v>
      </c>
      <c r="C1211">
        <v>164</v>
      </c>
      <c r="M1211">
        <v>0.01</v>
      </c>
    </row>
    <row r="1212" spans="1:13" x14ac:dyDescent="0.25">
      <c r="A1212" s="16" t="str">
        <f>HYPERLINK("http://amigo.geneontology.org/amigo/term/GO:0046148","GO:0046148")</f>
        <v>GO:0046148</v>
      </c>
      <c r="B1212" t="s">
        <v>1543</v>
      </c>
      <c r="C1212">
        <v>148</v>
      </c>
      <c r="M1212">
        <v>0.01</v>
      </c>
    </row>
    <row r="1213" spans="1:13" x14ac:dyDescent="0.25">
      <c r="A1213" s="16" t="str">
        <f>HYPERLINK("http://amigo.geneontology.org/amigo/term/GO:0006739","GO:0006739")</f>
        <v>GO:0006739</v>
      </c>
      <c r="B1213" t="s">
        <v>3237</v>
      </c>
      <c r="C1213">
        <v>66</v>
      </c>
      <c r="M1213">
        <v>0.02</v>
      </c>
    </row>
    <row r="1214" spans="1:13" x14ac:dyDescent="0.25">
      <c r="A1214" s="16" t="str">
        <f>HYPERLINK("http://amigo.geneontology.org/amigo/term/GO:0042440","GO:0042440")</f>
        <v>GO:0042440</v>
      </c>
      <c r="B1214" t="s">
        <v>706</v>
      </c>
      <c r="C1214">
        <v>176</v>
      </c>
      <c r="M1214">
        <v>0.02</v>
      </c>
    </row>
    <row r="1215" spans="1:13" x14ac:dyDescent="0.25">
      <c r="A1215" s="16" t="str">
        <f>HYPERLINK("http://amigo.geneontology.org/amigo/term/GO:2000241","GO:2000241")</f>
        <v>GO:2000241</v>
      </c>
      <c r="B1215" t="s">
        <v>3244</v>
      </c>
      <c r="C1215">
        <v>182</v>
      </c>
      <c r="M1215">
        <v>0.02</v>
      </c>
    </row>
    <row r="1216" spans="1:13" x14ac:dyDescent="0.25">
      <c r="A1216" s="16" t="str">
        <f>HYPERLINK("http://amigo.geneontology.org/amigo/term/GO:0000097","GO:0000097")</f>
        <v>GO:0000097</v>
      </c>
      <c r="B1216" t="s">
        <v>1540</v>
      </c>
      <c r="C1216">
        <v>90</v>
      </c>
      <c r="M1216">
        <v>0.03</v>
      </c>
    </row>
    <row r="1217" spans="1:13" x14ac:dyDescent="0.25">
      <c r="A1217" s="16" t="str">
        <f>HYPERLINK("http://amigo.geneontology.org/amigo/term/GO:0006809","GO:0006809")</f>
        <v>GO:0006809</v>
      </c>
      <c r="B1217" t="s">
        <v>3249</v>
      </c>
      <c r="C1217">
        <v>9</v>
      </c>
      <c r="M1217">
        <v>0.03</v>
      </c>
    </row>
    <row r="1218" spans="1:13" x14ac:dyDescent="0.25">
      <c r="A1218" s="16" t="str">
        <f>HYPERLINK("http://amigo.geneontology.org/amigo/term/GO:0016311","GO:0016311")</f>
        <v>GO:0016311</v>
      </c>
      <c r="B1218" t="s">
        <v>1109</v>
      </c>
      <c r="C1218">
        <v>392</v>
      </c>
      <c r="M1218">
        <v>0.03</v>
      </c>
    </row>
    <row r="1219" spans="1:13" x14ac:dyDescent="0.25">
      <c r="A1219" s="16" t="str">
        <f>HYPERLINK("http://amigo.geneontology.org/amigo/term/GO:0046209","GO:0046209")</f>
        <v>GO:0046209</v>
      </c>
      <c r="B1219" t="s">
        <v>3247</v>
      </c>
      <c r="C1219">
        <v>9</v>
      </c>
      <c r="M1219">
        <v>0.03</v>
      </c>
    </row>
    <row r="1220" spans="1:13" x14ac:dyDescent="0.25">
      <c r="A1220" s="16" t="str">
        <f>HYPERLINK("http://amigo.geneontology.org/amigo/term/GO:0009312","GO:0009312")</f>
        <v>GO:0009312</v>
      </c>
      <c r="B1220" t="s">
        <v>1369</v>
      </c>
      <c r="C1220">
        <v>99</v>
      </c>
      <c r="M1220">
        <v>0.04</v>
      </c>
    </row>
    <row r="1221" spans="1:13" x14ac:dyDescent="0.25">
      <c r="A1221" s="16" t="str">
        <f>HYPERLINK("http://amigo.geneontology.org/amigo/term/GO:0030968","GO:0030968")</f>
        <v>GO:0030968</v>
      </c>
      <c r="B1221" t="s">
        <v>3258</v>
      </c>
      <c r="C1221">
        <v>14</v>
      </c>
      <c r="M1221">
        <v>0.04</v>
      </c>
    </row>
    <row r="1222" spans="1:13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</row>
  </sheetData>
  <sortState ref="A7:O194">
    <sortCondition ref="L7:L194"/>
    <sortCondition ref="M7:M194"/>
  </sortState>
  <conditionalFormatting sqref="D7:M768 D1104:M1303 D770:M1102">
    <cfRule type="colorScale" priority="3">
      <colorScale>
        <cfvo type="num" val="0"/>
        <cfvo type="num" val="1E-3"/>
        <cfvo type="num" val="1"/>
        <color rgb="FFC00000"/>
        <color rgb="FFFF7C80"/>
        <color theme="0"/>
      </colorScale>
    </cfRule>
  </conditionalFormatting>
  <conditionalFormatting sqref="D1103:M1103">
    <cfRule type="colorScale" priority="2">
      <colorScale>
        <cfvo type="num" val="0"/>
        <cfvo type="num" val="1E-3"/>
        <cfvo type="num" val="1"/>
        <color rgb="FFC00000"/>
        <color rgb="FFFF7C80"/>
        <color theme="0"/>
      </colorScale>
    </cfRule>
  </conditionalFormatting>
  <conditionalFormatting sqref="D769:M769">
    <cfRule type="colorScale" priority="1">
      <colorScale>
        <cfvo type="num" val="0"/>
        <cfvo type="num" val="1E-3"/>
        <cfvo type="num" val="1"/>
        <color rgb="FFC00000"/>
        <color rgb="FFFF7C80"/>
        <color theme="0"/>
      </colorScale>
    </cfRule>
  </conditionalFormatting>
  <pageMargins left="0.7" right="0.7" top="0.75" bottom="0.75" header="0.3" footer="0.3"/>
  <pageSetup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workbookViewId="0">
      <pane xSplit="2" ySplit="10" topLeftCell="C153" activePane="bottomRight" state="frozen"/>
      <selection pane="topRight" activeCell="C1" sqref="C1"/>
      <selection pane="bottomLeft" activeCell="A11" sqref="A11"/>
      <selection pane="bottomRight" activeCell="A11" sqref="A11:A179"/>
    </sheetView>
  </sheetViews>
  <sheetFormatPr defaultRowHeight="15" x14ac:dyDescent="0.25"/>
  <sheetData>
    <row r="1" spans="1:7" x14ac:dyDescent="0.25">
      <c r="A1" t="s">
        <v>0</v>
      </c>
      <c r="B1">
        <v>566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HYPERLINK("http://amigo.geneontology.org/amigo/term/GO:0005975","GO:0005975")</f>
        <v>GO:0005975</v>
      </c>
      <c r="B11" t="s">
        <v>295</v>
      </c>
      <c r="C11" s="1">
        <v>3.638E-21</v>
      </c>
      <c r="D11" s="1">
        <v>4.0049999999999999E-21</v>
      </c>
      <c r="E11">
        <v>2685</v>
      </c>
      <c r="F11" t="s">
        <v>2920</v>
      </c>
      <c r="G11" t="s">
        <v>2921</v>
      </c>
    </row>
    <row r="12" spans="1:7" x14ac:dyDescent="0.25">
      <c r="A12" s="16" t="str">
        <f>HYPERLINK("http://amigo.geneontology.org/amigo/term/GO:0006022","GO:0006022")</f>
        <v>GO:0006022</v>
      </c>
      <c r="B12" t="s">
        <v>2922</v>
      </c>
      <c r="C12" s="1">
        <v>5.7959999999999998E-19</v>
      </c>
      <c r="D12" s="1">
        <v>6.3779999999999999E-19</v>
      </c>
      <c r="E12">
        <v>76</v>
      </c>
      <c r="F12" t="s">
        <v>2923</v>
      </c>
      <c r="G12" t="s">
        <v>2924</v>
      </c>
    </row>
    <row r="13" spans="1:7" x14ac:dyDescent="0.25">
      <c r="A13" s="16" t="str">
        <f>HYPERLINK("http://amigo.geneontology.org/amigo/term/GO:0006026","GO:0006026")</f>
        <v>GO:0006026</v>
      </c>
      <c r="B13" t="s">
        <v>2925</v>
      </c>
      <c r="C13" s="1">
        <v>5.7959999999999998E-19</v>
      </c>
      <c r="D13" s="1">
        <v>6.3779999999999999E-19</v>
      </c>
      <c r="E13">
        <v>76</v>
      </c>
      <c r="F13" t="s">
        <v>2923</v>
      </c>
      <c r="G13" t="s">
        <v>2924</v>
      </c>
    </row>
    <row r="14" spans="1:7" x14ac:dyDescent="0.25">
      <c r="A14" s="16" t="str">
        <f>HYPERLINK("http://amigo.geneontology.org/amigo/term/GO:0006030","GO:0006030")</f>
        <v>GO:0006030</v>
      </c>
      <c r="B14" t="s">
        <v>2926</v>
      </c>
      <c r="C14" s="1">
        <v>5.7959999999999998E-19</v>
      </c>
      <c r="D14" s="1">
        <v>6.3779999999999999E-19</v>
      </c>
      <c r="E14">
        <v>76</v>
      </c>
      <c r="F14" t="s">
        <v>2923</v>
      </c>
      <c r="G14" t="s">
        <v>2924</v>
      </c>
    </row>
    <row r="15" spans="1:7" x14ac:dyDescent="0.25">
      <c r="A15" s="16" t="str">
        <f>HYPERLINK("http://amigo.geneontology.org/amigo/term/GO:0046348","GO:0046348")</f>
        <v>GO:0046348</v>
      </c>
      <c r="B15" t="s">
        <v>2927</v>
      </c>
      <c r="C15" s="1">
        <v>5.7959999999999998E-19</v>
      </c>
      <c r="D15" s="1">
        <v>6.3779999999999999E-19</v>
      </c>
      <c r="E15">
        <v>76</v>
      </c>
      <c r="F15" t="s">
        <v>2923</v>
      </c>
      <c r="G15" t="s">
        <v>2924</v>
      </c>
    </row>
    <row r="16" spans="1:7" x14ac:dyDescent="0.25">
      <c r="A16" s="16" t="str">
        <f>HYPERLINK("http://amigo.geneontology.org/amigo/term/GO:1901072","GO:1901072")</f>
        <v>GO:1901072</v>
      </c>
      <c r="B16" t="s">
        <v>2928</v>
      </c>
      <c r="C16" s="1">
        <v>5.7959999999999998E-19</v>
      </c>
      <c r="D16" s="1">
        <v>6.3779999999999999E-19</v>
      </c>
      <c r="E16">
        <v>76</v>
      </c>
      <c r="F16" t="s">
        <v>2923</v>
      </c>
      <c r="G16" t="s">
        <v>2924</v>
      </c>
    </row>
    <row r="17" spans="1:7" x14ac:dyDescent="0.25">
      <c r="A17" s="16" t="str">
        <f>HYPERLINK("http://amigo.geneontology.org/amigo/term/GO:0006032","GO:0006032")</f>
        <v>GO:0006032</v>
      </c>
      <c r="B17" t="s">
        <v>2929</v>
      </c>
      <c r="C17" s="1">
        <v>5.7959999999999998E-19</v>
      </c>
      <c r="D17" s="1">
        <v>6.3779999999999999E-19</v>
      </c>
      <c r="E17">
        <v>76</v>
      </c>
      <c r="F17" t="s">
        <v>2923</v>
      </c>
      <c r="G17" t="s">
        <v>2924</v>
      </c>
    </row>
    <row r="18" spans="1:7" x14ac:dyDescent="0.25">
      <c r="A18" s="16" t="str">
        <f>HYPERLINK("http://amigo.geneontology.org/amigo/term/GO:1901071","GO:1901071")</f>
        <v>GO:1901071</v>
      </c>
      <c r="B18" t="s">
        <v>2930</v>
      </c>
      <c r="C18" s="1">
        <v>1.131E-18</v>
      </c>
      <c r="D18" s="1">
        <v>1.2440000000000001E-18</v>
      </c>
      <c r="E18">
        <v>79</v>
      </c>
      <c r="F18" t="s">
        <v>2931</v>
      </c>
      <c r="G18" t="s">
        <v>2924</v>
      </c>
    </row>
    <row r="19" spans="1:7" x14ac:dyDescent="0.25">
      <c r="A19" s="16" t="str">
        <f>HYPERLINK("http://amigo.geneontology.org/amigo/term/GO:0016998","GO:0016998")</f>
        <v>GO:0016998</v>
      </c>
      <c r="B19" t="s">
        <v>2932</v>
      </c>
      <c r="C19" s="1">
        <v>1.257E-17</v>
      </c>
      <c r="D19" s="1">
        <v>1.383E-17</v>
      </c>
      <c r="E19">
        <v>91</v>
      </c>
      <c r="F19" t="s">
        <v>2933</v>
      </c>
      <c r="G19" t="s">
        <v>2924</v>
      </c>
    </row>
    <row r="20" spans="1:7" x14ac:dyDescent="0.25">
      <c r="A20" s="16" t="str">
        <f>HYPERLINK("http://amigo.geneontology.org/amigo/term/GO:0006040","GO:0006040")</f>
        <v>GO:0006040</v>
      </c>
      <c r="B20" t="s">
        <v>2934</v>
      </c>
      <c r="C20" s="1">
        <v>4.3600000000000002E-17</v>
      </c>
      <c r="D20" s="1">
        <v>4.7950000000000001E-17</v>
      </c>
      <c r="E20">
        <v>98</v>
      </c>
      <c r="F20" t="s">
        <v>2935</v>
      </c>
      <c r="G20" t="s">
        <v>2924</v>
      </c>
    </row>
    <row r="21" spans="1:7" x14ac:dyDescent="0.25">
      <c r="A21" s="16" t="str">
        <f>HYPERLINK("http://amigo.geneontology.org/amigo/term/GO:1901136","GO:1901136")</f>
        <v>GO:1901136</v>
      </c>
      <c r="B21" t="s">
        <v>2936</v>
      </c>
      <c r="C21" s="1">
        <v>2.307E-14</v>
      </c>
      <c r="D21" s="1">
        <v>2.5359999999999999E-14</v>
      </c>
      <c r="E21">
        <v>144</v>
      </c>
      <c r="F21" t="s">
        <v>2937</v>
      </c>
      <c r="G21" t="s">
        <v>2924</v>
      </c>
    </row>
    <row r="22" spans="1:7" x14ac:dyDescent="0.25">
      <c r="A22" s="16" t="str">
        <f>HYPERLINK("http://amigo.geneontology.org/amigo/term/GO:0044036","GO:0044036")</f>
        <v>GO:0044036</v>
      </c>
      <c r="B22" t="s">
        <v>51</v>
      </c>
      <c r="C22" s="1">
        <v>2.0229999999999999E-10</v>
      </c>
      <c r="D22" s="1">
        <v>2.223E-10</v>
      </c>
      <c r="E22">
        <v>301</v>
      </c>
      <c r="F22" t="s">
        <v>52</v>
      </c>
      <c r="G22" t="s">
        <v>2938</v>
      </c>
    </row>
    <row r="23" spans="1:7" x14ac:dyDescent="0.25">
      <c r="A23" s="16" t="str">
        <f>HYPERLINK("http://amigo.geneontology.org/amigo/term/GO:1901565","GO:1901565")</f>
        <v>GO:1901565</v>
      </c>
      <c r="B23" t="s">
        <v>2939</v>
      </c>
      <c r="C23" s="1">
        <v>5.6200000000000002E-10</v>
      </c>
      <c r="D23" s="1">
        <v>6.1760000000000002E-10</v>
      </c>
      <c r="E23">
        <v>1167</v>
      </c>
      <c r="F23" t="s">
        <v>2940</v>
      </c>
      <c r="G23" t="s">
        <v>2941</v>
      </c>
    </row>
    <row r="24" spans="1:7" x14ac:dyDescent="0.25">
      <c r="A24" s="16" t="str">
        <f>HYPERLINK("http://amigo.geneontology.org/amigo/term/GO:0071554","GO:0071554")</f>
        <v>GO:0071554</v>
      </c>
      <c r="B24" t="s">
        <v>202</v>
      </c>
      <c r="C24" s="1">
        <v>3.9439999999999996E-9</v>
      </c>
      <c r="D24" s="1">
        <v>4.3329999999999998E-9</v>
      </c>
      <c r="E24">
        <v>931</v>
      </c>
      <c r="F24" t="s">
        <v>203</v>
      </c>
      <c r="G24" t="s">
        <v>2942</v>
      </c>
    </row>
    <row r="25" spans="1:7" x14ac:dyDescent="0.25">
      <c r="A25" s="16" t="str">
        <f>HYPERLINK("http://amigo.geneontology.org/amigo/term/GO:0009607","GO:0009607")</f>
        <v>GO:0009607</v>
      </c>
      <c r="B25" t="s">
        <v>740</v>
      </c>
      <c r="C25" s="1">
        <v>6.1909999999999998E-9</v>
      </c>
      <c r="D25" s="1">
        <v>6.7990000000000002E-9</v>
      </c>
      <c r="E25">
        <v>427</v>
      </c>
      <c r="F25" t="s">
        <v>2943</v>
      </c>
      <c r="G25" t="s">
        <v>2944</v>
      </c>
    </row>
    <row r="26" spans="1:7" x14ac:dyDescent="0.25">
      <c r="A26" s="16" t="str">
        <f>HYPERLINK("http://amigo.geneontology.org/amigo/term/GO:1902222","GO:1902222")</f>
        <v>GO:1902222</v>
      </c>
      <c r="B26" t="s">
        <v>884</v>
      </c>
      <c r="C26" s="1">
        <v>9.8590000000000008E-9</v>
      </c>
      <c r="D26" s="1">
        <v>1.083E-8</v>
      </c>
      <c r="E26">
        <v>56</v>
      </c>
      <c r="F26" t="s">
        <v>2945</v>
      </c>
      <c r="G26" t="s">
        <v>2946</v>
      </c>
    </row>
    <row r="27" spans="1:7" x14ac:dyDescent="0.25">
      <c r="A27" s="16" t="str">
        <f>HYPERLINK("http://amigo.geneontology.org/amigo/term/GO:0006559","GO:0006559")</f>
        <v>GO:0006559</v>
      </c>
      <c r="B27" t="s">
        <v>885</v>
      </c>
      <c r="C27" s="1">
        <v>9.8590000000000008E-9</v>
      </c>
      <c r="D27" s="1">
        <v>1.083E-8</v>
      </c>
      <c r="E27">
        <v>56</v>
      </c>
      <c r="F27" t="s">
        <v>2945</v>
      </c>
      <c r="G27" t="s">
        <v>2946</v>
      </c>
    </row>
    <row r="28" spans="1:7" x14ac:dyDescent="0.25">
      <c r="A28" s="16" t="str">
        <f>HYPERLINK("http://amigo.geneontology.org/amigo/term/GO:0046395","GO:0046395")</f>
        <v>GO:0046395</v>
      </c>
      <c r="B28" t="s">
        <v>210</v>
      </c>
      <c r="C28" s="1">
        <v>5.6589999999999999E-8</v>
      </c>
      <c r="D28" s="1">
        <v>6.2120000000000003E-8</v>
      </c>
      <c r="E28">
        <v>203</v>
      </c>
      <c r="F28" t="s">
        <v>2947</v>
      </c>
      <c r="G28" t="s">
        <v>2948</v>
      </c>
    </row>
    <row r="29" spans="1:7" x14ac:dyDescent="0.25">
      <c r="A29" s="16" t="str">
        <f>HYPERLINK("http://amigo.geneontology.org/amigo/term/GO:0016054","GO:0016054")</f>
        <v>GO:0016054</v>
      </c>
      <c r="B29" t="s">
        <v>241</v>
      </c>
      <c r="C29" s="1">
        <v>1.171E-7</v>
      </c>
      <c r="D29" s="1">
        <v>1.286E-7</v>
      </c>
      <c r="E29">
        <v>217</v>
      </c>
      <c r="F29" t="s">
        <v>2949</v>
      </c>
      <c r="G29" t="s">
        <v>2948</v>
      </c>
    </row>
    <row r="30" spans="1:7" x14ac:dyDescent="0.25">
      <c r="A30" s="16" t="str">
        <f>HYPERLINK("http://amigo.geneontology.org/amigo/term/GO:0009074","GO:0009074")</f>
        <v>GO:0009074</v>
      </c>
      <c r="B30" t="s">
        <v>959</v>
      </c>
      <c r="C30" s="1">
        <v>1.719E-7</v>
      </c>
      <c r="D30" s="1">
        <v>1.8860000000000001E-7</v>
      </c>
      <c r="E30">
        <v>80</v>
      </c>
      <c r="F30" t="s">
        <v>2950</v>
      </c>
      <c r="G30" t="s">
        <v>2946</v>
      </c>
    </row>
    <row r="31" spans="1:7" x14ac:dyDescent="0.25">
      <c r="A31" s="16" t="str">
        <f>HYPERLINK("http://amigo.geneontology.org/amigo/term/GO:1902221","GO:1902221")</f>
        <v>GO:1902221</v>
      </c>
      <c r="B31" t="s">
        <v>968</v>
      </c>
      <c r="C31" s="1">
        <v>2.0849999999999999E-7</v>
      </c>
      <c r="D31" s="1">
        <v>2.2880000000000001E-7</v>
      </c>
      <c r="E31">
        <v>82</v>
      </c>
      <c r="F31" t="s">
        <v>2951</v>
      </c>
      <c r="G31" t="s">
        <v>2946</v>
      </c>
    </row>
    <row r="32" spans="1:7" x14ac:dyDescent="0.25">
      <c r="A32" s="16" t="str">
        <f>HYPERLINK("http://amigo.geneontology.org/amigo/term/GO:0006558","GO:0006558")</f>
        <v>GO:0006558</v>
      </c>
      <c r="B32" t="s">
        <v>969</v>
      </c>
      <c r="C32" s="1">
        <v>2.0849999999999999E-7</v>
      </c>
      <c r="D32" s="1">
        <v>2.2880000000000001E-7</v>
      </c>
      <c r="E32">
        <v>82</v>
      </c>
      <c r="F32" t="s">
        <v>2951</v>
      </c>
      <c r="G32" t="s">
        <v>2946</v>
      </c>
    </row>
    <row r="33" spans="1:7" x14ac:dyDescent="0.25">
      <c r="A33" s="16" t="str">
        <f>HYPERLINK("http://amigo.geneontology.org/amigo/term/GO:0009063","GO:0009063")</f>
        <v>GO:0009063</v>
      </c>
      <c r="B33" t="s">
        <v>246</v>
      </c>
      <c r="C33" s="1">
        <v>2.3790000000000001E-7</v>
      </c>
      <c r="D33" s="1">
        <v>2.6090000000000001E-7</v>
      </c>
      <c r="E33">
        <v>150</v>
      </c>
      <c r="F33" t="s">
        <v>2952</v>
      </c>
      <c r="G33" t="s">
        <v>2953</v>
      </c>
    </row>
    <row r="34" spans="1:7" x14ac:dyDescent="0.25">
      <c r="A34" s="16" t="str">
        <f>HYPERLINK("http://amigo.geneontology.org/amigo/term/GO:0050832","GO:0050832")</f>
        <v>GO:0050832</v>
      </c>
      <c r="B34" t="s">
        <v>828</v>
      </c>
      <c r="C34" s="1">
        <v>2.4470000000000001E-7</v>
      </c>
      <c r="D34" s="1">
        <v>2.6839999999999999E-7</v>
      </c>
      <c r="E34">
        <v>115</v>
      </c>
      <c r="F34" t="s">
        <v>2034</v>
      </c>
      <c r="G34" t="s">
        <v>2954</v>
      </c>
    </row>
    <row r="35" spans="1:7" x14ac:dyDescent="0.25">
      <c r="A35" s="16" t="str">
        <f>HYPERLINK("http://amigo.geneontology.org/amigo/term/GO:0009620","GO:0009620")</f>
        <v>GO:0009620</v>
      </c>
      <c r="B35" t="s">
        <v>764</v>
      </c>
      <c r="C35" s="1">
        <v>5.6960000000000002E-7</v>
      </c>
      <c r="D35" s="1">
        <v>6.2450000000000001E-7</v>
      </c>
      <c r="E35">
        <v>127</v>
      </c>
      <c r="F35" t="s">
        <v>2955</v>
      </c>
      <c r="G35" t="s">
        <v>2954</v>
      </c>
    </row>
    <row r="36" spans="1:7" x14ac:dyDescent="0.25">
      <c r="A36" s="16" t="str">
        <f>HYPERLINK("http://amigo.geneontology.org/amigo/term/GO:0055085","GO:0055085")</f>
        <v>GO:0055085</v>
      </c>
      <c r="B36" t="s">
        <v>861</v>
      </c>
      <c r="C36" s="1">
        <v>6.0200000000000002E-7</v>
      </c>
      <c r="D36" s="1">
        <v>6.5990000000000003E-7</v>
      </c>
      <c r="E36">
        <v>3222</v>
      </c>
      <c r="F36" t="s">
        <v>2956</v>
      </c>
      <c r="G36" t="s">
        <v>2957</v>
      </c>
    </row>
    <row r="37" spans="1:7" x14ac:dyDescent="0.25">
      <c r="A37" s="16" t="str">
        <f>HYPERLINK("http://amigo.geneontology.org/amigo/term/GO:0120255","GO:0120255")</f>
        <v>GO:0120255</v>
      </c>
      <c r="B37" t="s">
        <v>921</v>
      </c>
      <c r="C37" s="1">
        <v>8.343E-7</v>
      </c>
      <c r="D37" s="1">
        <v>9.1429999999999997E-7</v>
      </c>
      <c r="E37">
        <v>43</v>
      </c>
      <c r="F37" t="s">
        <v>2051</v>
      </c>
      <c r="G37" t="s">
        <v>2958</v>
      </c>
    </row>
    <row r="38" spans="1:7" x14ac:dyDescent="0.25">
      <c r="A38" s="16" t="str">
        <f>HYPERLINK("http://amigo.geneontology.org/amigo/term/GO:0006952","GO:0006952")</f>
        <v>GO:0006952</v>
      </c>
      <c r="B38" t="s">
        <v>619</v>
      </c>
      <c r="C38" s="1">
        <v>9.6160000000000003E-7</v>
      </c>
      <c r="D38" s="1">
        <v>1.0529999999999999E-6</v>
      </c>
      <c r="E38">
        <v>729</v>
      </c>
      <c r="F38" t="s">
        <v>2959</v>
      </c>
      <c r="G38" t="s">
        <v>2960</v>
      </c>
    </row>
    <row r="39" spans="1:7" x14ac:dyDescent="0.25">
      <c r="A39" s="16" t="str">
        <f>HYPERLINK("http://amigo.geneontology.org/amigo/term/GO:0120254","GO:0120254")</f>
        <v>GO:0120254</v>
      </c>
      <c r="B39" t="s">
        <v>768</v>
      </c>
      <c r="C39" s="1">
        <v>1.2580000000000001E-6</v>
      </c>
      <c r="D39" s="1">
        <v>1.378E-6</v>
      </c>
      <c r="E39">
        <v>46</v>
      </c>
      <c r="F39" t="s">
        <v>2961</v>
      </c>
      <c r="G39" t="s">
        <v>2958</v>
      </c>
    </row>
    <row r="40" spans="1:7" x14ac:dyDescent="0.25">
      <c r="A40" s="16" t="str">
        <f>HYPERLINK("http://amigo.geneontology.org/amigo/term/GO:1901606","GO:1901606")</f>
        <v>GO:1901606</v>
      </c>
      <c r="B40" t="s">
        <v>374</v>
      </c>
      <c r="C40" s="1">
        <v>1.9379999999999999E-6</v>
      </c>
      <c r="D40" s="1">
        <v>2.1220000000000002E-6</v>
      </c>
      <c r="E40">
        <v>147</v>
      </c>
      <c r="F40" t="s">
        <v>2962</v>
      </c>
      <c r="G40" t="s">
        <v>2963</v>
      </c>
    </row>
    <row r="41" spans="1:7" x14ac:dyDescent="0.25">
      <c r="A41" s="16" t="str">
        <f>HYPERLINK("http://amigo.geneontology.org/amigo/term/GO:0044282","GO:0044282")</f>
        <v>GO:0044282</v>
      </c>
      <c r="B41" t="s">
        <v>257</v>
      </c>
      <c r="C41" s="1">
        <v>3.8070000000000001E-6</v>
      </c>
      <c r="D41" s="1">
        <v>4.1679999999999997E-6</v>
      </c>
      <c r="E41">
        <v>302</v>
      </c>
      <c r="F41" t="s">
        <v>258</v>
      </c>
      <c r="G41" t="s">
        <v>2948</v>
      </c>
    </row>
    <row r="42" spans="1:7" x14ac:dyDescent="0.25">
      <c r="A42" s="16" t="str">
        <f>HYPERLINK("http://amigo.geneontology.org/amigo/term/GO:0098542","GO:0098542")</f>
        <v>GO:0098542</v>
      </c>
      <c r="B42" t="s">
        <v>758</v>
      </c>
      <c r="C42" s="1">
        <v>4.8060000000000002E-6</v>
      </c>
      <c r="D42" s="1">
        <v>5.2610000000000001E-6</v>
      </c>
      <c r="E42">
        <v>309</v>
      </c>
      <c r="F42" t="s">
        <v>2964</v>
      </c>
      <c r="G42" t="s">
        <v>2965</v>
      </c>
    </row>
    <row r="43" spans="1:7" x14ac:dyDescent="0.25">
      <c r="A43" s="16" t="str">
        <f>HYPERLINK("http://amigo.geneontology.org/amigo/term/GO:0044265","GO:0044265")</f>
        <v>GO:0044265</v>
      </c>
      <c r="B43" t="s">
        <v>2966</v>
      </c>
      <c r="C43" s="1">
        <v>5.1959999999999999E-6</v>
      </c>
      <c r="D43" s="1">
        <v>5.6860000000000003E-6</v>
      </c>
      <c r="E43">
        <v>1035</v>
      </c>
      <c r="F43" t="s">
        <v>2967</v>
      </c>
      <c r="G43" t="s">
        <v>2968</v>
      </c>
    </row>
    <row r="44" spans="1:7" x14ac:dyDescent="0.25">
      <c r="A44" s="16" t="str">
        <f>HYPERLINK("http://amigo.geneontology.org/amigo/term/GO:0009803","GO:0009803")</f>
        <v>GO:0009803</v>
      </c>
      <c r="B44" t="s">
        <v>877</v>
      </c>
      <c r="C44" s="1">
        <v>6.2809999999999997E-6</v>
      </c>
      <c r="D44" s="1">
        <v>6.8709999999999999E-6</v>
      </c>
      <c r="E44">
        <v>35</v>
      </c>
      <c r="F44" t="s">
        <v>2033</v>
      </c>
      <c r="G44" t="s">
        <v>2969</v>
      </c>
    </row>
    <row r="45" spans="1:7" x14ac:dyDescent="0.25">
      <c r="A45" s="16" t="str">
        <f>HYPERLINK("http://amigo.geneontology.org/amigo/term/GO:0009800","GO:0009800")</f>
        <v>GO:0009800</v>
      </c>
      <c r="B45" t="s">
        <v>878</v>
      </c>
      <c r="C45" s="1">
        <v>6.2809999999999997E-6</v>
      </c>
      <c r="D45" s="1">
        <v>6.8709999999999999E-6</v>
      </c>
      <c r="E45">
        <v>35</v>
      </c>
      <c r="F45" t="s">
        <v>2033</v>
      </c>
      <c r="G45" t="s">
        <v>2969</v>
      </c>
    </row>
    <row r="46" spans="1:7" x14ac:dyDescent="0.25">
      <c r="A46" s="16" t="str">
        <f>HYPERLINK("http://amigo.geneontology.org/amigo/term/GO:1901575","GO:1901575")</f>
        <v>GO:1901575</v>
      </c>
      <c r="B46" t="s">
        <v>1388</v>
      </c>
      <c r="C46" s="1">
        <v>7.7519999999999996E-6</v>
      </c>
      <c r="D46" s="1">
        <v>8.4789999999999996E-6</v>
      </c>
      <c r="E46">
        <v>2138</v>
      </c>
      <c r="F46" t="s">
        <v>2970</v>
      </c>
      <c r="G46" t="s">
        <v>2971</v>
      </c>
    </row>
    <row r="47" spans="1:7" x14ac:dyDescent="0.25">
      <c r="A47" s="16" t="str">
        <f>HYPERLINK("http://amigo.geneontology.org/amigo/term/GO:0009699","GO:0009699")</f>
        <v>GO:0009699</v>
      </c>
      <c r="B47" t="s">
        <v>490</v>
      </c>
      <c r="C47" s="1">
        <v>1.075E-5</v>
      </c>
      <c r="D47" s="1">
        <v>1.1749999999999999E-5</v>
      </c>
      <c r="E47">
        <v>66</v>
      </c>
      <c r="F47" t="s">
        <v>2972</v>
      </c>
      <c r="G47" t="s">
        <v>2973</v>
      </c>
    </row>
    <row r="48" spans="1:7" x14ac:dyDescent="0.25">
      <c r="A48" s="16" t="str">
        <f>HYPERLINK("http://amigo.geneontology.org/amigo/term/GO:0010035","GO:0010035")</f>
        <v>GO:0010035</v>
      </c>
      <c r="B48" t="s">
        <v>72</v>
      </c>
      <c r="C48" s="1">
        <v>1.1759999999999999E-5</v>
      </c>
      <c r="D48" s="1">
        <v>1.2850000000000001E-5</v>
      </c>
      <c r="E48">
        <v>519</v>
      </c>
      <c r="F48" t="s">
        <v>2397</v>
      </c>
      <c r="G48" t="s">
        <v>2974</v>
      </c>
    </row>
    <row r="49" spans="1:7" x14ac:dyDescent="0.25">
      <c r="A49" s="16" t="str">
        <f>HYPERLINK("http://amigo.geneontology.org/amigo/term/GO:0043207","GO:0043207")</f>
        <v>GO:0043207</v>
      </c>
      <c r="B49" t="s">
        <v>730</v>
      </c>
      <c r="C49" s="1">
        <v>1.5780000000000001E-5</v>
      </c>
      <c r="D49" s="1">
        <v>1.7240000000000001E-5</v>
      </c>
      <c r="E49">
        <v>348</v>
      </c>
      <c r="F49" t="s">
        <v>2975</v>
      </c>
      <c r="G49" t="s">
        <v>2965</v>
      </c>
    </row>
    <row r="50" spans="1:7" x14ac:dyDescent="0.25">
      <c r="A50" s="16" t="str">
        <f>HYPERLINK("http://amigo.geneontology.org/amigo/term/GO:0051707","GO:0051707")</f>
        <v>GO:0051707</v>
      </c>
      <c r="B50" t="s">
        <v>731</v>
      </c>
      <c r="C50" s="1">
        <v>1.5780000000000001E-5</v>
      </c>
      <c r="D50" s="1">
        <v>1.7240000000000001E-5</v>
      </c>
      <c r="E50">
        <v>348</v>
      </c>
      <c r="F50" t="s">
        <v>2975</v>
      </c>
      <c r="G50" t="s">
        <v>2965</v>
      </c>
    </row>
    <row r="51" spans="1:7" x14ac:dyDescent="0.25">
      <c r="A51" s="16" t="str">
        <f>HYPERLINK("http://amigo.geneontology.org/amigo/term/GO:0046686","GO:0046686")</f>
        <v>GO:0046686</v>
      </c>
      <c r="B51" t="s">
        <v>1489</v>
      </c>
      <c r="C51" s="1">
        <v>5.2299999999999997E-5</v>
      </c>
      <c r="D51" s="1">
        <v>5.715E-5</v>
      </c>
      <c r="E51">
        <v>87</v>
      </c>
      <c r="F51" t="s">
        <v>2976</v>
      </c>
      <c r="G51" t="s">
        <v>2977</v>
      </c>
    </row>
    <row r="52" spans="1:7" x14ac:dyDescent="0.25">
      <c r="A52" s="16" t="str">
        <f>HYPERLINK("http://amigo.geneontology.org/amigo/term/GO:0006575","GO:0006575")</f>
        <v>GO:0006575</v>
      </c>
      <c r="B52" t="s">
        <v>23</v>
      </c>
      <c r="C52" s="1">
        <v>6.0680000000000002E-5</v>
      </c>
      <c r="D52" s="1">
        <v>6.6290000000000004E-5</v>
      </c>
      <c r="E52">
        <v>464</v>
      </c>
      <c r="F52" t="s">
        <v>2978</v>
      </c>
      <c r="G52" t="s">
        <v>2979</v>
      </c>
    </row>
    <row r="53" spans="1:7" x14ac:dyDescent="0.25">
      <c r="A53" s="16" t="str">
        <f>HYPERLINK("http://amigo.geneontology.org/amigo/term/GO:0006810","GO:0006810")</f>
        <v>GO:0006810</v>
      </c>
      <c r="B53" t="s">
        <v>794</v>
      </c>
      <c r="C53" s="1">
        <v>6.6719999999999998E-5</v>
      </c>
      <c r="D53" s="1">
        <v>7.2879999999999993E-5</v>
      </c>
      <c r="E53">
        <v>5601</v>
      </c>
      <c r="F53" t="s">
        <v>2980</v>
      </c>
      <c r="G53" t="s">
        <v>2981</v>
      </c>
    </row>
    <row r="54" spans="1:7" x14ac:dyDescent="0.25">
      <c r="A54" s="16" t="str">
        <f>HYPERLINK("http://amigo.geneontology.org/amigo/term/GO:0044248","GO:0044248")</f>
        <v>GO:0044248</v>
      </c>
      <c r="B54" t="s">
        <v>2982</v>
      </c>
      <c r="C54" s="1">
        <v>7.428E-5</v>
      </c>
      <c r="D54" s="1">
        <v>8.1119999999999996E-5</v>
      </c>
      <c r="E54">
        <v>2292</v>
      </c>
      <c r="F54" t="s">
        <v>2983</v>
      </c>
      <c r="G54" t="s">
        <v>2984</v>
      </c>
    </row>
    <row r="55" spans="1:7" x14ac:dyDescent="0.25">
      <c r="A55" s="16" t="str">
        <f>HYPERLINK("http://amigo.geneontology.org/amigo/term/GO:0051234","GO:0051234")</f>
        <v>GO:0051234</v>
      </c>
      <c r="B55" t="s">
        <v>803</v>
      </c>
      <c r="C55" s="1">
        <v>7.9800000000000002E-5</v>
      </c>
      <c r="D55" s="1">
        <v>8.7130000000000001E-5</v>
      </c>
      <c r="E55">
        <v>5635</v>
      </c>
      <c r="F55" t="s">
        <v>2980</v>
      </c>
      <c r="G55" t="s">
        <v>2981</v>
      </c>
    </row>
    <row r="56" spans="1:7" x14ac:dyDescent="0.25">
      <c r="A56" s="16" t="str">
        <f>HYPERLINK("http://amigo.geneontology.org/amigo/term/GO:0044550","GO:0044550")</f>
        <v>GO:0044550</v>
      </c>
      <c r="B56" t="s">
        <v>709</v>
      </c>
      <c r="C56" s="1">
        <v>8.0690000000000002E-5</v>
      </c>
      <c r="D56" s="1">
        <v>8.8070000000000002E-5</v>
      </c>
      <c r="E56">
        <v>94</v>
      </c>
      <c r="F56" t="s">
        <v>2985</v>
      </c>
      <c r="G56" t="s">
        <v>2973</v>
      </c>
    </row>
    <row r="57" spans="1:7" x14ac:dyDescent="0.25">
      <c r="A57" s="16" t="str">
        <f>HYPERLINK("http://amigo.geneontology.org/amigo/term/GO:0009057","GO:0009057")</f>
        <v>GO:0009057</v>
      </c>
      <c r="B57" t="s">
        <v>2986</v>
      </c>
      <c r="C57" s="1">
        <v>1.2210000000000001E-4</v>
      </c>
      <c r="D57" s="1">
        <v>1.3329999999999999E-4</v>
      </c>
      <c r="E57">
        <v>1272</v>
      </c>
      <c r="F57" t="s">
        <v>2987</v>
      </c>
      <c r="G57" t="s">
        <v>2968</v>
      </c>
    </row>
    <row r="58" spans="1:7" x14ac:dyDescent="0.25">
      <c r="A58" s="16" t="str">
        <f>HYPERLINK("http://amigo.geneontology.org/amigo/term/GO:0033609","GO:0033609")</f>
        <v>GO:0033609</v>
      </c>
      <c r="B58" t="s">
        <v>2988</v>
      </c>
      <c r="C58" s="1">
        <v>1.6760000000000001E-4</v>
      </c>
      <c r="D58" s="1">
        <v>1.828E-4</v>
      </c>
      <c r="E58">
        <v>3</v>
      </c>
      <c r="F58" t="s">
        <v>1840</v>
      </c>
      <c r="G58" t="s">
        <v>2989</v>
      </c>
    </row>
    <row r="59" spans="1:7" x14ac:dyDescent="0.25">
      <c r="A59" s="16" t="str">
        <f>HYPERLINK("http://amigo.geneontology.org/amigo/term/GO:0033611","GO:0033611")</f>
        <v>GO:0033611</v>
      </c>
      <c r="B59" t="s">
        <v>2990</v>
      </c>
      <c r="C59" s="1">
        <v>1.6760000000000001E-4</v>
      </c>
      <c r="D59" s="1">
        <v>1.828E-4</v>
      </c>
      <c r="E59">
        <v>3</v>
      </c>
      <c r="F59" t="s">
        <v>1840</v>
      </c>
      <c r="G59" t="s">
        <v>2989</v>
      </c>
    </row>
    <row r="60" spans="1:7" x14ac:dyDescent="0.25">
      <c r="A60" s="16" t="str">
        <f>HYPERLINK("http://amigo.geneontology.org/amigo/term/GO:0009698","GO:0009698")</f>
        <v>GO:0009698</v>
      </c>
      <c r="B60" t="s">
        <v>2991</v>
      </c>
      <c r="C60" s="1">
        <v>1.9880000000000001E-4</v>
      </c>
      <c r="D60" s="1">
        <v>2.1689999999999999E-4</v>
      </c>
      <c r="E60">
        <v>157</v>
      </c>
      <c r="F60" t="s">
        <v>2992</v>
      </c>
      <c r="G60" t="s">
        <v>2993</v>
      </c>
    </row>
    <row r="61" spans="1:7" x14ac:dyDescent="0.25">
      <c r="A61" s="16" t="str">
        <f>HYPERLINK("http://amigo.geneontology.org/amigo/term/GO:0042537","GO:0042537")</f>
        <v>GO:0042537</v>
      </c>
      <c r="B61" t="s">
        <v>996</v>
      </c>
      <c r="C61" s="1">
        <v>2.018E-4</v>
      </c>
      <c r="D61" s="1">
        <v>2.2000000000000001E-4</v>
      </c>
      <c r="E61">
        <v>71</v>
      </c>
      <c r="F61" t="s">
        <v>1913</v>
      </c>
      <c r="G61" t="s">
        <v>2969</v>
      </c>
    </row>
    <row r="62" spans="1:7" x14ac:dyDescent="0.25">
      <c r="A62" s="16" t="str">
        <f>HYPERLINK("http://amigo.geneontology.org/amigo/term/GO:0009072","GO:0009072")</f>
        <v>GO:0009072</v>
      </c>
      <c r="B62" t="s">
        <v>429</v>
      </c>
      <c r="C62" s="1">
        <v>2.364E-4</v>
      </c>
      <c r="D62" s="1">
        <v>2.5779999999999998E-4</v>
      </c>
      <c r="E62">
        <v>214</v>
      </c>
      <c r="F62" t="s">
        <v>430</v>
      </c>
      <c r="G62" t="s">
        <v>2946</v>
      </c>
    </row>
    <row r="63" spans="1:7" x14ac:dyDescent="0.25">
      <c r="A63" s="16" t="str">
        <f>HYPERLINK("http://amigo.geneontology.org/amigo/term/GO:0006749","GO:0006749")</f>
        <v>GO:0006749</v>
      </c>
      <c r="B63" t="s">
        <v>48</v>
      </c>
      <c r="C63" s="1">
        <v>2.52E-4</v>
      </c>
      <c r="D63" s="1">
        <v>2.7470000000000001E-4</v>
      </c>
      <c r="E63">
        <v>399</v>
      </c>
      <c r="F63" t="s">
        <v>2994</v>
      </c>
      <c r="G63" t="s">
        <v>2995</v>
      </c>
    </row>
    <row r="64" spans="1:7" x14ac:dyDescent="0.25">
      <c r="A64" s="16" t="str">
        <f>HYPERLINK("http://amigo.geneontology.org/amigo/term/GO:0000272","GO:0000272")</f>
        <v>GO:0000272</v>
      </c>
      <c r="B64" t="s">
        <v>1318</v>
      </c>
      <c r="C64" s="1">
        <v>2.7619999999999999E-4</v>
      </c>
      <c r="D64" s="1">
        <v>3.01E-4</v>
      </c>
      <c r="E64">
        <v>219</v>
      </c>
      <c r="F64" t="s">
        <v>2996</v>
      </c>
      <c r="G64" t="s">
        <v>2997</v>
      </c>
    </row>
    <row r="65" spans="1:7" x14ac:dyDescent="0.25">
      <c r="A65" s="16" t="str">
        <f>HYPERLINK("http://amigo.geneontology.org/amigo/term/GO:0006790","GO:0006790")</f>
        <v>GO:0006790</v>
      </c>
      <c r="B65" t="s">
        <v>103</v>
      </c>
      <c r="C65" s="1">
        <v>2.9050000000000001E-4</v>
      </c>
      <c r="D65" s="1">
        <v>3.166E-4</v>
      </c>
      <c r="E65">
        <v>770</v>
      </c>
      <c r="F65" t="s">
        <v>2998</v>
      </c>
      <c r="G65" t="s">
        <v>2999</v>
      </c>
    </row>
    <row r="66" spans="1:7" x14ac:dyDescent="0.25">
      <c r="A66" s="16" t="str">
        <f>HYPERLINK("http://amigo.geneontology.org/amigo/term/GO:0001906","GO:0001906")</f>
        <v>GO:0001906</v>
      </c>
      <c r="B66" t="s">
        <v>3000</v>
      </c>
      <c r="C66" s="1">
        <v>3.3349999999999997E-4</v>
      </c>
      <c r="D66" s="1">
        <v>3.6319999999999999E-4</v>
      </c>
      <c r="E66">
        <v>4</v>
      </c>
      <c r="F66" t="s">
        <v>1839</v>
      </c>
      <c r="G66" t="s">
        <v>3001</v>
      </c>
    </row>
    <row r="67" spans="1:7" x14ac:dyDescent="0.25">
      <c r="A67" s="16" t="str">
        <f>HYPERLINK("http://amigo.geneontology.org/amigo/term/GO:0031640","GO:0031640")</f>
        <v>GO:0031640</v>
      </c>
      <c r="B67" t="s">
        <v>3002</v>
      </c>
      <c r="C67" s="1">
        <v>3.3349999999999997E-4</v>
      </c>
      <c r="D67" s="1">
        <v>3.6319999999999999E-4</v>
      </c>
      <c r="E67">
        <v>4</v>
      </c>
      <c r="F67" t="s">
        <v>1839</v>
      </c>
      <c r="G67" t="s">
        <v>3001</v>
      </c>
    </row>
    <row r="68" spans="1:7" x14ac:dyDescent="0.25">
      <c r="A68" s="16" t="str">
        <f>HYPERLINK("http://amigo.geneontology.org/amigo/term/GO:0016053","GO:0016053")</f>
        <v>GO:0016053</v>
      </c>
      <c r="B68" t="s">
        <v>188</v>
      </c>
      <c r="C68" s="1">
        <v>3.9389999999999998E-4</v>
      </c>
      <c r="D68" s="1">
        <v>4.2890000000000002E-4</v>
      </c>
      <c r="E68">
        <v>872</v>
      </c>
      <c r="F68" t="s">
        <v>3003</v>
      </c>
      <c r="G68" t="s">
        <v>3004</v>
      </c>
    </row>
    <row r="69" spans="1:7" x14ac:dyDescent="0.25">
      <c r="A69" s="16" t="str">
        <f>HYPERLINK("http://amigo.geneontology.org/amigo/term/GO:0010038","GO:0010038")</f>
        <v>GO:0010038</v>
      </c>
      <c r="B69" t="s">
        <v>1485</v>
      </c>
      <c r="C69" s="1">
        <v>4.3389999999999998E-4</v>
      </c>
      <c r="D69" s="1">
        <v>4.7249999999999999E-4</v>
      </c>
      <c r="E69">
        <v>128</v>
      </c>
      <c r="F69" t="s">
        <v>3005</v>
      </c>
      <c r="G69" t="s">
        <v>2977</v>
      </c>
    </row>
    <row r="70" spans="1:7" x14ac:dyDescent="0.25">
      <c r="A70" s="16" t="str">
        <f>HYPERLINK("http://amigo.geneontology.org/amigo/term/GO:1901605","GO:1901605")</f>
        <v>GO:1901605</v>
      </c>
      <c r="B70" t="s">
        <v>81</v>
      </c>
      <c r="C70" s="1">
        <v>4.8359999999999999E-4</v>
      </c>
      <c r="D70" s="1">
        <v>5.264E-4</v>
      </c>
      <c r="E70">
        <v>575</v>
      </c>
      <c r="F70" t="s">
        <v>2353</v>
      </c>
      <c r="G70" t="s">
        <v>3006</v>
      </c>
    </row>
    <row r="71" spans="1:7" x14ac:dyDescent="0.25">
      <c r="A71" s="16" t="str">
        <f>HYPERLINK("http://amigo.geneontology.org/amigo/term/GO:0072488","GO:0072488")</f>
        <v>GO:0072488</v>
      </c>
      <c r="B71" t="s">
        <v>3007</v>
      </c>
      <c r="C71" s="1">
        <v>5.0449999999999996E-4</v>
      </c>
      <c r="D71" s="1">
        <v>5.4900000000000001E-4</v>
      </c>
      <c r="E71">
        <v>21</v>
      </c>
      <c r="F71" t="s">
        <v>333</v>
      </c>
      <c r="G71" t="s">
        <v>3008</v>
      </c>
    </row>
    <row r="72" spans="1:7" x14ac:dyDescent="0.25">
      <c r="A72" s="16" t="str">
        <f>HYPERLINK("http://amigo.geneontology.org/amigo/term/GO:0009605","GO:0009605")</f>
        <v>GO:0009605</v>
      </c>
      <c r="B72" t="s">
        <v>751</v>
      </c>
      <c r="C72" s="1">
        <v>5.2400000000000005E-4</v>
      </c>
      <c r="D72" s="1">
        <v>5.7010000000000003E-4</v>
      </c>
      <c r="E72">
        <v>580</v>
      </c>
      <c r="F72" t="s">
        <v>3009</v>
      </c>
      <c r="G72" t="s">
        <v>3010</v>
      </c>
    </row>
    <row r="73" spans="1:7" x14ac:dyDescent="0.25">
      <c r="A73" s="16" t="str">
        <f>HYPERLINK("http://amigo.geneontology.org/amigo/term/GO:0006520","GO:0006520")</f>
        <v>GO:0006520</v>
      </c>
      <c r="B73" t="s">
        <v>114</v>
      </c>
      <c r="C73" s="1">
        <v>5.5509999999999999E-4</v>
      </c>
      <c r="D73" s="1">
        <v>6.0389999999999999E-4</v>
      </c>
      <c r="E73">
        <v>1067</v>
      </c>
      <c r="F73" t="s">
        <v>3011</v>
      </c>
      <c r="G73" t="s">
        <v>3012</v>
      </c>
    </row>
    <row r="74" spans="1:7" x14ac:dyDescent="0.25">
      <c r="A74" s="16" t="str">
        <f>HYPERLINK("http://amigo.geneontology.org/amigo/term/GO:0019748","GO:0019748")</f>
        <v>GO:0019748</v>
      </c>
      <c r="B74" t="s">
        <v>995</v>
      </c>
      <c r="C74" s="1">
        <v>7.3039999999999997E-4</v>
      </c>
      <c r="D74" s="1">
        <v>7.9429999999999995E-4</v>
      </c>
      <c r="E74">
        <v>195</v>
      </c>
      <c r="F74" t="s">
        <v>3013</v>
      </c>
      <c r="G74" t="s">
        <v>2993</v>
      </c>
    </row>
    <row r="75" spans="1:7" x14ac:dyDescent="0.25">
      <c r="A75" s="16" t="str">
        <f>HYPERLINK("http://amigo.geneontology.org/amigo/term/GO:0051261","GO:0051261")</f>
        <v>GO:0051261</v>
      </c>
      <c r="B75" t="s">
        <v>3014</v>
      </c>
      <c r="C75" s="1">
        <v>9.5909999999999995E-4</v>
      </c>
      <c r="D75" s="1">
        <v>1.0430000000000001E-3</v>
      </c>
      <c r="E75">
        <v>26</v>
      </c>
      <c r="F75" t="s">
        <v>1893</v>
      </c>
      <c r="G75" t="s">
        <v>3015</v>
      </c>
    </row>
    <row r="76" spans="1:7" x14ac:dyDescent="0.25">
      <c r="A76" s="16" t="str">
        <f>HYPERLINK("http://amigo.geneontology.org/amigo/term/GO:0030042","GO:0030042")</f>
        <v>GO:0030042</v>
      </c>
      <c r="B76" t="s">
        <v>3016</v>
      </c>
      <c r="C76" s="1">
        <v>9.5909999999999995E-4</v>
      </c>
      <c r="D76" s="1">
        <v>1.0430000000000001E-3</v>
      </c>
      <c r="E76">
        <v>26</v>
      </c>
      <c r="F76" t="s">
        <v>1893</v>
      </c>
      <c r="G76" t="s">
        <v>3015</v>
      </c>
    </row>
    <row r="77" spans="1:7" x14ac:dyDescent="0.25">
      <c r="A77" s="16" t="str">
        <f>HYPERLINK("http://amigo.geneontology.org/amigo/term/GO:0090501","GO:0090501")</f>
        <v>GO:0090501</v>
      </c>
      <c r="B77" t="s">
        <v>3017</v>
      </c>
      <c r="C77" s="1">
        <v>1.237E-3</v>
      </c>
      <c r="D77" s="1">
        <v>1.3450000000000001E-3</v>
      </c>
      <c r="E77">
        <v>62</v>
      </c>
      <c r="F77" t="s">
        <v>3018</v>
      </c>
      <c r="G77" t="s">
        <v>3019</v>
      </c>
    </row>
    <row r="78" spans="1:7" x14ac:dyDescent="0.25">
      <c r="A78" s="16" t="str">
        <f>HYPERLINK("http://amigo.geneontology.org/amigo/term/GO:0009631","GO:0009631")</f>
        <v>GO:0009631</v>
      </c>
      <c r="B78" t="s">
        <v>1621</v>
      </c>
      <c r="C78" s="1">
        <v>1.3259999999999999E-3</v>
      </c>
      <c r="D78" s="1">
        <v>1.441E-3</v>
      </c>
      <c r="E78">
        <v>29</v>
      </c>
      <c r="F78" t="s">
        <v>2658</v>
      </c>
      <c r="G78" t="s">
        <v>3020</v>
      </c>
    </row>
    <row r="79" spans="1:7" x14ac:dyDescent="0.25">
      <c r="A79" s="16" t="str">
        <f>HYPERLINK("http://amigo.geneontology.org/amigo/term/GO:0010030","GO:0010030")</f>
        <v>GO:0010030</v>
      </c>
      <c r="B79" t="s">
        <v>3021</v>
      </c>
      <c r="C79" s="1">
        <v>1.5250000000000001E-3</v>
      </c>
      <c r="D79" s="1">
        <v>1.6570000000000001E-3</v>
      </c>
      <c r="E79">
        <v>8</v>
      </c>
      <c r="F79" t="s">
        <v>370</v>
      </c>
      <c r="G79" t="s">
        <v>2989</v>
      </c>
    </row>
    <row r="80" spans="1:7" x14ac:dyDescent="0.25">
      <c r="A80" s="16" t="str">
        <f>HYPERLINK("http://amigo.geneontology.org/amigo/term/GO:0043624","GO:0043624")</f>
        <v>GO:0043624</v>
      </c>
      <c r="B80" t="s">
        <v>3022</v>
      </c>
      <c r="C80" s="1">
        <v>1.7440000000000001E-3</v>
      </c>
      <c r="D80" s="1">
        <v>1.8940000000000001E-3</v>
      </c>
      <c r="E80">
        <v>68</v>
      </c>
      <c r="F80" t="s">
        <v>3023</v>
      </c>
      <c r="G80" t="s">
        <v>3024</v>
      </c>
    </row>
    <row r="81" spans="1:7" x14ac:dyDescent="0.25">
      <c r="A81" s="16" t="str">
        <f>HYPERLINK("http://amigo.geneontology.org/amigo/term/GO:0009056","GO:0009056")</f>
        <v>GO:0009056</v>
      </c>
      <c r="B81" t="s">
        <v>1397</v>
      </c>
      <c r="C81" s="1">
        <v>1.82E-3</v>
      </c>
      <c r="D81" s="1">
        <v>1.977E-3</v>
      </c>
      <c r="E81">
        <v>2844</v>
      </c>
      <c r="F81" t="s">
        <v>3025</v>
      </c>
      <c r="G81" t="s">
        <v>2971</v>
      </c>
    </row>
    <row r="82" spans="1:7" x14ac:dyDescent="0.25">
      <c r="A82" s="16" t="str">
        <f>HYPERLINK("http://amigo.geneontology.org/amigo/term/GO:0044283","GO:0044283")</f>
        <v>GO:0044283</v>
      </c>
      <c r="B82" t="s">
        <v>90</v>
      </c>
      <c r="C82" s="1">
        <v>1.9629999999999999E-3</v>
      </c>
      <c r="D82" s="1">
        <v>2.1310000000000001E-3</v>
      </c>
      <c r="E82">
        <v>1101</v>
      </c>
      <c r="F82" t="s">
        <v>3026</v>
      </c>
      <c r="G82" t="s">
        <v>3027</v>
      </c>
    </row>
    <row r="83" spans="1:7" x14ac:dyDescent="0.25">
      <c r="A83" s="16" t="str">
        <f>HYPERLINK("http://amigo.geneontology.org/amigo/term/GO:0008154","GO:0008154")</f>
        <v>GO:0008154</v>
      </c>
      <c r="B83" t="s">
        <v>3028</v>
      </c>
      <c r="C83" s="1">
        <v>2.1120000000000002E-3</v>
      </c>
      <c r="D83" s="1">
        <v>2.2920000000000002E-3</v>
      </c>
      <c r="E83">
        <v>34</v>
      </c>
      <c r="F83" t="s">
        <v>1882</v>
      </c>
      <c r="G83" t="s">
        <v>3015</v>
      </c>
    </row>
    <row r="84" spans="1:7" x14ac:dyDescent="0.25">
      <c r="A84" s="16" t="str">
        <f>HYPERLINK("http://amigo.geneontology.org/amigo/term/GO:0009723","GO:0009723")</f>
        <v>GO:0009723</v>
      </c>
      <c r="B84" t="s">
        <v>1009</v>
      </c>
      <c r="C84" s="1">
        <v>2.1519999999999998E-3</v>
      </c>
      <c r="D84" s="1">
        <v>2.3349999999999998E-3</v>
      </c>
      <c r="E84">
        <v>72</v>
      </c>
      <c r="F84" t="s">
        <v>3029</v>
      </c>
      <c r="G84" t="s">
        <v>3030</v>
      </c>
    </row>
    <row r="85" spans="1:7" x14ac:dyDescent="0.25">
      <c r="A85" s="16" t="str">
        <f>HYPERLINK("http://amigo.geneontology.org/amigo/term/GO:0071704","GO:0071704")</f>
        <v>GO:0071704</v>
      </c>
      <c r="B85" t="s">
        <v>454</v>
      </c>
      <c r="C85" s="1">
        <v>2.3600000000000001E-3</v>
      </c>
      <c r="D85" s="1">
        <v>2.5609999999999999E-3</v>
      </c>
      <c r="E85">
        <v>22718</v>
      </c>
      <c r="F85" t="s">
        <v>3031</v>
      </c>
      <c r="G85" t="s">
        <v>3032</v>
      </c>
    </row>
    <row r="86" spans="1:7" x14ac:dyDescent="0.25">
      <c r="A86" s="16" t="str">
        <f>HYPERLINK("http://amigo.geneontology.org/amigo/term/GO:0009415","GO:0009415")</f>
        <v>GO:0009415</v>
      </c>
      <c r="B86" t="s">
        <v>139</v>
      </c>
      <c r="C86" s="1">
        <v>2.4719999999999998E-3</v>
      </c>
      <c r="D86" s="1">
        <v>2.6809999999999998E-3</v>
      </c>
      <c r="E86">
        <v>308</v>
      </c>
      <c r="F86" t="s">
        <v>3033</v>
      </c>
      <c r="G86" t="s">
        <v>3034</v>
      </c>
    </row>
    <row r="87" spans="1:7" x14ac:dyDescent="0.25">
      <c r="A87" s="16" t="str">
        <f>HYPERLINK("http://amigo.geneontology.org/amigo/term/GO:0001101","GO:0001101")</f>
        <v>GO:0001101</v>
      </c>
      <c r="B87" t="s">
        <v>145</v>
      </c>
      <c r="C87" s="1">
        <v>2.6740000000000002E-3</v>
      </c>
      <c r="D87" s="1">
        <v>2.8999999999999998E-3</v>
      </c>
      <c r="E87">
        <v>312</v>
      </c>
      <c r="F87" t="s">
        <v>3035</v>
      </c>
      <c r="G87" t="s">
        <v>3034</v>
      </c>
    </row>
    <row r="88" spans="1:7" x14ac:dyDescent="0.25">
      <c r="A88" s="16" t="str">
        <f>HYPERLINK("http://amigo.geneontology.org/amigo/term/GO:0009833","GO:0009833")</f>
        <v>GO:0009833</v>
      </c>
      <c r="B88" t="s">
        <v>1218</v>
      </c>
      <c r="C88" s="1">
        <v>2.9520000000000002E-3</v>
      </c>
      <c r="D88" s="1">
        <v>3.2009999999999999E-3</v>
      </c>
      <c r="E88">
        <v>11</v>
      </c>
      <c r="F88" t="s">
        <v>1898</v>
      </c>
      <c r="G88" t="s">
        <v>3036</v>
      </c>
    </row>
    <row r="89" spans="1:7" x14ac:dyDescent="0.25">
      <c r="A89" s="16" t="str">
        <f>HYPERLINK("http://amigo.geneontology.org/amigo/term/GO:0055129","GO:0055129")</f>
        <v>GO:0055129</v>
      </c>
      <c r="B89" t="s">
        <v>1112</v>
      </c>
      <c r="C89" s="1">
        <v>2.9520000000000002E-3</v>
      </c>
      <c r="D89" s="1">
        <v>3.2009999999999999E-3</v>
      </c>
      <c r="E89">
        <v>11</v>
      </c>
      <c r="F89" t="s">
        <v>1898</v>
      </c>
      <c r="G89" t="s">
        <v>3037</v>
      </c>
    </row>
    <row r="90" spans="1:7" x14ac:dyDescent="0.25">
      <c r="A90" s="16" t="str">
        <f>HYPERLINK("http://amigo.geneontology.org/amigo/term/GO:0019752","GO:0019752")</f>
        <v>GO:0019752</v>
      </c>
      <c r="B90" t="s">
        <v>106</v>
      </c>
      <c r="C90" s="1">
        <v>3.101E-3</v>
      </c>
      <c r="D90" s="1">
        <v>3.362E-3</v>
      </c>
      <c r="E90">
        <v>1916</v>
      </c>
      <c r="F90" t="s">
        <v>3038</v>
      </c>
      <c r="G90" t="s">
        <v>3039</v>
      </c>
    </row>
    <row r="91" spans="1:7" x14ac:dyDescent="0.25">
      <c r="A91" s="16" t="str">
        <f>HYPERLINK("http://amigo.geneontology.org/amigo/term/GO:0032984","GO:0032984")</f>
        <v>GO:0032984</v>
      </c>
      <c r="B91" t="s">
        <v>3040</v>
      </c>
      <c r="C91" s="1">
        <v>3.156E-3</v>
      </c>
      <c r="D91" s="1">
        <v>3.421E-3</v>
      </c>
      <c r="E91">
        <v>80</v>
      </c>
      <c r="F91" t="s">
        <v>3041</v>
      </c>
      <c r="G91" t="s">
        <v>3024</v>
      </c>
    </row>
    <row r="92" spans="1:7" x14ac:dyDescent="0.25">
      <c r="A92" s="16" t="str">
        <f>HYPERLINK("http://amigo.geneontology.org/amigo/term/GO:0009739","GO:0009739")</f>
        <v>GO:0009739</v>
      </c>
      <c r="B92" t="s">
        <v>975</v>
      </c>
      <c r="C92" s="1">
        <v>3.372E-3</v>
      </c>
      <c r="D92" s="1">
        <v>3.6540000000000001E-3</v>
      </c>
      <c r="E92">
        <v>40</v>
      </c>
      <c r="F92" t="s">
        <v>458</v>
      </c>
      <c r="G92" t="s">
        <v>3042</v>
      </c>
    </row>
    <row r="93" spans="1:7" x14ac:dyDescent="0.25">
      <c r="A93" s="16" t="str">
        <f>HYPERLINK("http://amigo.geneontology.org/amigo/term/GO:0043436","GO:0043436")</f>
        <v>GO:0043436</v>
      </c>
      <c r="B93" t="s">
        <v>109</v>
      </c>
      <c r="C93" s="1">
        <v>3.5010000000000002E-3</v>
      </c>
      <c r="D93" s="1">
        <v>3.7929999999999999E-3</v>
      </c>
      <c r="E93">
        <v>1934</v>
      </c>
      <c r="F93" t="s">
        <v>3043</v>
      </c>
      <c r="G93" t="s">
        <v>3039</v>
      </c>
    </row>
    <row r="94" spans="1:7" x14ac:dyDescent="0.25">
      <c r="A94" s="16" t="str">
        <f>HYPERLINK("http://amigo.geneontology.org/amigo/term/GO:0010214","GO:0010214")</f>
        <v>GO:0010214</v>
      </c>
      <c r="B94" t="s">
        <v>3044</v>
      </c>
      <c r="C94" s="1">
        <v>3.5249999999999999E-3</v>
      </c>
      <c r="D94" s="1">
        <v>3.8180000000000002E-3</v>
      </c>
      <c r="E94">
        <v>12</v>
      </c>
      <c r="F94" t="s">
        <v>1875</v>
      </c>
      <c r="G94" t="s">
        <v>2989</v>
      </c>
    </row>
    <row r="95" spans="1:7" x14ac:dyDescent="0.25">
      <c r="A95" s="16" t="str">
        <f>HYPERLINK("http://amigo.geneontology.org/amigo/term/GO:0043649","GO:0043649")</f>
        <v>GO:0043649</v>
      </c>
      <c r="B95" t="s">
        <v>3045</v>
      </c>
      <c r="C95" s="1">
        <v>3.5249999999999999E-3</v>
      </c>
      <c r="D95" s="1">
        <v>3.8180000000000002E-3</v>
      </c>
      <c r="E95">
        <v>12</v>
      </c>
      <c r="F95" t="s">
        <v>1875</v>
      </c>
      <c r="G95" t="s">
        <v>2989</v>
      </c>
    </row>
    <row r="96" spans="1:7" x14ac:dyDescent="0.25">
      <c r="A96" s="16" t="str">
        <f>HYPERLINK("http://amigo.geneontology.org/amigo/term/GO:0000281","GO:0000281")</f>
        <v>GO:0000281</v>
      </c>
      <c r="B96" t="s">
        <v>1220</v>
      </c>
      <c r="C96" s="1">
        <v>3.5249999999999999E-3</v>
      </c>
      <c r="D96" s="1">
        <v>3.8180000000000002E-3</v>
      </c>
      <c r="E96">
        <v>12</v>
      </c>
      <c r="F96" t="s">
        <v>1875</v>
      </c>
      <c r="G96" t="s">
        <v>3036</v>
      </c>
    </row>
    <row r="97" spans="1:7" x14ac:dyDescent="0.25">
      <c r="A97" s="16" t="str">
        <f>HYPERLINK("http://amigo.geneontology.org/amigo/term/GO:0009628","GO:0009628")</f>
        <v>GO:0009628</v>
      </c>
      <c r="B97" t="s">
        <v>317</v>
      </c>
      <c r="C97" s="1">
        <v>3.7369999999999999E-3</v>
      </c>
      <c r="D97" s="1">
        <v>4.0470000000000002E-3</v>
      </c>
      <c r="E97">
        <v>1079</v>
      </c>
      <c r="F97" t="s">
        <v>3046</v>
      </c>
      <c r="G97" t="s">
        <v>3047</v>
      </c>
    </row>
    <row r="98" spans="1:7" x14ac:dyDescent="0.25">
      <c r="A98" s="16" t="str">
        <f>HYPERLINK("http://amigo.geneontology.org/amigo/term/GO:0046394","GO:0046394")</f>
        <v>GO:0046394</v>
      </c>
      <c r="B98" t="s">
        <v>219</v>
      </c>
      <c r="C98" s="1">
        <v>3.7629999999999999E-3</v>
      </c>
      <c r="D98" s="1">
        <v>4.0740000000000004E-3</v>
      </c>
      <c r="E98">
        <v>812</v>
      </c>
      <c r="F98" t="s">
        <v>3048</v>
      </c>
      <c r="G98" t="s">
        <v>3049</v>
      </c>
    </row>
    <row r="99" spans="1:7" x14ac:dyDescent="0.25">
      <c r="A99" s="16" t="str">
        <f>HYPERLINK("http://amigo.geneontology.org/amigo/term/GO:0019439","GO:0019439")</f>
        <v>GO:0019439</v>
      </c>
      <c r="B99" t="s">
        <v>3050</v>
      </c>
      <c r="C99" s="1">
        <v>3.8430000000000001E-3</v>
      </c>
      <c r="D99" s="1">
        <v>4.1599999999999996E-3</v>
      </c>
      <c r="E99">
        <v>405</v>
      </c>
      <c r="F99" t="s">
        <v>3051</v>
      </c>
      <c r="G99" t="s">
        <v>3052</v>
      </c>
    </row>
    <row r="100" spans="1:7" x14ac:dyDescent="0.25">
      <c r="A100" s="16" t="str">
        <f>HYPERLINK("http://amigo.geneontology.org/amigo/term/GO:1901700","GO:1901700")</f>
        <v>GO:1901700</v>
      </c>
      <c r="B100" t="s">
        <v>183</v>
      </c>
      <c r="C100" s="1">
        <v>4.0540000000000003E-3</v>
      </c>
      <c r="D100" s="1">
        <v>4.3870000000000003E-3</v>
      </c>
      <c r="E100">
        <v>819</v>
      </c>
      <c r="F100" t="s">
        <v>3053</v>
      </c>
      <c r="G100" t="s">
        <v>3054</v>
      </c>
    </row>
    <row r="101" spans="1:7" x14ac:dyDescent="0.25">
      <c r="A101" s="16" t="str">
        <f>HYPERLINK("http://amigo.geneontology.org/amigo/term/GO:0034050","GO:0034050")</f>
        <v>GO:0034050</v>
      </c>
      <c r="B101" t="s">
        <v>3055</v>
      </c>
      <c r="C101" s="1">
        <v>4.1450000000000002E-3</v>
      </c>
      <c r="D101" s="1">
        <v>4.4840000000000001E-3</v>
      </c>
      <c r="E101">
        <v>13</v>
      </c>
      <c r="F101" t="s">
        <v>1813</v>
      </c>
      <c r="G101" t="s">
        <v>3001</v>
      </c>
    </row>
    <row r="102" spans="1:7" x14ac:dyDescent="0.25">
      <c r="A102" s="16" t="str">
        <f>HYPERLINK("http://amigo.geneontology.org/amigo/term/GO:0009626","GO:0009626")</f>
        <v>GO:0009626</v>
      </c>
      <c r="B102" t="s">
        <v>3056</v>
      </c>
      <c r="C102" s="1">
        <v>4.1450000000000002E-3</v>
      </c>
      <c r="D102" s="1">
        <v>4.4840000000000001E-3</v>
      </c>
      <c r="E102">
        <v>13</v>
      </c>
      <c r="F102" t="s">
        <v>1813</v>
      </c>
      <c r="G102" t="s">
        <v>3001</v>
      </c>
    </row>
    <row r="103" spans="1:7" x14ac:dyDescent="0.25">
      <c r="A103" s="16" t="str">
        <f>HYPERLINK("http://amigo.geneontology.org/amigo/term/GO:1901361","GO:1901361")</f>
        <v>GO:1901361</v>
      </c>
      <c r="B103" t="s">
        <v>3057</v>
      </c>
      <c r="C103" s="1">
        <v>4.1599999999999996E-3</v>
      </c>
      <c r="D103" s="1">
        <v>4.4990000000000004E-3</v>
      </c>
      <c r="E103">
        <v>410</v>
      </c>
      <c r="F103" t="s">
        <v>3058</v>
      </c>
      <c r="G103" t="s">
        <v>3052</v>
      </c>
    </row>
    <row r="104" spans="1:7" x14ac:dyDescent="0.25">
      <c r="A104" s="16" t="str">
        <f>HYPERLINK("http://amigo.geneontology.org/amigo/term/GO:0006082","GO:0006082")</f>
        <v>GO:0006082</v>
      </c>
      <c r="B104" t="s">
        <v>93</v>
      </c>
      <c r="C104" s="1">
        <v>4.5770000000000003E-3</v>
      </c>
      <c r="D104" s="1">
        <v>4.9490000000000003E-3</v>
      </c>
      <c r="E104">
        <v>1975</v>
      </c>
      <c r="F104" t="s">
        <v>3059</v>
      </c>
      <c r="G104" t="s">
        <v>3039</v>
      </c>
    </row>
    <row r="105" spans="1:7" x14ac:dyDescent="0.25">
      <c r="A105" s="16" t="str">
        <f>HYPERLINK("http://amigo.geneontology.org/amigo/term/GO:0097502","GO:0097502")</f>
        <v>GO:0097502</v>
      </c>
      <c r="B105" t="s">
        <v>1226</v>
      </c>
      <c r="C105" s="1">
        <v>4.8120000000000003E-3</v>
      </c>
      <c r="D105" s="1">
        <v>5.202E-3</v>
      </c>
      <c r="E105">
        <v>14</v>
      </c>
      <c r="F105" t="s">
        <v>2328</v>
      </c>
      <c r="G105" t="s">
        <v>3036</v>
      </c>
    </row>
    <row r="106" spans="1:7" x14ac:dyDescent="0.25">
      <c r="A106" s="16" t="str">
        <f>HYPERLINK("http://amigo.geneontology.org/amigo/term/GO:0051702","GO:0051702")</f>
        <v>GO:0051702</v>
      </c>
      <c r="B106" t="s">
        <v>3060</v>
      </c>
      <c r="C106" s="1">
        <v>5.5250000000000004E-3</v>
      </c>
      <c r="D106" s="1">
        <v>5.9719999999999999E-3</v>
      </c>
      <c r="E106">
        <v>15</v>
      </c>
      <c r="F106" t="s">
        <v>1802</v>
      </c>
      <c r="G106" t="s">
        <v>3001</v>
      </c>
    </row>
    <row r="107" spans="1:7" x14ac:dyDescent="0.25">
      <c r="A107" s="16" t="str">
        <f>HYPERLINK("http://amigo.geneontology.org/amigo/term/GO:0006561","GO:0006561")</f>
        <v>GO:0006561</v>
      </c>
      <c r="B107" t="s">
        <v>1141</v>
      </c>
      <c r="C107" s="1">
        <v>5.5250000000000004E-3</v>
      </c>
      <c r="D107" s="1">
        <v>5.9719999999999999E-3</v>
      </c>
      <c r="E107">
        <v>15</v>
      </c>
      <c r="F107" t="s">
        <v>1802</v>
      </c>
      <c r="G107" t="s">
        <v>3037</v>
      </c>
    </row>
    <row r="108" spans="1:7" x14ac:dyDescent="0.25">
      <c r="A108" s="16" t="str">
        <f>HYPERLINK("http://amigo.geneontology.org/amigo/term/GO:0009813","GO:0009813")</f>
        <v>GO:0009813</v>
      </c>
      <c r="B108" t="s">
        <v>3061</v>
      </c>
      <c r="C108" s="1">
        <v>5.5250000000000004E-3</v>
      </c>
      <c r="D108" s="1">
        <v>5.9719999999999999E-3</v>
      </c>
      <c r="E108">
        <v>15</v>
      </c>
      <c r="F108" t="s">
        <v>1802</v>
      </c>
      <c r="G108" t="s">
        <v>3062</v>
      </c>
    </row>
    <row r="109" spans="1:7" x14ac:dyDescent="0.25">
      <c r="A109" s="16" t="str">
        <f>HYPERLINK("http://amigo.geneontology.org/amigo/term/GO:0009082","GO:0009082")</f>
        <v>GO:0009082</v>
      </c>
      <c r="B109" t="s">
        <v>3063</v>
      </c>
      <c r="C109" s="1">
        <v>5.6480000000000002E-3</v>
      </c>
      <c r="D109" s="1">
        <v>6.1040000000000001E-3</v>
      </c>
      <c r="E109">
        <v>48</v>
      </c>
      <c r="F109" t="s">
        <v>2319</v>
      </c>
      <c r="G109" t="s">
        <v>3064</v>
      </c>
    </row>
    <row r="110" spans="1:7" x14ac:dyDescent="0.25">
      <c r="A110" s="16" t="str">
        <f>HYPERLINK("http://amigo.geneontology.org/amigo/term/GO:0006817","GO:0006817")</f>
        <v>GO:0006817</v>
      </c>
      <c r="B110" t="s">
        <v>1293</v>
      </c>
      <c r="C110" s="1">
        <v>5.6480000000000002E-3</v>
      </c>
      <c r="D110" s="1">
        <v>6.1040000000000001E-3</v>
      </c>
      <c r="E110">
        <v>48</v>
      </c>
      <c r="F110" t="s">
        <v>2319</v>
      </c>
      <c r="G110" t="s">
        <v>3065</v>
      </c>
    </row>
    <row r="111" spans="1:7" x14ac:dyDescent="0.25">
      <c r="A111" s="16" t="str">
        <f>HYPERLINK("http://amigo.geneontology.org/amigo/term/GO:0008643","GO:0008643")</f>
        <v>GO:0008643</v>
      </c>
      <c r="B111" t="s">
        <v>1266</v>
      </c>
      <c r="C111" s="1">
        <v>5.8190000000000004E-3</v>
      </c>
      <c r="D111" s="1">
        <v>6.2870000000000001E-3</v>
      </c>
      <c r="E111">
        <v>95</v>
      </c>
      <c r="F111" t="s">
        <v>3066</v>
      </c>
      <c r="G111" t="s">
        <v>3067</v>
      </c>
    </row>
    <row r="112" spans="1:7" x14ac:dyDescent="0.25">
      <c r="A112" s="16" t="str">
        <f>HYPERLINK("http://amigo.geneontology.org/amigo/term/GO:0005976","GO:0005976")</f>
        <v>GO:0005976</v>
      </c>
      <c r="B112" t="s">
        <v>238</v>
      </c>
      <c r="C112" s="1">
        <v>5.8799999999999998E-3</v>
      </c>
      <c r="D112" s="1">
        <v>6.3509999999999999E-3</v>
      </c>
      <c r="E112">
        <v>680</v>
      </c>
      <c r="F112" t="s">
        <v>3068</v>
      </c>
      <c r="G112" t="s">
        <v>3069</v>
      </c>
    </row>
    <row r="113" spans="1:7" x14ac:dyDescent="0.25">
      <c r="A113" s="16" t="str">
        <f>HYPERLINK("http://amigo.geneontology.org/amigo/term/GO:0009651","GO:0009651")</f>
        <v>GO:0009651</v>
      </c>
      <c r="B113" t="s">
        <v>1497</v>
      </c>
      <c r="C113" s="1">
        <v>6.2129999999999998E-3</v>
      </c>
      <c r="D113" s="1">
        <v>6.7089999999999997E-3</v>
      </c>
      <c r="E113">
        <v>217</v>
      </c>
      <c r="F113" t="s">
        <v>2295</v>
      </c>
      <c r="G113" t="s">
        <v>3070</v>
      </c>
    </row>
    <row r="114" spans="1:7" x14ac:dyDescent="0.25">
      <c r="A114" s="16" t="str">
        <f>HYPERLINK("http://amigo.geneontology.org/amigo/term/GO:0009812","GO:0009812")</f>
        <v>GO:0009812</v>
      </c>
      <c r="B114" t="s">
        <v>3071</v>
      </c>
      <c r="C114" s="1">
        <v>6.2830000000000004E-3</v>
      </c>
      <c r="D114" s="1">
        <v>6.783E-3</v>
      </c>
      <c r="E114">
        <v>16</v>
      </c>
      <c r="F114" t="s">
        <v>461</v>
      </c>
      <c r="G114" t="s">
        <v>3062</v>
      </c>
    </row>
    <row r="115" spans="1:7" x14ac:dyDescent="0.25">
      <c r="A115" s="16" t="str">
        <f>HYPERLINK("http://amigo.geneontology.org/amigo/term/GO:0022411","GO:0022411")</f>
        <v>GO:0022411</v>
      </c>
      <c r="B115" t="s">
        <v>3072</v>
      </c>
      <c r="C115" s="1">
        <v>6.4879999999999998E-3</v>
      </c>
      <c r="D115" s="1">
        <v>7.0029999999999997E-3</v>
      </c>
      <c r="E115">
        <v>98</v>
      </c>
      <c r="F115" t="s">
        <v>3073</v>
      </c>
      <c r="G115" t="s">
        <v>3024</v>
      </c>
    </row>
    <row r="116" spans="1:7" x14ac:dyDescent="0.25">
      <c r="A116" s="16" t="str">
        <f>HYPERLINK("http://amigo.geneontology.org/amigo/term/GO:0006869","GO:0006869")</f>
        <v>GO:0006869</v>
      </c>
      <c r="B116" t="s">
        <v>943</v>
      </c>
      <c r="C116" s="1">
        <v>6.7939999999999997E-3</v>
      </c>
      <c r="D116" s="1">
        <v>7.3309999999999998E-3</v>
      </c>
      <c r="E116">
        <v>291</v>
      </c>
      <c r="F116" t="s">
        <v>3074</v>
      </c>
      <c r="G116" t="s">
        <v>3075</v>
      </c>
    </row>
    <row r="117" spans="1:7" x14ac:dyDescent="0.25">
      <c r="A117" s="16" t="str">
        <f>HYPERLINK("http://amigo.geneontology.org/amigo/term/GO:0042742","GO:0042742")</f>
        <v>GO:0042742</v>
      </c>
      <c r="B117" t="s">
        <v>757</v>
      </c>
      <c r="C117" s="1">
        <v>7.0219999999999996E-3</v>
      </c>
      <c r="D117" s="1">
        <v>7.5760000000000003E-3</v>
      </c>
      <c r="E117">
        <v>158</v>
      </c>
      <c r="F117" t="s">
        <v>3076</v>
      </c>
      <c r="G117" t="s">
        <v>3077</v>
      </c>
    </row>
    <row r="118" spans="1:7" x14ac:dyDescent="0.25">
      <c r="A118" s="16" t="str">
        <f>HYPERLINK("http://amigo.geneontology.org/amigo/term/GO:0012501","GO:0012501")</f>
        <v>GO:0012501</v>
      </c>
      <c r="B118" t="s">
        <v>3078</v>
      </c>
      <c r="C118" s="1">
        <v>7.0860000000000003E-3</v>
      </c>
      <c r="D118" s="1">
        <v>7.6429999999999996E-3</v>
      </c>
      <c r="E118">
        <v>17</v>
      </c>
      <c r="F118" t="s">
        <v>1845</v>
      </c>
      <c r="G118" t="s">
        <v>3001</v>
      </c>
    </row>
    <row r="119" spans="1:7" x14ac:dyDescent="0.25">
      <c r="A119" s="16" t="str">
        <f>HYPERLINK("http://amigo.geneontology.org/amigo/term/GO:0009832","GO:0009832")</f>
        <v>GO:0009832</v>
      </c>
      <c r="B119" t="s">
        <v>1164</v>
      </c>
      <c r="C119" s="1">
        <v>7.4570000000000001E-3</v>
      </c>
      <c r="D119" s="1">
        <v>8.0420000000000005E-3</v>
      </c>
      <c r="E119">
        <v>102</v>
      </c>
      <c r="F119" t="s">
        <v>3079</v>
      </c>
      <c r="G119" t="s">
        <v>3080</v>
      </c>
    </row>
    <row r="120" spans="1:7" x14ac:dyDescent="0.25">
      <c r="A120" s="16" t="str">
        <f>HYPERLINK("http://amigo.geneontology.org/amigo/term/GO:0061640","GO:0061640")</f>
        <v>GO:0061640</v>
      </c>
      <c r="B120" t="s">
        <v>1232</v>
      </c>
      <c r="C120" s="1">
        <v>7.9319999999999998E-3</v>
      </c>
      <c r="D120" s="1">
        <v>8.5520000000000006E-3</v>
      </c>
      <c r="E120">
        <v>18</v>
      </c>
      <c r="F120" t="s">
        <v>542</v>
      </c>
      <c r="G120" t="s">
        <v>3036</v>
      </c>
    </row>
    <row r="121" spans="1:7" x14ac:dyDescent="0.25">
      <c r="A121" s="16" t="str">
        <f>HYPERLINK("http://amigo.geneontology.org/amigo/term/GO:0010876","GO:0010876")</f>
        <v>GO:0010876</v>
      </c>
      <c r="B121" t="s">
        <v>947</v>
      </c>
      <c r="C121" s="1">
        <v>7.9629999999999996E-3</v>
      </c>
      <c r="D121" s="1">
        <v>8.5830000000000004E-3</v>
      </c>
      <c r="E121">
        <v>300</v>
      </c>
      <c r="F121" t="s">
        <v>3081</v>
      </c>
      <c r="G121" t="s">
        <v>3075</v>
      </c>
    </row>
    <row r="122" spans="1:7" x14ac:dyDescent="0.25">
      <c r="A122" s="16" t="str">
        <f>HYPERLINK("http://amigo.geneontology.org/amigo/term/GO:0006811","GO:0006811")</f>
        <v>GO:0006811</v>
      </c>
      <c r="B122" t="s">
        <v>825</v>
      </c>
      <c r="C122" s="1">
        <v>8.2819999999999994E-3</v>
      </c>
      <c r="D122" s="1">
        <v>8.9250000000000006E-3</v>
      </c>
      <c r="E122">
        <v>1564</v>
      </c>
      <c r="F122" t="s">
        <v>3082</v>
      </c>
      <c r="G122" t="s">
        <v>3083</v>
      </c>
    </row>
    <row r="123" spans="1:7" x14ac:dyDescent="0.25">
      <c r="A123" s="16" t="str">
        <f>HYPERLINK("http://amigo.geneontology.org/amigo/term/GO:0072330","GO:0072330")</f>
        <v>GO:0072330</v>
      </c>
      <c r="B123" t="s">
        <v>530</v>
      </c>
      <c r="C123" s="1">
        <v>8.7749999999999998E-3</v>
      </c>
      <c r="D123" s="1">
        <v>9.4549999999999999E-3</v>
      </c>
      <c r="E123">
        <v>382</v>
      </c>
      <c r="F123" t="s">
        <v>3084</v>
      </c>
      <c r="G123" t="s">
        <v>3085</v>
      </c>
    </row>
    <row r="124" spans="1:7" x14ac:dyDescent="0.25">
      <c r="A124" s="16" t="str">
        <f>HYPERLINK("http://amigo.geneontology.org/amigo/term/GO:0009081","GO:0009081")</f>
        <v>GO:0009081</v>
      </c>
      <c r="B124" t="s">
        <v>1402</v>
      </c>
      <c r="C124" s="1">
        <v>9.5370000000000003E-3</v>
      </c>
      <c r="D124">
        <v>0.01</v>
      </c>
      <c r="E124">
        <v>58</v>
      </c>
      <c r="F124" t="s">
        <v>3086</v>
      </c>
      <c r="G124" t="s">
        <v>3064</v>
      </c>
    </row>
    <row r="125" spans="1:7" x14ac:dyDescent="0.25">
      <c r="A125" s="16" t="str">
        <f>HYPERLINK("http://amigo.geneontology.org/amigo/term/GO:0071669","GO:0071669")</f>
        <v>GO:0071669</v>
      </c>
      <c r="B125" t="s">
        <v>1176</v>
      </c>
      <c r="C125" s="1">
        <v>9.9310000000000006E-3</v>
      </c>
      <c r="D125">
        <v>0.01</v>
      </c>
      <c r="E125">
        <v>240</v>
      </c>
      <c r="F125" t="s">
        <v>3087</v>
      </c>
      <c r="G125" t="s">
        <v>3088</v>
      </c>
    </row>
    <row r="126" spans="1:7" x14ac:dyDescent="0.25">
      <c r="A126" s="16" t="str">
        <f>HYPERLINK("http://amigo.geneontology.org/amigo/term/GO:1901135","GO:1901135")</f>
        <v>GO:1901135</v>
      </c>
      <c r="B126" t="s">
        <v>3089</v>
      </c>
      <c r="C126">
        <v>0.01</v>
      </c>
      <c r="D126">
        <v>0.01</v>
      </c>
      <c r="E126">
        <v>1440</v>
      </c>
      <c r="F126" t="s">
        <v>3090</v>
      </c>
      <c r="G126" t="s">
        <v>3091</v>
      </c>
    </row>
    <row r="127" spans="1:7" x14ac:dyDescent="0.25">
      <c r="A127" s="16" t="str">
        <f>HYPERLINK("http://amigo.geneontology.org/amigo/term/GO:0031163","GO:0031163")</f>
        <v>GO:0031163</v>
      </c>
      <c r="B127" t="s">
        <v>3092</v>
      </c>
      <c r="C127">
        <v>0.01</v>
      </c>
      <c r="D127">
        <v>0.01</v>
      </c>
      <c r="E127">
        <v>61</v>
      </c>
      <c r="F127" t="s">
        <v>3093</v>
      </c>
      <c r="G127" t="s">
        <v>3094</v>
      </c>
    </row>
    <row r="128" spans="1:7" x14ac:dyDescent="0.25">
      <c r="A128" s="16" t="str">
        <f>HYPERLINK("http://amigo.geneontology.org/amigo/term/GO:0016226","GO:0016226")</f>
        <v>GO:0016226</v>
      </c>
      <c r="B128" t="s">
        <v>3095</v>
      </c>
      <c r="C128">
        <v>0.01</v>
      </c>
      <c r="D128">
        <v>0.01</v>
      </c>
      <c r="E128">
        <v>61</v>
      </c>
      <c r="F128" t="s">
        <v>3093</v>
      </c>
      <c r="G128" t="s">
        <v>3094</v>
      </c>
    </row>
    <row r="129" spans="1:7" x14ac:dyDescent="0.25">
      <c r="A129" s="16" t="str">
        <f>HYPERLINK("http://amigo.geneontology.org/amigo/term/GO:0009617","GO:0009617")</f>
        <v>GO:0009617</v>
      </c>
      <c r="B129" t="s">
        <v>736</v>
      </c>
      <c r="C129">
        <v>0.01</v>
      </c>
      <c r="D129">
        <v>0.01</v>
      </c>
      <c r="E129">
        <v>177</v>
      </c>
      <c r="F129" t="s">
        <v>2656</v>
      </c>
      <c r="G129" t="s">
        <v>3077</v>
      </c>
    </row>
    <row r="130" spans="1:7" x14ac:dyDescent="0.25">
      <c r="A130" s="16" t="str">
        <f>HYPERLINK("http://amigo.geneontology.org/amigo/term/GO:0006812","GO:0006812")</f>
        <v>GO:0006812</v>
      </c>
      <c r="B130" t="s">
        <v>799</v>
      </c>
      <c r="C130">
        <v>0.01</v>
      </c>
      <c r="D130">
        <v>0.01</v>
      </c>
      <c r="E130">
        <v>1225</v>
      </c>
      <c r="F130" t="s">
        <v>3096</v>
      </c>
      <c r="G130" t="s">
        <v>3097</v>
      </c>
    </row>
    <row r="131" spans="1:7" x14ac:dyDescent="0.25">
      <c r="A131" s="16" t="str">
        <f>HYPERLINK("http://amigo.geneontology.org/amigo/term/GO:0052575","GO:0052575")</f>
        <v>GO:0052575</v>
      </c>
      <c r="B131" t="s">
        <v>569</v>
      </c>
      <c r="C131">
        <v>0.01</v>
      </c>
      <c r="D131">
        <v>0.02</v>
      </c>
      <c r="E131">
        <v>2</v>
      </c>
      <c r="F131" t="s">
        <v>552</v>
      </c>
      <c r="G131" t="s">
        <v>3098</v>
      </c>
    </row>
    <row r="132" spans="1:7" x14ac:dyDescent="0.25">
      <c r="A132" s="16" t="str">
        <f>HYPERLINK("http://amigo.geneontology.org/amigo/term/GO:0052576","GO:0052576")</f>
        <v>GO:0052576</v>
      </c>
      <c r="B132" t="s">
        <v>571</v>
      </c>
      <c r="C132">
        <v>0.01</v>
      </c>
      <c r="D132">
        <v>0.02</v>
      </c>
      <c r="E132">
        <v>2</v>
      </c>
      <c r="F132" t="s">
        <v>552</v>
      </c>
      <c r="G132" t="s">
        <v>3098</v>
      </c>
    </row>
    <row r="133" spans="1:7" x14ac:dyDescent="0.25">
      <c r="A133" s="16" t="str">
        <f>HYPERLINK("http://amigo.geneontology.org/amigo/term/GO:0006970","GO:0006970")</f>
        <v>GO:0006970</v>
      </c>
      <c r="B133" t="s">
        <v>960</v>
      </c>
      <c r="C133">
        <v>0.01</v>
      </c>
      <c r="D133">
        <v>0.01</v>
      </c>
      <c r="E133">
        <v>249</v>
      </c>
      <c r="F133" t="s">
        <v>2280</v>
      </c>
      <c r="G133" t="s">
        <v>3070</v>
      </c>
    </row>
    <row r="134" spans="1:7" x14ac:dyDescent="0.25">
      <c r="A134" s="16" t="str">
        <f>HYPERLINK("http://amigo.geneontology.org/amigo/term/GO:0070542","GO:0070542")</f>
        <v>GO:0070542</v>
      </c>
      <c r="B134" t="s">
        <v>808</v>
      </c>
      <c r="C134">
        <v>0.01</v>
      </c>
      <c r="D134">
        <v>0.01</v>
      </c>
      <c r="E134">
        <v>62</v>
      </c>
      <c r="F134" t="s">
        <v>3099</v>
      </c>
      <c r="G134" t="s">
        <v>3042</v>
      </c>
    </row>
    <row r="135" spans="1:7" x14ac:dyDescent="0.25">
      <c r="A135" s="16" t="str">
        <f>HYPERLINK("http://amigo.geneontology.org/amigo/term/GO:0009753","GO:0009753")</f>
        <v>GO:0009753</v>
      </c>
      <c r="B135" t="s">
        <v>807</v>
      </c>
      <c r="C135">
        <v>0.01</v>
      </c>
      <c r="D135">
        <v>0.01</v>
      </c>
      <c r="E135">
        <v>61</v>
      </c>
      <c r="F135" t="s">
        <v>3093</v>
      </c>
      <c r="G135" t="s">
        <v>3042</v>
      </c>
    </row>
    <row r="136" spans="1:7" x14ac:dyDescent="0.25">
      <c r="A136" s="16" t="str">
        <f>HYPERLINK("http://amigo.geneontology.org/amigo/term/GO:0009269","GO:0009269")</f>
        <v>GO:0009269</v>
      </c>
      <c r="B136" t="s">
        <v>168</v>
      </c>
      <c r="C136">
        <v>0.01</v>
      </c>
      <c r="D136">
        <v>0.01</v>
      </c>
      <c r="E136">
        <v>24</v>
      </c>
      <c r="F136" t="s">
        <v>1781</v>
      </c>
      <c r="G136" t="s">
        <v>3100</v>
      </c>
    </row>
    <row r="137" spans="1:7" x14ac:dyDescent="0.25">
      <c r="A137" s="16" t="str">
        <f>HYPERLINK("http://amigo.geneontology.org/amigo/term/GO:0044403","GO:0044403")</f>
        <v>GO:0044403</v>
      </c>
      <c r="B137" t="s">
        <v>3101</v>
      </c>
      <c r="C137">
        <v>0.01</v>
      </c>
      <c r="D137">
        <v>0.01</v>
      </c>
      <c r="E137">
        <v>24</v>
      </c>
      <c r="F137" t="s">
        <v>1781</v>
      </c>
      <c r="G137" t="s">
        <v>3001</v>
      </c>
    </row>
    <row r="138" spans="1:7" x14ac:dyDescent="0.25">
      <c r="A138" s="16" t="str">
        <f>HYPERLINK("http://amigo.geneontology.org/amigo/term/GO:0006560","GO:0006560")</f>
        <v>GO:0006560</v>
      </c>
      <c r="B138" t="s">
        <v>3102</v>
      </c>
      <c r="C138">
        <v>0.01</v>
      </c>
      <c r="D138">
        <v>0.01</v>
      </c>
      <c r="E138">
        <v>21</v>
      </c>
      <c r="F138" t="s">
        <v>653</v>
      </c>
      <c r="G138" t="s">
        <v>3037</v>
      </c>
    </row>
    <row r="139" spans="1:7" x14ac:dyDescent="0.25">
      <c r="A139" s="16" t="str">
        <f>HYPERLINK("http://amigo.geneontology.org/amigo/term/GO:0000719","GO:0000719")</f>
        <v>GO:0000719</v>
      </c>
      <c r="B139" t="s">
        <v>3103</v>
      </c>
      <c r="C139">
        <v>0.01</v>
      </c>
      <c r="D139">
        <v>0.02</v>
      </c>
      <c r="E139">
        <v>2</v>
      </c>
      <c r="F139" t="s">
        <v>552</v>
      </c>
      <c r="G139" t="s">
        <v>3104</v>
      </c>
    </row>
    <row r="140" spans="1:7" x14ac:dyDescent="0.25">
      <c r="A140" s="16" t="str">
        <f>HYPERLINK("http://amigo.geneontology.org/amigo/term/GO:0016052","GO:0016052")</f>
        <v>GO:0016052</v>
      </c>
      <c r="B140" t="s">
        <v>1330</v>
      </c>
      <c r="C140">
        <v>0.02</v>
      </c>
      <c r="D140">
        <v>0.02</v>
      </c>
      <c r="E140">
        <v>439</v>
      </c>
      <c r="F140" t="s">
        <v>3105</v>
      </c>
      <c r="G140" t="s">
        <v>2997</v>
      </c>
    </row>
    <row r="141" spans="1:7" x14ac:dyDescent="0.25">
      <c r="A141" s="16" t="str">
        <f>HYPERLINK("http://amigo.geneontology.org/amigo/term/GO:0006950","GO:0006950")</f>
        <v>GO:0006950</v>
      </c>
      <c r="B141" t="s">
        <v>419</v>
      </c>
      <c r="C141">
        <v>0.02</v>
      </c>
      <c r="D141">
        <v>0.02</v>
      </c>
      <c r="E141">
        <v>3133</v>
      </c>
      <c r="F141" t="s">
        <v>3106</v>
      </c>
      <c r="G141" t="s">
        <v>3107</v>
      </c>
    </row>
    <row r="142" spans="1:7" x14ac:dyDescent="0.25">
      <c r="A142" s="16" t="str">
        <f>HYPERLINK("http://amigo.geneontology.org/amigo/term/GO:0090305","GO:0090305")</f>
        <v>GO:0090305</v>
      </c>
      <c r="B142" t="s">
        <v>3108</v>
      </c>
      <c r="C142">
        <v>0.02</v>
      </c>
      <c r="D142">
        <v>0.02</v>
      </c>
      <c r="E142">
        <v>139</v>
      </c>
      <c r="F142" t="s">
        <v>3109</v>
      </c>
      <c r="G142" t="s">
        <v>3019</v>
      </c>
    </row>
    <row r="143" spans="1:7" x14ac:dyDescent="0.25">
      <c r="A143" s="16" t="str">
        <f>HYPERLINK("http://amigo.geneontology.org/amigo/term/GO:1900140","GO:1900140")</f>
        <v>GO:1900140</v>
      </c>
      <c r="B143" t="s">
        <v>1558</v>
      </c>
      <c r="C143">
        <v>0.02</v>
      </c>
      <c r="D143">
        <v>0.02</v>
      </c>
      <c r="E143">
        <v>29</v>
      </c>
      <c r="F143" t="s">
        <v>1775</v>
      </c>
      <c r="G143" t="s">
        <v>2989</v>
      </c>
    </row>
    <row r="144" spans="1:7" x14ac:dyDescent="0.25">
      <c r="A144" s="16" t="str">
        <f>HYPERLINK("http://amigo.geneontology.org/amigo/term/GO:0010029","GO:0010029")</f>
        <v>GO:0010029</v>
      </c>
      <c r="B144" t="s">
        <v>1559</v>
      </c>
      <c r="C144">
        <v>0.02</v>
      </c>
      <c r="D144">
        <v>0.02</v>
      </c>
      <c r="E144">
        <v>29</v>
      </c>
      <c r="F144" t="s">
        <v>1775</v>
      </c>
      <c r="G144" t="s">
        <v>2989</v>
      </c>
    </row>
    <row r="145" spans="1:7" x14ac:dyDescent="0.25">
      <c r="A145" s="16" t="str">
        <f>HYPERLINK("http://amigo.geneontology.org/amigo/term/GO:0051301","GO:0051301")</f>
        <v>GO:0051301</v>
      </c>
      <c r="B145" t="s">
        <v>3110</v>
      </c>
      <c r="C145">
        <v>0.02</v>
      </c>
      <c r="D145">
        <v>0.02</v>
      </c>
      <c r="E145">
        <v>140</v>
      </c>
      <c r="F145" t="s">
        <v>3111</v>
      </c>
      <c r="G145" t="s">
        <v>3112</v>
      </c>
    </row>
    <row r="146" spans="1:7" x14ac:dyDescent="0.25">
      <c r="A146" s="16" t="str">
        <f>HYPERLINK("http://amigo.geneontology.org/amigo/term/GO:0010446","GO:0010446")</f>
        <v>GO:0010446</v>
      </c>
      <c r="B146" t="s">
        <v>898</v>
      </c>
      <c r="C146">
        <v>0.02</v>
      </c>
      <c r="D146">
        <v>0.02</v>
      </c>
      <c r="E146">
        <v>3</v>
      </c>
      <c r="F146" t="s">
        <v>603</v>
      </c>
      <c r="G146" t="s">
        <v>3113</v>
      </c>
    </row>
    <row r="147" spans="1:7" x14ac:dyDescent="0.25">
      <c r="A147" s="16" t="str">
        <f>HYPERLINK("http://amigo.geneontology.org/amigo/term/GO:0008219","GO:0008219")</f>
        <v>GO:0008219</v>
      </c>
      <c r="B147" t="s">
        <v>3114</v>
      </c>
      <c r="C147">
        <v>0.02</v>
      </c>
      <c r="D147">
        <v>0.02</v>
      </c>
      <c r="E147">
        <v>28</v>
      </c>
      <c r="F147" t="s">
        <v>2256</v>
      </c>
      <c r="G147" t="s">
        <v>3001</v>
      </c>
    </row>
    <row r="148" spans="1:7" x14ac:dyDescent="0.25">
      <c r="A148" s="16" t="str">
        <f>HYPERLINK("http://amigo.geneontology.org/amigo/term/GO:0033356","GO:0033356")</f>
        <v>GO:0033356</v>
      </c>
      <c r="B148" t="s">
        <v>3115</v>
      </c>
      <c r="C148">
        <v>0.02</v>
      </c>
      <c r="D148">
        <v>0.02</v>
      </c>
      <c r="E148">
        <v>3</v>
      </c>
      <c r="F148" t="s">
        <v>603</v>
      </c>
      <c r="G148" t="s">
        <v>3116</v>
      </c>
    </row>
    <row r="149" spans="1:7" x14ac:dyDescent="0.25">
      <c r="A149" s="16" t="str">
        <f>HYPERLINK("http://amigo.geneontology.org/amigo/term/GO:0002215","GO:0002215")</f>
        <v>GO:0002215</v>
      </c>
      <c r="B149" t="s">
        <v>897</v>
      </c>
      <c r="C149">
        <v>0.02</v>
      </c>
      <c r="D149">
        <v>0.02</v>
      </c>
      <c r="E149">
        <v>3</v>
      </c>
      <c r="F149" t="s">
        <v>603</v>
      </c>
      <c r="G149" t="s">
        <v>3117</v>
      </c>
    </row>
    <row r="150" spans="1:7" x14ac:dyDescent="0.25">
      <c r="A150" s="16" t="str">
        <f>HYPERLINK("http://amigo.geneontology.org/amigo/term/GO:0009450","GO:0009450")</f>
        <v>GO:0009450</v>
      </c>
      <c r="B150" t="s">
        <v>680</v>
      </c>
      <c r="C150">
        <v>0.02</v>
      </c>
      <c r="D150">
        <v>0.02</v>
      </c>
      <c r="E150">
        <v>3</v>
      </c>
      <c r="F150" t="s">
        <v>603</v>
      </c>
      <c r="G150" t="s">
        <v>3118</v>
      </c>
    </row>
    <row r="151" spans="1:7" x14ac:dyDescent="0.25">
      <c r="A151" s="16" t="str">
        <f>HYPERLINK("http://amigo.geneontology.org/amigo/term/GO:0044238","GO:0044238")</f>
        <v>GO:0044238</v>
      </c>
      <c r="B151" t="s">
        <v>759</v>
      </c>
      <c r="C151">
        <v>0.03</v>
      </c>
      <c r="D151">
        <v>0.03</v>
      </c>
      <c r="E151">
        <v>21331</v>
      </c>
      <c r="F151" t="s">
        <v>3119</v>
      </c>
      <c r="G151" t="s">
        <v>3120</v>
      </c>
    </row>
    <row r="152" spans="1:7" x14ac:dyDescent="0.25">
      <c r="A152" s="16" t="str">
        <f>HYPERLINK("http://amigo.geneontology.org/amigo/term/GO:0016108","GO:0016108")</f>
        <v>GO:0016108</v>
      </c>
      <c r="B152" t="s">
        <v>3121</v>
      </c>
      <c r="C152">
        <v>0.03</v>
      </c>
      <c r="D152">
        <v>0.04</v>
      </c>
      <c r="E152">
        <v>39</v>
      </c>
      <c r="F152" t="s">
        <v>1750</v>
      </c>
      <c r="G152" t="s">
        <v>3122</v>
      </c>
    </row>
    <row r="153" spans="1:7" x14ac:dyDescent="0.25">
      <c r="A153" s="16" t="str">
        <f>HYPERLINK("http://amigo.geneontology.org/amigo/term/GO:0016109","GO:0016109")</f>
        <v>GO:0016109</v>
      </c>
      <c r="B153" t="s">
        <v>3123</v>
      </c>
      <c r="C153">
        <v>0.03</v>
      </c>
      <c r="D153">
        <v>0.03</v>
      </c>
      <c r="E153">
        <v>33</v>
      </c>
      <c r="F153" t="s">
        <v>1758</v>
      </c>
      <c r="G153" t="s">
        <v>3122</v>
      </c>
    </row>
    <row r="154" spans="1:7" x14ac:dyDescent="0.25">
      <c r="A154" s="16" t="str">
        <f>HYPERLINK("http://amigo.geneontology.org/amigo/term/GO:0016116","GO:0016116")</f>
        <v>GO:0016116</v>
      </c>
      <c r="B154" t="s">
        <v>3124</v>
      </c>
      <c r="C154">
        <v>0.03</v>
      </c>
      <c r="D154">
        <v>0.04</v>
      </c>
      <c r="E154">
        <v>39</v>
      </c>
      <c r="F154" t="s">
        <v>1750</v>
      </c>
      <c r="G154" t="s">
        <v>3122</v>
      </c>
    </row>
    <row r="155" spans="1:7" x14ac:dyDescent="0.25">
      <c r="A155" s="16" t="str">
        <f>HYPERLINK("http://amigo.geneontology.org/amigo/term/GO:0016117","GO:0016117")</f>
        <v>GO:0016117</v>
      </c>
      <c r="B155" t="s">
        <v>3125</v>
      </c>
      <c r="C155">
        <v>0.03</v>
      </c>
      <c r="D155">
        <v>0.03</v>
      </c>
      <c r="E155">
        <v>33</v>
      </c>
      <c r="F155" t="s">
        <v>1758</v>
      </c>
      <c r="G155" t="s">
        <v>3122</v>
      </c>
    </row>
    <row r="156" spans="1:7" x14ac:dyDescent="0.25">
      <c r="A156" s="16" t="str">
        <f>HYPERLINK("http://amigo.geneontology.org/amigo/term/GO:0048582","GO:0048582")</f>
        <v>GO:0048582</v>
      </c>
      <c r="B156" t="s">
        <v>3126</v>
      </c>
      <c r="C156">
        <v>0.03</v>
      </c>
      <c r="D156">
        <v>0.03</v>
      </c>
      <c r="E156">
        <v>36</v>
      </c>
      <c r="F156" t="s">
        <v>2622</v>
      </c>
      <c r="G156" t="s">
        <v>2989</v>
      </c>
    </row>
    <row r="157" spans="1:7" x14ac:dyDescent="0.25">
      <c r="A157" s="16" t="str">
        <f>HYPERLINK("http://amigo.geneontology.org/amigo/term/GO:0000910","GO:0000910")</f>
        <v>GO:0000910</v>
      </c>
      <c r="B157" t="s">
        <v>1264</v>
      </c>
      <c r="C157">
        <v>0.03</v>
      </c>
      <c r="D157">
        <v>0.03</v>
      </c>
      <c r="E157">
        <v>34</v>
      </c>
      <c r="F157" t="s">
        <v>1748</v>
      </c>
      <c r="G157" t="s">
        <v>3036</v>
      </c>
    </row>
    <row r="158" spans="1:7" x14ac:dyDescent="0.25">
      <c r="A158" s="16" t="str">
        <f>HYPERLINK("http://amigo.geneontology.org/amigo/term/GO:0009409","GO:0009409")</f>
        <v>GO:0009409</v>
      </c>
      <c r="B158" t="s">
        <v>1005</v>
      </c>
      <c r="C158">
        <v>0.03</v>
      </c>
      <c r="D158">
        <v>0.04</v>
      </c>
      <c r="E158">
        <v>161</v>
      </c>
      <c r="F158" t="s">
        <v>1768</v>
      </c>
      <c r="G158" t="s">
        <v>3127</v>
      </c>
    </row>
    <row r="159" spans="1:7" x14ac:dyDescent="0.25">
      <c r="A159" s="16" t="str">
        <f>HYPERLINK("http://amigo.geneontology.org/amigo/term/GO:0045087","GO:0045087")</f>
        <v>GO:0045087</v>
      </c>
      <c r="B159" t="s">
        <v>3128</v>
      </c>
      <c r="C159">
        <v>0.03</v>
      </c>
      <c r="D159">
        <v>0.04</v>
      </c>
      <c r="E159">
        <v>39</v>
      </c>
      <c r="F159" t="s">
        <v>1750</v>
      </c>
      <c r="G159" t="s">
        <v>3001</v>
      </c>
    </row>
    <row r="160" spans="1:7" x14ac:dyDescent="0.25">
      <c r="A160" s="16" t="str">
        <f>HYPERLINK("http://amigo.geneontology.org/amigo/term/GO:0015698","GO:0015698")</f>
        <v>GO:0015698</v>
      </c>
      <c r="B160" t="s">
        <v>1309</v>
      </c>
      <c r="C160">
        <v>0.03</v>
      </c>
      <c r="D160">
        <v>0.04</v>
      </c>
      <c r="E160">
        <v>161</v>
      </c>
      <c r="F160" t="s">
        <v>1768</v>
      </c>
      <c r="G160" t="s">
        <v>3129</v>
      </c>
    </row>
    <row r="161" spans="1:7" x14ac:dyDescent="0.25">
      <c r="A161" s="16" t="str">
        <f>HYPERLINK("http://amigo.geneontology.org/amigo/term/GO:0009448","GO:0009448")</f>
        <v>GO:0009448</v>
      </c>
      <c r="B161" t="s">
        <v>1093</v>
      </c>
      <c r="C161">
        <v>0.03</v>
      </c>
      <c r="D161">
        <v>0.03</v>
      </c>
      <c r="E161">
        <v>4</v>
      </c>
      <c r="F161" t="s">
        <v>1760</v>
      </c>
      <c r="G161" t="s">
        <v>3118</v>
      </c>
    </row>
    <row r="162" spans="1:7" x14ac:dyDescent="0.25">
      <c r="A162" s="16" t="str">
        <f>HYPERLINK("http://amigo.geneontology.org/amigo/term/GO:0009650","GO:0009650")</f>
        <v>GO:0009650</v>
      </c>
      <c r="B162" t="s">
        <v>3130</v>
      </c>
      <c r="C162">
        <v>0.03</v>
      </c>
      <c r="D162">
        <v>0.03</v>
      </c>
      <c r="E162">
        <v>4</v>
      </c>
      <c r="F162" t="s">
        <v>1760</v>
      </c>
      <c r="G162" t="s">
        <v>3104</v>
      </c>
    </row>
    <row r="163" spans="1:7" x14ac:dyDescent="0.25">
      <c r="A163" s="16" t="str">
        <f>HYPERLINK("http://amigo.geneontology.org/amigo/term/GO:0006658","GO:0006658")</f>
        <v>GO:0006658</v>
      </c>
      <c r="B163" t="s">
        <v>1105</v>
      </c>
      <c r="C163">
        <v>0.04</v>
      </c>
      <c r="D163">
        <v>0.05</v>
      </c>
      <c r="E163">
        <v>6</v>
      </c>
      <c r="F163" t="s">
        <v>1720</v>
      </c>
      <c r="G163" t="s">
        <v>3131</v>
      </c>
    </row>
    <row r="164" spans="1:7" x14ac:dyDescent="0.25">
      <c r="A164" s="16" t="str">
        <f>HYPERLINK("http://amigo.geneontology.org/amigo/term/GO:0006659","GO:0006659")</f>
        <v>GO:0006659</v>
      </c>
      <c r="B164" t="s">
        <v>1106</v>
      </c>
      <c r="C164">
        <v>0.04</v>
      </c>
      <c r="D164">
        <v>0.05</v>
      </c>
      <c r="E164">
        <v>6</v>
      </c>
      <c r="F164" t="s">
        <v>1720</v>
      </c>
      <c r="G164" t="s">
        <v>3131</v>
      </c>
    </row>
    <row r="165" spans="1:7" x14ac:dyDescent="0.25">
      <c r="A165" s="16" t="str">
        <f>HYPERLINK("http://amigo.geneontology.org/amigo/term/GO:0006012","GO:0006012")</f>
        <v>GO:0006012</v>
      </c>
      <c r="B165" t="s">
        <v>1584</v>
      </c>
      <c r="C165">
        <v>0.04</v>
      </c>
      <c r="D165">
        <v>0.04</v>
      </c>
      <c r="E165">
        <v>43</v>
      </c>
      <c r="F165" t="s">
        <v>2540</v>
      </c>
      <c r="G165" t="s">
        <v>3132</v>
      </c>
    </row>
    <row r="166" spans="1:7" x14ac:dyDescent="0.25">
      <c r="A166" s="16" t="str">
        <f>HYPERLINK("http://amigo.geneontology.org/amigo/term/GO:0009268","GO:0009268")</f>
        <v>GO:0009268</v>
      </c>
      <c r="B166" t="s">
        <v>956</v>
      </c>
      <c r="C166">
        <v>0.04</v>
      </c>
      <c r="D166">
        <v>0.05</v>
      </c>
      <c r="E166">
        <v>6</v>
      </c>
      <c r="F166" t="s">
        <v>1720</v>
      </c>
      <c r="G166" t="s">
        <v>3113</v>
      </c>
    </row>
    <row r="167" spans="1:7" x14ac:dyDescent="0.25">
      <c r="A167" s="16" t="str">
        <f>HYPERLINK("http://amigo.geneontology.org/amigo/term/GO:0043289","GO:0043289")</f>
        <v>GO:0043289</v>
      </c>
      <c r="B167" t="s">
        <v>1069</v>
      </c>
      <c r="C167">
        <v>0.04</v>
      </c>
      <c r="D167">
        <v>0.05</v>
      </c>
      <c r="E167">
        <v>6</v>
      </c>
      <c r="F167" t="s">
        <v>1720</v>
      </c>
      <c r="G167" t="s">
        <v>3133</v>
      </c>
    </row>
    <row r="168" spans="1:7" x14ac:dyDescent="0.25">
      <c r="A168" s="16" t="str">
        <f>HYPERLINK("http://amigo.geneontology.org/amigo/term/GO:1902645","GO:1902645")</f>
        <v>GO:1902645</v>
      </c>
      <c r="B168" t="s">
        <v>1070</v>
      </c>
      <c r="C168">
        <v>0.04</v>
      </c>
      <c r="D168">
        <v>0.05</v>
      </c>
      <c r="E168">
        <v>6</v>
      </c>
      <c r="F168" t="s">
        <v>1720</v>
      </c>
      <c r="G168" t="s">
        <v>3133</v>
      </c>
    </row>
    <row r="169" spans="1:7" x14ac:dyDescent="0.25">
      <c r="A169" s="16" t="str">
        <f>HYPERLINK("http://amigo.geneontology.org/amigo/term/GO:0009688","GO:0009688")</f>
        <v>GO:0009688</v>
      </c>
      <c r="B169" t="s">
        <v>1071</v>
      </c>
      <c r="C169">
        <v>0.04</v>
      </c>
      <c r="D169">
        <v>0.05</v>
      </c>
      <c r="E169">
        <v>6</v>
      </c>
      <c r="F169" t="s">
        <v>1720</v>
      </c>
      <c r="G169" t="s">
        <v>3133</v>
      </c>
    </row>
    <row r="170" spans="1:7" x14ac:dyDescent="0.25">
      <c r="A170" s="16" t="str">
        <f>HYPERLINK("http://amigo.geneontology.org/amigo/term/GO:0006955","GO:0006955")</f>
        <v>GO:0006955</v>
      </c>
      <c r="B170" t="s">
        <v>3134</v>
      </c>
      <c r="C170">
        <v>0.04</v>
      </c>
      <c r="D170">
        <v>0.04</v>
      </c>
      <c r="E170">
        <v>41</v>
      </c>
      <c r="F170" t="s">
        <v>3135</v>
      </c>
      <c r="G170" t="s">
        <v>3001</v>
      </c>
    </row>
    <row r="171" spans="1:7" x14ac:dyDescent="0.25">
      <c r="A171" s="16" t="str">
        <f>HYPERLINK("http://amigo.geneontology.org/amigo/term/GO:0015939","GO:0015939")</f>
        <v>GO:0015939</v>
      </c>
      <c r="B171" t="s">
        <v>1657</v>
      </c>
      <c r="C171">
        <v>0.04</v>
      </c>
      <c r="D171">
        <v>0.05</v>
      </c>
      <c r="E171">
        <v>6</v>
      </c>
      <c r="F171" t="s">
        <v>1720</v>
      </c>
      <c r="G171" t="s">
        <v>3136</v>
      </c>
    </row>
    <row r="172" spans="1:7" x14ac:dyDescent="0.25">
      <c r="A172" s="16" t="str">
        <f>HYPERLINK("http://amigo.geneontology.org/amigo/term/GO:0015940","GO:0015940")</f>
        <v>GO:0015940</v>
      </c>
      <c r="B172" t="s">
        <v>1658</v>
      </c>
      <c r="C172">
        <v>0.04</v>
      </c>
      <c r="D172">
        <v>0.05</v>
      </c>
      <c r="E172">
        <v>6</v>
      </c>
      <c r="F172" t="s">
        <v>1720</v>
      </c>
      <c r="G172" t="s">
        <v>3136</v>
      </c>
    </row>
    <row r="173" spans="1:7" x14ac:dyDescent="0.25">
      <c r="A173" s="16" t="str">
        <f>HYPERLINK("http://amigo.geneontology.org/amigo/term/GO:0009086","GO:0009086")</f>
        <v>GO:0009086</v>
      </c>
      <c r="B173" t="s">
        <v>3137</v>
      </c>
      <c r="C173">
        <v>0.04</v>
      </c>
      <c r="D173">
        <v>0.04</v>
      </c>
      <c r="E173">
        <v>42</v>
      </c>
      <c r="F173" t="s">
        <v>2687</v>
      </c>
      <c r="G173" t="s">
        <v>3138</v>
      </c>
    </row>
    <row r="174" spans="1:7" x14ac:dyDescent="0.25">
      <c r="A174" s="16" t="str">
        <f>HYPERLINK("http://amigo.geneontology.org/amigo/term/GO:0062034","GO:0062034")</f>
        <v>GO:0062034</v>
      </c>
      <c r="B174" t="s">
        <v>3139</v>
      </c>
      <c r="C174">
        <v>0.04</v>
      </c>
      <c r="D174">
        <v>0.04</v>
      </c>
      <c r="E174">
        <v>5</v>
      </c>
      <c r="F174" t="s">
        <v>1732</v>
      </c>
      <c r="G174" t="s">
        <v>3140</v>
      </c>
    </row>
    <row r="175" spans="1:7" x14ac:dyDescent="0.25">
      <c r="A175" s="16" t="str">
        <f>HYPERLINK("http://amigo.geneontology.org/amigo/term/GO:0009765","GO:0009765")</f>
        <v>GO:0009765</v>
      </c>
      <c r="B175" t="s">
        <v>948</v>
      </c>
      <c r="C175">
        <v>0.04</v>
      </c>
      <c r="D175">
        <v>0.04</v>
      </c>
      <c r="E175">
        <v>99</v>
      </c>
      <c r="F175" t="s">
        <v>1756</v>
      </c>
      <c r="G175" t="s">
        <v>3141</v>
      </c>
    </row>
    <row r="176" spans="1:7" x14ac:dyDescent="0.25">
      <c r="A176" s="16" t="str">
        <f>HYPERLINK("http://amigo.geneontology.org/amigo/term/GO:0031407","GO:0031407")</f>
        <v>GO:0031407</v>
      </c>
      <c r="B176" t="s">
        <v>3142</v>
      </c>
      <c r="C176">
        <v>0.04</v>
      </c>
      <c r="D176">
        <v>0.04</v>
      </c>
      <c r="E176">
        <v>43</v>
      </c>
      <c r="F176" t="s">
        <v>2540</v>
      </c>
      <c r="G176" t="s">
        <v>3143</v>
      </c>
    </row>
    <row r="177" spans="1:7" x14ac:dyDescent="0.25">
      <c r="A177" s="16" t="str">
        <f>HYPERLINK("http://amigo.geneontology.org/amigo/term/GO:0031408","GO:0031408")</f>
        <v>GO:0031408</v>
      </c>
      <c r="B177" t="s">
        <v>3144</v>
      </c>
      <c r="C177">
        <v>0.04</v>
      </c>
      <c r="D177">
        <v>0.04</v>
      </c>
      <c r="E177">
        <v>42</v>
      </c>
      <c r="F177" t="s">
        <v>2687</v>
      </c>
      <c r="G177" t="s">
        <v>3143</v>
      </c>
    </row>
    <row r="178" spans="1:7" x14ac:dyDescent="0.25">
      <c r="A178" s="16" t="str">
        <f>HYPERLINK("http://amigo.geneontology.org/amigo/term/GO:0006290","GO:0006290")</f>
        <v>GO:0006290</v>
      </c>
      <c r="B178" t="s">
        <v>3145</v>
      </c>
      <c r="C178">
        <v>0.04</v>
      </c>
      <c r="D178">
        <v>0.04</v>
      </c>
      <c r="E178">
        <v>5</v>
      </c>
      <c r="F178" t="s">
        <v>1732</v>
      </c>
      <c r="G178" t="s">
        <v>3104</v>
      </c>
    </row>
    <row r="179" spans="1:7" x14ac:dyDescent="0.25">
      <c r="A179" s="16" t="str">
        <f>HYPERLINK("http://amigo.geneontology.org/amigo/term/GO:0030244","GO:0030244")</f>
        <v>GO:0030244</v>
      </c>
      <c r="B179" t="s">
        <v>1146</v>
      </c>
      <c r="C179">
        <v>0.05</v>
      </c>
      <c r="D179">
        <v>0.05</v>
      </c>
      <c r="E179">
        <v>108</v>
      </c>
      <c r="F179" t="s">
        <v>3146</v>
      </c>
      <c r="G179" t="s">
        <v>3147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pane xSplit="2" ySplit="10" topLeftCell="C82" activePane="bottomRight" state="frozen"/>
      <selection pane="topRight" activeCell="C1" sqref="C1"/>
      <selection pane="bottomLeft" activeCell="A11" sqref="A11"/>
      <selection pane="bottomRight" activeCell="A11" sqref="A11:A108"/>
    </sheetView>
  </sheetViews>
  <sheetFormatPr defaultRowHeight="15" x14ac:dyDescent="0.25"/>
  <cols>
    <col min="1" max="1" width="12.42578125" customWidth="1"/>
  </cols>
  <sheetData>
    <row r="1" spans="1:7" x14ac:dyDescent="0.25">
      <c r="A1" t="s">
        <v>0</v>
      </c>
      <c r="B1">
        <v>231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HYPERLINK("http://amigo.geneontology.org/amigo/term/GO:0045454","GO:0045454")</f>
        <v>GO:0045454</v>
      </c>
      <c r="B11" t="s">
        <v>465</v>
      </c>
      <c r="C11" s="1">
        <v>2.3670000000000001E-20</v>
      </c>
      <c r="D11" s="1">
        <v>2.544E-20</v>
      </c>
      <c r="E11">
        <v>317</v>
      </c>
      <c r="F11" t="s">
        <v>3149</v>
      </c>
      <c r="G11" t="s">
        <v>3150</v>
      </c>
    </row>
    <row r="12" spans="1:7" x14ac:dyDescent="0.25">
      <c r="A12" s="16" t="str">
        <f>HYPERLINK("http://amigo.geneontology.org/amigo/term/GO:0019725","GO:0019725")</f>
        <v>GO:0019725</v>
      </c>
      <c r="B12" t="s">
        <v>422</v>
      </c>
      <c r="C12" s="1">
        <v>5.9660000000000005E-17</v>
      </c>
      <c r="D12" s="1">
        <v>6.4089999999999997E-17</v>
      </c>
      <c r="E12">
        <v>474</v>
      </c>
      <c r="F12" t="s">
        <v>3151</v>
      </c>
      <c r="G12" t="s">
        <v>3150</v>
      </c>
    </row>
    <row r="13" spans="1:7" x14ac:dyDescent="0.25">
      <c r="A13" s="16" t="str">
        <f>HYPERLINK("http://amigo.geneontology.org/amigo/term/GO:0042592","GO:0042592")</f>
        <v>GO:0042592</v>
      </c>
      <c r="B13" t="s">
        <v>605</v>
      </c>
      <c r="C13" s="1">
        <v>2.1129999999999998E-15</v>
      </c>
      <c r="D13" s="1">
        <v>2.269E-15</v>
      </c>
      <c r="E13">
        <v>572</v>
      </c>
      <c r="F13" t="s">
        <v>3152</v>
      </c>
      <c r="G13" t="s">
        <v>3150</v>
      </c>
    </row>
    <row r="14" spans="1:7" x14ac:dyDescent="0.25">
      <c r="A14" s="16" t="str">
        <f>HYPERLINK("http://amigo.geneontology.org/amigo/term/GO:0065008","GO:0065008")</f>
        <v>GO:0065008</v>
      </c>
      <c r="B14" t="s">
        <v>599</v>
      </c>
      <c r="C14" s="1">
        <v>6.2229999999999998E-13</v>
      </c>
      <c r="D14" s="1">
        <v>6.6820000000000002E-13</v>
      </c>
      <c r="E14">
        <v>877</v>
      </c>
      <c r="F14" t="s">
        <v>3153</v>
      </c>
      <c r="G14" t="s">
        <v>3154</v>
      </c>
    </row>
    <row r="15" spans="1:7" x14ac:dyDescent="0.25">
      <c r="A15" s="16" t="str">
        <f>HYPERLINK("http://amigo.geneontology.org/amigo/term/GO:0046156","GO:0046156")</f>
        <v>GO:0046156</v>
      </c>
      <c r="B15" t="s">
        <v>3155</v>
      </c>
      <c r="C15" s="1">
        <v>2.8299999999999999E-8</v>
      </c>
      <c r="D15" s="1">
        <v>3.0379999999999998E-8</v>
      </c>
      <c r="E15">
        <v>3</v>
      </c>
      <c r="F15" t="s">
        <v>2118</v>
      </c>
      <c r="G15" t="s">
        <v>3156</v>
      </c>
    </row>
    <row r="16" spans="1:7" x14ac:dyDescent="0.25">
      <c r="A16" s="16" t="str">
        <f>HYPERLINK("http://amigo.geneontology.org/amigo/term/GO:0019354","GO:0019354")</f>
        <v>GO:0019354</v>
      </c>
      <c r="B16" t="s">
        <v>3157</v>
      </c>
      <c r="C16" s="1">
        <v>2.8299999999999999E-8</v>
      </c>
      <c r="D16" s="1">
        <v>3.0379999999999998E-8</v>
      </c>
      <c r="E16">
        <v>3</v>
      </c>
      <c r="F16" t="s">
        <v>2118</v>
      </c>
      <c r="G16" t="s">
        <v>3156</v>
      </c>
    </row>
    <row r="17" spans="1:7" x14ac:dyDescent="0.25">
      <c r="A17" s="16" t="str">
        <f>HYPERLINK("http://amigo.geneontology.org/amigo/term/GO:0048572","GO:0048572")</f>
        <v>GO:0048572</v>
      </c>
      <c r="B17" t="s">
        <v>3158</v>
      </c>
      <c r="C17" s="1">
        <v>2.8299999999999999E-8</v>
      </c>
      <c r="D17" s="1">
        <v>3.0379999999999998E-8</v>
      </c>
      <c r="E17">
        <v>3</v>
      </c>
      <c r="F17" t="s">
        <v>2118</v>
      </c>
      <c r="G17" t="s">
        <v>3159</v>
      </c>
    </row>
    <row r="18" spans="1:7" x14ac:dyDescent="0.25">
      <c r="A18" s="16" t="str">
        <f>HYPERLINK("http://amigo.geneontology.org/amigo/term/GO:0048576","GO:0048576")</f>
        <v>GO:0048576</v>
      </c>
      <c r="B18" t="s">
        <v>3160</v>
      </c>
      <c r="C18" s="1">
        <v>2.8299999999999999E-8</v>
      </c>
      <c r="D18" s="1">
        <v>3.0379999999999998E-8</v>
      </c>
      <c r="E18">
        <v>3</v>
      </c>
      <c r="F18" t="s">
        <v>2118</v>
      </c>
      <c r="G18" t="s">
        <v>3159</v>
      </c>
    </row>
    <row r="19" spans="1:7" x14ac:dyDescent="0.25">
      <c r="A19" s="16" t="str">
        <f>HYPERLINK("http://amigo.geneontology.org/amigo/term/GO:0009235","GO:0009235")</f>
        <v>GO:0009235</v>
      </c>
      <c r="B19" t="s">
        <v>3161</v>
      </c>
      <c r="C19" s="1">
        <v>2.345E-6</v>
      </c>
      <c r="D19" s="1">
        <v>2.5170000000000002E-6</v>
      </c>
      <c r="E19">
        <v>9</v>
      </c>
      <c r="F19" t="s">
        <v>148</v>
      </c>
      <c r="G19" t="s">
        <v>3156</v>
      </c>
    </row>
    <row r="20" spans="1:7" x14ac:dyDescent="0.25">
      <c r="A20" s="16" t="str">
        <f>HYPERLINK("http://amigo.geneontology.org/amigo/term/GO:0009236","GO:0009236")</f>
        <v>GO:0009236</v>
      </c>
      <c r="B20" t="s">
        <v>3162</v>
      </c>
      <c r="C20" s="1">
        <v>2.345E-6</v>
      </c>
      <c r="D20" s="1">
        <v>2.5170000000000002E-6</v>
      </c>
      <c r="E20">
        <v>9</v>
      </c>
      <c r="F20" t="s">
        <v>148</v>
      </c>
      <c r="G20" t="s">
        <v>3156</v>
      </c>
    </row>
    <row r="21" spans="1:7" x14ac:dyDescent="0.25">
      <c r="A21" s="16" t="str">
        <f>HYPERLINK("http://amigo.geneontology.org/amigo/term/GO:0048571","GO:0048571")</f>
        <v>GO:0048571</v>
      </c>
      <c r="B21" t="s">
        <v>3163</v>
      </c>
      <c r="C21" s="1">
        <v>2.345E-6</v>
      </c>
      <c r="D21" s="1">
        <v>2.5170000000000002E-6</v>
      </c>
      <c r="E21">
        <v>9</v>
      </c>
      <c r="F21" t="s">
        <v>148</v>
      </c>
      <c r="G21" t="s">
        <v>3159</v>
      </c>
    </row>
    <row r="22" spans="1:7" x14ac:dyDescent="0.25">
      <c r="A22" s="16" t="str">
        <f>HYPERLINK("http://amigo.geneontology.org/amigo/term/GO:0048587","GO:0048587")</f>
        <v>GO:0048587</v>
      </c>
      <c r="B22" t="s">
        <v>3164</v>
      </c>
      <c r="C22" s="1">
        <v>6.1E-6</v>
      </c>
      <c r="D22" s="1">
        <v>6.545E-6</v>
      </c>
      <c r="E22">
        <v>12</v>
      </c>
      <c r="F22" t="s">
        <v>194</v>
      </c>
      <c r="G22" t="s">
        <v>3159</v>
      </c>
    </row>
    <row r="23" spans="1:7" x14ac:dyDescent="0.25">
      <c r="A23" s="16" t="str">
        <f>HYPERLINK("http://amigo.geneontology.org/amigo/term/GO:0048579","GO:0048579")</f>
        <v>GO:0048579</v>
      </c>
      <c r="B23" t="s">
        <v>3165</v>
      </c>
      <c r="C23" s="1">
        <v>2.6440000000000001E-5</v>
      </c>
      <c r="D23" s="1">
        <v>2.8370000000000001E-5</v>
      </c>
      <c r="E23">
        <v>19</v>
      </c>
      <c r="F23" t="s">
        <v>299</v>
      </c>
      <c r="G23" t="s">
        <v>3159</v>
      </c>
    </row>
    <row r="24" spans="1:7" x14ac:dyDescent="0.25">
      <c r="A24" s="16" t="str">
        <f>HYPERLINK("http://amigo.geneontology.org/amigo/term/GO:0005975","GO:0005975")</f>
        <v>GO:0005975</v>
      </c>
      <c r="B24" t="s">
        <v>295</v>
      </c>
      <c r="C24" s="1">
        <v>3.1229999999999997E-5</v>
      </c>
      <c r="D24" s="1">
        <v>3.3500000000000001E-5</v>
      </c>
      <c r="E24">
        <v>2685</v>
      </c>
      <c r="F24" t="s">
        <v>3166</v>
      </c>
      <c r="G24" t="s">
        <v>3167</v>
      </c>
    </row>
    <row r="25" spans="1:7" x14ac:dyDescent="0.25">
      <c r="A25" s="16" t="str">
        <f>HYPERLINK("http://amigo.geneontology.org/amigo/term/GO:0009648","GO:0009648")</f>
        <v>GO:0009648</v>
      </c>
      <c r="B25" t="s">
        <v>3168</v>
      </c>
      <c r="C25" s="1">
        <v>4.7899999999999999E-5</v>
      </c>
      <c r="D25" s="1">
        <v>5.1360000000000003E-5</v>
      </c>
      <c r="E25">
        <v>23</v>
      </c>
      <c r="F25" t="s">
        <v>3169</v>
      </c>
      <c r="G25" t="s">
        <v>3159</v>
      </c>
    </row>
    <row r="26" spans="1:7" x14ac:dyDescent="0.25">
      <c r="A26" s="16" t="str">
        <f>HYPERLINK("http://amigo.geneontology.org/amigo/term/GO:0018904","GO:0018904")</f>
        <v>GO:0018904</v>
      </c>
      <c r="B26" t="s">
        <v>3170</v>
      </c>
      <c r="C26" s="1">
        <v>4.9990000000000001E-5</v>
      </c>
      <c r="D26" s="1">
        <v>5.359E-5</v>
      </c>
      <c r="E26">
        <v>65</v>
      </c>
      <c r="F26" t="s">
        <v>3171</v>
      </c>
      <c r="G26" t="s">
        <v>3172</v>
      </c>
    </row>
    <row r="27" spans="1:7" x14ac:dyDescent="0.25">
      <c r="A27" s="16" t="str">
        <f>HYPERLINK("http://amigo.geneontology.org/amigo/term/GO:0006662","GO:0006662")</f>
        <v>GO:0006662</v>
      </c>
      <c r="B27" t="s">
        <v>3173</v>
      </c>
      <c r="C27" s="1">
        <v>4.9990000000000001E-5</v>
      </c>
      <c r="D27" s="1">
        <v>5.359E-5</v>
      </c>
      <c r="E27">
        <v>65</v>
      </c>
      <c r="F27" t="s">
        <v>3171</v>
      </c>
      <c r="G27" t="s">
        <v>3172</v>
      </c>
    </row>
    <row r="28" spans="1:7" x14ac:dyDescent="0.25">
      <c r="A28" s="16" t="str">
        <f>HYPERLINK("http://amigo.geneontology.org/amigo/term/GO:2000243","GO:2000243")</f>
        <v>GO:2000243</v>
      </c>
      <c r="B28" t="s">
        <v>3174</v>
      </c>
      <c r="C28" s="1">
        <v>6.9839999999999995E-5</v>
      </c>
      <c r="D28" s="1">
        <v>7.4850000000000003E-5</v>
      </c>
      <c r="E28">
        <v>26</v>
      </c>
      <c r="F28" t="s">
        <v>1893</v>
      </c>
      <c r="G28" t="s">
        <v>3159</v>
      </c>
    </row>
    <row r="29" spans="1:7" x14ac:dyDescent="0.25">
      <c r="A29" s="16" t="str">
        <f>HYPERLINK("http://amigo.geneontology.org/amigo/term/GO:0048582","GO:0048582")</f>
        <v>GO:0048582</v>
      </c>
      <c r="B29" t="s">
        <v>3126</v>
      </c>
      <c r="C29" s="1">
        <v>1.875E-4</v>
      </c>
      <c r="D29" s="1">
        <v>2.009E-4</v>
      </c>
      <c r="E29">
        <v>36</v>
      </c>
      <c r="F29" t="s">
        <v>506</v>
      </c>
      <c r="G29" t="s">
        <v>3159</v>
      </c>
    </row>
    <row r="30" spans="1:7" x14ac:dyDescent="0.25">
      <c r="A30" s="16" t="str">
        <f>HYPERLINK("http://amigo.geneontology.org/amigo/term/GO:0048586","GO:0048586")</f>
        <v>GO:0048586</v>
      </c>
      <c r="B30" t="s">
        <v>3175</v>
      </c>
      <c r="C30" s="1">
        <v>2.0359999999999999E-4</v>
      </c>
      <c r="D30" s="1">
        <v>2.1809999999999999E-4</v>
      </c>
      <c r="E30">
        <v>37</v>
      </c>
      <c r="F30" t="s">
        <v>497</v>
      </c>
      <c r="G30" t="s">
        <v>3159</v>
      </c>
    </row>
    <row r="31" spans="1:7" x14ac:dyDescent="0.25">
      <c r="A31" s="16" t="str">
        <f>HYPERLINK("http://amigo.geneontology.org/amigo/term/GO:0048268","GO:0048268")</f>
        <v>GO:0048268</v>
      </c>
      <c r="B31" t="s">
        <v>3176</v>
      </c>
      <c r="C31" s="1">
        <v>2.5710000000000002E-4</v>
      </c>
      <c r="D31" s="1">
        <v>2.7540000000000003E-4</v>
      </c>
      <c r="E31">
        <v>40</v>
      </c>
      <c r="F31" t="s">
        <v>458</v>
      </c>
      <c r="G31" t="s">
        <v>3177</v>
      </c>
    </row>
    <row r="32" spans="1:7" x14ac:dyDescent="0.25">
      <c r="A32" s="16" t="str">
        <f>HYPERLINK("http://amigo.geneontology.org/amigo/term/GO:2000242","GO:2000242")</f>
        <v>GO:2000242</v>
      </c>
      <c r="B32" t="s">
        <v>1589</v>
      </c>
      <c r="C32" s="1">
        <v>2.5710000000000002E-4</v>
      </c>
      <c r="D32" s="1">
        <v>2.7540000000000003E-4</v>
      </c>
      <c r="E32">
        <v>40</v>
      </c>
      <c r="F32" t="s">
        <v>458</v>
      </c>
      <c r="G32" t="s">
        <v>3159</v>
      </c>
    </row>
    <row r="33" spans="1:7" x14ac:dyDescent="0.25">
      <c r="A33" s="16" t="str">
        <f>HYPERLINK("http://amigo.geneontology.org/amigo/term/GO:0048581","GO:0048581")</f>
        <v>GO:0048581</v>
      </c>
      <c r="B33" t="s">
        <v>1562</v>
      </c>
      <c r="C33" s="1">
        <v>2.9740000000000002E-4</v>
      </c>
      <c r="D33" s="1">
        <v>3.1849999999999999E-4</v>
      </c>
      <c r="E33">
        <v>42</v>
      </c>
      <c r="F33" t="s">
        <v>480</v>
      </c>
      <c r="G33" t="s">
        <v>3159</v>
      </c>
    </row>
    <row r="34" spans="1:7" x14ac:dyDescent="0.25">
      <c r="A34" s="16" t="str">
        <f>HYPERLINK("http://amigo.geneontology.org/amigo/term/GO:0006783","GO:0006783")</f>
        <v>GO:0006783</v>
      </c>
      <c r="B34" t="s">
        <v>3178</v>
      </c>
      <c r="C34" s="1">
        <v>4.1540000000000001E-4</v>
      </c>
      <c r="D34" s="1">
        <v>4.4470000000000002E-4</v>
      </c>
      <c r="E34">
        <v>47</v>
      </c>
      <c r="F34" t="s">
        <v>539</v>
      </c>
      <c r="G34" t="s">
        <v>3156</v>
      </c>
    </row>
    <row r="35" spans="1:7" x14ac:dyDescent="0.25">
      <c r="A35" s="16" t="str">
        <f>HYPERLINK("http://amigo.geneontology.org/amigo/term/GO:0015977","GO:0015977")</f>
        <v>GO:0015977</v>
      </c>
      <c r="B35" t="s">
        <v>1095</v>
      </c>
      <c r="C35" s="1">
        <v>5.287E-4</v>
      </c>
      <c r="D35" s="1">
        <v>5.6590000000000004E-4</v>
      </c>
      <c r="E35">
        <v>51</v>
      </c>
      <c r="F35" t="s">
        <v>3179</v>
      </c>
      <c r="G35" t="s">
        <v>3180</v>
      </c>
    </row>
    <row r="36" spans="1:7" x14ac:dyDescent="0.25">
      <c r="A36" s="16" t="str">
        <f>HYPERLINK("http://amigo.geneontology.org/amigo/term/GO:0051240","GO:0051240")</f>
        <v>GO:0051240</v>
      </c>
      <c r="B36" t="s">
        <v>3181</v>
      </c>
      <c r="C36" s="1">
        <v>5.287E-4</v>
      </c>
      <c r="D36" s="1">
        <v>5.6590000000000004E-4</v>
      </c>
      <c r="E36">
        <v>51</v>
      </c>
      <c r="F36" t="s">
        <v>3179</v>
      </c>
      <c r="G36" t="s">
        <v>3159</v>
      </c>
    </row>
    <row r="37" spans="1:7" x14ac:dyDescent="0.25">
      <c r="A37" s="16" t="str">
        <f>HYPERLINK("http://amigo.geneontology.org/amigo/term/GO:0044283","GO:0044283")</f>
        <v>GO:0044283</v>
      </c>
      <c r="B37" t="s">
        <v>90</v>
      </c>
      <c r="C37" s="1">
        <v>6.5430000000000002E-4</v>
      </c>
      <c r="D37" s="1">
        <v>7.002E-4</v>
      </c>
      <c r="E37">
        <v>1101</v>
      </c>
      <c r="F37" t="s">
        <v>3182</v>
      </c>
      <c r="G37" t="s">
        <v>3183</v>
      </c>
    </row>
    <row r="38" spans="1:7" x14ac:dyDescent="0.25">
      <c r="A38" s="16" t="str">
        <f>HYPERLINK("http://amigo.geneontology.org/amigo/term/GO:0008652","GO:0008652")</f>
        <v>GO:0008652</v>
      </c>
      <c r="B38" t="s">
        <v>350</v>
      </c>
      <c r="C38" s="1">
        <v>6.5620000000000001E-4</v>
      </c>
      <c r="D38" s="1">
        <v>7.0209999999999999E-4</v>
      </c>
      <c r="E38">
        <v>338</v>
      </c>
      <c r="F38" t="s">
        <v>3184</v>
      </c>
      <c r="G38" t="s">
        <v>3185</v>
      </c>
    </row>
    <row r="39" spans="1:7" x14ac:dyDescent="0.25">
      <c r="A39" s="16" t="str">
        <f>HYPERLINK("http://amigo.geneontology.org/amigo/term/GO:2000028","GO:2000028")</f>
        <v>GO:2000028</v>
      </c>
      <c r="B39" t="s">
        <v>3186</v>
      </c>
      <c r="C39" s="1">
        <v>6.9589999999999995E-4</v>
      </c>
      <c r="D39" s="1">
        <v>7.4430000000000004E-4</v>
      </c>
      <c r="E39">
        <v>56</v>
      </c>
      <c r="F39" t="s">
        <v>1795</v>
      </c>
      <c r="G39" t="s">
        <v>3159</v>
      </c>
    </row>
    <row r="40" spans="1:7" x14ac:dyDescent="0.25">
      <c r="A40" s="16" t="str">
        <f>HYPERLINK("http://amigo.geneontology.org/amigo/term/GO:0042168","GO:0042168")</f>
        <v>GO:0042168</v>
      </c>
      <c r="B40" t="s">
        <v>3187</v>
      </c>
      <c r="C40" s="1">
        <v>7.3289999999999998E-4</v>
      </c>
      <c r="D40" s="1">
        <v>7.8370000000000002E-4</v>
      </c>
      <c r="E40">
        <v>57</v>
      </c>
      <c r="F40" t="s">
        <v>1792</v>
      </c>
      <c r="G40" t="s">
        <v>3156</v>
      </c>
    </row>
    <row r="41" spans="1:7" x14ac:dyDescent="0.25">
      <c r="A41" s="16" t="str">
        <f>HYPERLINK("http://amigo.geneontology.org/amigo/term/GO:0051094","GO:0051094")</f>
        <v>GO:0051094</v>
      </c>
      <c r="B41" t="s">
        <v>3188</v>
      </c>
      <c r="C41" s="1">
        <v>7.7110000000000004E-4</v>
      </c>
      <c r="D41" s="1">
        <v>8.2439999999999998E-4</v>
      </c>
      <c r="E41">
        <v>58</v>
      </c>
      <c r="F41" t="s">
        <v>3086</v>
      </c>
      <c r="G41" t="s">
        <v>3159</v>
      </c>
    </row>
    <row r="42" spans="1:7" x14ac:dyDescent="0.25">
      <c r="A42" s="16" t="str">
        <f>HYPERLINK("http://amigo.geneontology.org/amigo/term/GO:0051241","GO:0051241")</f>
        <v>GO:0051241</v>
      </c>
      <c r="B42" t="s">
        <v>1320</v>
      </c>
      <c r="C42" s="1">
        <v>8.1059999999999997E-4</v>
      </c>
      <c r="D42" s="1">
        <v>8.6649999999999997E-4</v>
      </c>
      <c r="E42">
        <v>59</v>
      </c>
      <c r="F42" t="s">
        <v>1784</v>
      </c>
      <c r="G42" t="s">
        <v>3159</v>
      </c>
    </row>
    <row r="43" spans="1:7" x14ac:dyDescent="0.25">
      <c r="A43" s="16" t="str">
        <f>HYPERLINK("http://amigo.geneontology.org/amigo/term/GO:0042330","GO:0042330")</f>
        <v>GO:0042330</v>
      </c>
      <c r="B43" t="s">
        <v>939</v>
      </c>
      <c r="C43" s="1">
        <v>9.5390000000000004E-4</v>
      </c>
      <c r="D43" s="1">
        <v>1.0189999999999999E-3</v>
      </c>
      <c r="E43">
        <v>15</v>
      </c>
      <c r="F43" t="s">
        <v>1802</v>
      </c>
      <c r="G43" t="s">
        <v>3189</v>
      </c>
    </row>
    <row r="44" spans="1:7" x14ac:dyDescent="0.25">
      <c r="A44" s="16" t="str">
        <f>HYPERLINK("http://amigo.geneontology.org/amigo/term/GO:0006935","GO:0006935")</f>
        <v>GO:0006935</v>
      </c>
      <c r="B44" t="s">
        <v>940</v>
      </c>
      <c r="C44" s="1">
        <v>9.5390000000000004E-4</v>
      </c>
      <c r="D44" s="1">
        <v>1.0189999999999999E-3</v>
      </c>
      <c r="E44">
        <v>15</v>
      </c>
      <c r="F44" t="s">
        <v>1802</v>
      </c>
      <c r="G44" t="s">
        <v>3189</v>
      </c>
    </row>
    <row r="45" spans="1:7" x14ac:dyDescent="0.25">
      <c r="A45" s="16" t="str">
        <f>HYPERLINK("http://amigo.geneontology.org/amigo/term/GO:0050918","GO:0050918")</f>
        <v>GO:0050918</v>
      </c>
      <c r="B45" t="s">
        <v>941</v>
      </c>
      <c r="C45" s="1">
        <v>9.5390000000000004E-4</v>
      </c>
      <c r="D45" s="1">
        <v>1.0189999999999999E-3</v>
      </c>
      <c r="E45">
        <v>15</v>
      </c>
      <c r="F45" t="s">
        <v>1802</v>
      </c>
      <c r="G45" t="s">
        <v>3189</v>
      </c>
    </row>
    <row r="46" spans="1:7" x14ac:dyDescent="0.25">
      <c r="A46" s="16" t="str">
        <f>HYPERLINK("http://amigo.geneontology.org/amigo/term/GO:0010183","GO:0010183")</f>
        <v>GO:0010183</v>
      </c>
      <c r="B46" t="s">
        <v>942</v>
      </c>
      <c r="C46" s="1">
        <v>9.5390000000000004E-4</v>
      </c>
      <c r="D46" s="1">
        <v>1.0189999999999999E-3</v>
      </c>
      <c r="E46">
        <v>15</v>
      </c>
      <c r="F46" t="s">
        <v>1802</v>
      </c>
      <c r="G46" t="s">
        <v>3189</v>
      </c>
    </row>
    <row r="47" spans="1:7" x14ac:dyDescent="0.25">
      <c r="A47" s="16" t="str">
        <f>HYPERLINK("http://amigo.geneontology.org/amigo/term/GO:0051093","GO:0051093")</f>
        <v>GO:0051093</v>
      </c>
      <c r="B47" t="s">
        <v>1323</v>
      </c>
      <c r="C47" s="1">
        <v>1.0269999999999999E-3</v>
      </c>
      <c r="D47" s="1">
        <v>1.098E-3</v>
      </c>
      <c r="E47">
        <v>64</v>
      </c>
      <c r="F47" t="s">
        <v>2652</v>
      </c>
      <c r="G47" t="s">
        <v>3159</v>
      </c>
    </row>
    <row r="48" spans="1:7" x14ac:dyDescent="0.25">
      <c r="A48" s="16" t="str">
        <f>HYPERLINK("http://amigo.geneontology.org/amigo/term/GO:0010167","GO:0010167")</f>
        <v>GO:0010167</v>
      </c>
      <c r="B48" t="s">
        <v>1142</v>
      </c>
      <c r="C48" s="1">
        <v>1.088E-3</v>
      </c>
      <c r="D48" s="1">
        <v>1.1620000000000001E-3</v>
      </c>
      <c r="E48">
        <v>16</v>
      </c>
      <c r="F48" t="s">
        <v>461</v>
      </c>
      <c r="G48" t="s">
        <v>3190</v>
      </c>
    </row>
    <row r="49" spans="1:7" x14ac:dyDescent="0.25">
      <c r="A49" s="16" t="str">
        <f>HYPERLINK("http://amigo.geneontology.org/amigo/term/GO:0006541","GO:0006541")</f>
        <v>GO:0006541</v>
      </c>
      <c r="B49" t="s">
        <v>1515</v>
      </c>
      <c r="C49" s="1">
        <v>1.503E-3</v>
      </c>
      <c r="D49" s="1">
        <v>1.6050000000000001E-3</v>
      </c>
      <c r="E49">
        <v>73</v>
      </c>
      <c r="F49" t="s">
        <v>2272</v>
      </c>
      <c r="G49" t="s">
        <v>3191</v>
      </c>
    </row>
    <row r="50" spans="1:7" x14ac:dyDescent="0.25">
      <c r="A50" s="16" t="str">
        <f>HYPERLINK("http://amigo.geneontology.org/amigo/term/GO:0006547","GO:0006547")</f>
        <v>GO:0006547</v>
      </c>
      <c r="B50" t="s">
        <v>3192</v>
      </c>
      <c r="C50" s="1">
        <v>1.885E-3</v>
      </c>
      <c r="D50" s="1">
        <v>2.0119999999999999E-3</v>
      </c>
      <c r="E50">
        <v>21</v>
      </c>
      <c r="F50" t="s">
        <v>653</v>
      </c>
      <c r="G50" t="s">
        <v>3193</v>
      </c>
    </row>
    <row r="51" spans="1:7" x14ac:dyDescent="0.25">
      <c r="A51" s="16" t="str">
        <f>HYPERLINK("http://amigo.geneontology.org/amigo/term/GO:0000105","GO:0000105")</f>
        <v>GO:0000105</v>
      </c>
      <c r="B51" t="s">
        <v>3194</v>
      </c>
      <c r="C51" s="1">
        <v>1.885E-3</v>
      </c>
      <c r="D51" s="1">
        <v>2.0119999999999999E-3</v>
      </c>
      <c r="E51">
        <v>21</v>
      </c>
      <c r="F51" t="s">
        <v>653</v>
      </c>
      <c r="G51" t="s">
        <v>3193</v>
      </c>
    </row>
    <row r="52" spans="1:7" x14ac:dyDescent="0.25">
      <c r="A52" s="16" t="str">
        <f>HYPERLINK("http://amigo.geneontology.org/amigo/term/GO:0044281","GO:0044281")</f>
        <v>GO:0044281</v>
      </c>
      <c r="B52" t="s">
        <v>45</v>
      </c>
      <c r="C52" s="1">
        <v>1.9989999999999999E-3</v>
      </c>
      <c r="D52" s="1">
        <v>2.134E-3</v>
      </c>
      <c r="E52">
        <v>3180</v>
      </c>
      <c r="F52" t="s">
        <v>3195</v>
      </c>
      <c r="G52" t="s">
        <v>3196</v>
      </c>
    </row>
    <row r="53" spans="1:7" x14ac:dyDescent="0.25">
      <c r="A53" s="16" t="str">
        <f>HYPERLINK("http://amigo.geneontology.org/amigo/term/GO:1901605","GO:1901605")</f>
        <v>GO:1901605</v>
      </c>
      <c r="B53" t="s">
        <v>81</v>
      </c>
      <c r="C53" s="1">
        <v>2.1129999999999999E-3</v>
      </c>
      <c r="D53" s="1">
        <v>2.2550000000000001E-3</v>
      </c>
      <c r="E53">
        <v>575</v>
      </c>
      <c r="F53" t="s">
        <v>3197</v>
      </c>
      <c r="G53" t="s">
        <v>3198</v>
      </c>
    </row>
    <row r="54" spans="1:7" x14ac:dyDescent="0.25">
      <c r="A54" s="16" t="str">
        <f>HYPERLINK("http://amigo.geneontology.org/amigo/term/GO:1901698","GO:1901698")</f>
        <v>GO:1901698</v>
      </c>
      <c r="B54" t="s">
        <v>760</v>
      </c>
      <c r="C54" s="1">
        <v>2.4020000000000001E-3</v>
      </c>
      <c r="D54" s="1">
        <v>2.5630000000000002E-3</v>
      </c>
      <c r="E54">
        <v>86</v>
      </c>
      <c r="F54" t="s">
        <v>2242</v>
      </c>
      <c r="G54" t="s">
        <v>3199</v>
      </c>
    </row>
    <row r="55" spans="1:7" x14ac:dyDescent="0.25">
      <c r="A55" s="16" t="str">
        <f>HYPERLINK("http://amigo.geneontology.org/amigo/term/GO:0009067","GO:0009067")</f>
        <v>GO:0009067</v>
      </c>
      <c r="B55" t="s">
        <v>3200</v>
      </c>
      <c r="C55" s="1">
        <v>2.5639999999999999E-3</v>
      </c>
      <c r="D55" s="1">
        <v>2.735E-3</v>
      </c>
      <c r="E55">
        <v>88</v>
      </c>
      <c r="F55" t="s">
        <v>2239</v>
      </c>
      <c r="G55" t="s">
        <v>3201</v>
      </c>
    </row>
    <row r="56" spans="1:7" x14ac:dyDescent="0.25">
      <c r="A56" s="16" t="str">
        <f>HYPERLINK("http://amigo.geneontology.org/amigo/term/GO:0009909","GO:0009909")</f>
        <v>GO:0009909</v>
      </c>
      <c r="B56" t="s">
        <v>3202</v>
      </c>
      <c r="C56" s="1">
        <v>3.0899999999999999E-3</v>
      </c>
      <c r="D56" s="1">
        <v>3.2950000000000002E-3</v>
      </c>
      <c r="E56">
        <v>94</v>
      </c>
      <c r="F56" t="s">
        <v>3203</v>
      </c>
      <c r="G56" t="s">
        <v>3159</v>
      </c>
    </row>
    <row r="57" spans="1:7" x14ac:dyDescent="0.25">
      <c r="A57" s="16" t="str">
        <f>HYPERLINK("http://amigo.geneontology.org/amigo/term/GO:0048831","GO:0048831")</f>
        <v>GO:0048831</v>
      </c>
      <c r="B57" t="s">
        <v>3204</v>
      </c>
      <c r="C57" s="1">
        <v>3.4749999999999998E-3</v>
      </c>
      <c r="D57" s="1">
        <v>3.705E-3</v>
      </c>
      <c r="E57">
        <v>98</v>
      </c>
      <c r="F57" t="s">
        <v>3205</v>
      </c>
      <c r="G57" t="s">
        <v>3159</v>
      </c>
    </row>
    <row r="58" spans="1:7" x14ac:dyDescent="0.25">
      <c r="A58" s="16" t="str">
        <f>HYPERLINK("http://amigo.geneontology.org/amigo/term/GO:0046394","GO:0046394")</f>
        <v>GO:0046394</v>
      </c>
      <c r="B58" t="s">
        <v>219</v>
      </c>
      <c r="C58" s="1">
        <v>3.8049999999999998E-3</v>
      </c>
      <c r="D58" s="1">
        <v>4.0559999999999997E-3</v>
      </c>
      <c r="E58">
        <v>812</v>
      </c>
      <c r="F58" t="s">
        <v>3206</v>
      </c>
      <c r="G58" t="s">
        <v>3207</v>
      </c>
    </row>
    <row r="59" spans="1:7" x14ac:dyDescent="0.25">
      <c r="A59" s="16" t="str">
        <f>HYPERLINK("http://amigo.geneontology.org/amigo/term/GO:0006779","GO:0006779")</f>
        <v>GO:0006779</v>
      </c>
      <c r="B59" t="s">
        <v>1467</v>
      </c>
      <c r="C59" s="1">
        <v>3.9950000000000003E-3</v>
      </c>
      <c r="D59" s="1">
        <v>4.2579999999999996E-3</v>
      </c>
      <c r="E59">
        <v>103</v>
      </c>
      <c r="F59" t="s">
        <v>3208</v>
      </c>
      <c r="G59" t="s">
        <v>3156</v>
      </c>
    </row>
    <row r="60" spans="1:7" x14ac:dyDescent="0.25">
      <c r="A60" s="16" t="str">
        <f>HYPERLINK("http://amigo.geneontology.org/amigo/term/GO:0009066","GO:0009066")</f>
        <v>GO:0009066</v>
      </c>
      <c r="B60" t="s">
        <v>3209</v>
      </c>
      <c r="C60" s="1">
        <v>3.9950000000000003E-3</v>
      </c>
      <c r="D60" s="1">
        <v>4.2579999999999996E-3</v>
      </c>
      <c r="E60">
        <v>103</v>
      </c>
      <c r="F60" t="s">
        <v>3208</v>
      </c>
      <c r="G60" t="s">
        <v>3201</v>
      </c>
    </row>
    <row r="61" spans="1:7" x14ac:dyDescent="0.25">
      <c r="A61" s="16" t="str">
        <f>HYPERLINK("http://amigo.geneontology.org/amigo/term/GO:0043094","GO:0043094")</f>
        <v>GO:0043094</v>
      </c>
      <c r="B61" t="s">
        <v>1474</v>
      </c>
      <c r="C61" s="1">
        <v>4.561E-3</v>
      </c>
      <c r="D61" s="1">
        <v>4.8599999999999997E-3</v>
      </c>
      <c r="E61">
        <v>108</v>
      </c>
      <c r="F61" t="s">
        <v>3146</v>
      </c>
      <c r="G61" t="s">
        <v>3210</v>
      </c>
    </row>
    <row r="62" spans="1:7" x14ac:dyDescent="0.25">
      <c r="A62" s="16" t="str">
        <f>HYPERLINK("http://amigo.geneontology.org/amigo/term/GO:0048585","GO:0048585")</f>
        <v>GO:0048585</v>
      </c>
      <c r="B62" t="s">
        <v>827</v>
      </c>
      <c r="C62" s="1">
        <v>5.3010000000000002E-3</v>
      </c>
      <c r="D62" s="1">
        <v>5.6470000000000001E-3</v>
      </c>
      <c r="E62">
        <v>114</v>
      </c>
      <c r="F62" t="s">
        <v>3211</v>
      </c>
      <c r="G62" t="s">
        <v>3159</v>
      </c>
    </row>
    <row r="63" spans="1:7" x14ac:dyDescent="0.25">
      <c r="A63" s="16" t="str">
        <f>HYPERLINK("http://amigo.geneontology.org/amigo/term/GO:0016053","GO:0016053")</f>
        <v>GO:0016053</v>
      </c>
      <c r="B63" t="s">
        <v>188</v>
      </c>
      <c r="C63" s="1">
        <v>5.7840000000000001E-3</v>
      </c>
      <c r="D63" s="1">
        <v>6.1599999999999997E-3</v>
      </c>
      <c r="E63">
        <v>872</v>
      </c>
      <c r="F63" t="s">
        <v>3212</v>
      </c>
      <c r="G63" t="s">
        <v>3207</v>
      </c>
    </row>
    <row r="64" spans="1:7" x14ac:dyDescent="0.25">
      <c r="A64" s="16" t="str">
        <f>HYPERLINK("http://amigo.geneontology.org/amigo/term/GO:0050794","GO:0050794")</f>
        <v>GO:0050794</v>
      </c>
      <c r="B64" t="s">
        <v>879</v>
      </c>
      <c r="C64" s="1">
        <v>6.4190000000000002E-3</v>
      </c>
      <c r="D64" s="1">
        <v>6.8349999999999999E-3</v>
      </c>
      <c r="E64">
        <v>6861</v>
      </c>
      <c r="F64" t="s">
        <v>3213</v>
      </c>
      <c r="G64" t="s">
        <v>3214</v>
      </c>
    </row>
    <row r="65" spans="1:7" x14ac:dyDescent="0.25">
      <c r="A65" s="16" t="str">
        <f>HYPERLINK("http://amigo.geneontology.org/amigo/term/GO:0033014","GO:0033014")</f>
        <v>GO:0033014</v>
      </c>
      <c r="B65" t="s">
        <v>1481</v>
      </c>
      <c r="C65" s="1">
        <v>6.5380000000000004E-3</v>
      </c>
      <c r="D65" s="1">
        <v>6.96E-3</v>
      </c>
      <c r="E65">
        <v>123</v>
      </c>
      <c r="F65" t="s">
        <v>2684</v>
      </c>
      <c r="G65" t="s">
        <v>3156</v>
      </c>
    </row>
    <row r="66" spans="1:7" x14ac:dyDescent="0.25">
      <c r="A66" s="16" t="str">
        <f>HYPERLINK("http://amigo.geneontology.org/amigo/term/GO:0006470","GO:0006470")</f>
        <v>GO:0006470</v>
      </c>
      <c r="B66" t="s">
        <v>3215</v>
      </c>
      <c r="C66" s="1">
        <v>6.6629999999999997E-3</v>
      </c>
      <c r="D66" s="1">
        <v>7.0920000000000002E-3</v>
      </c>
      <c r="E66">
        <v>241</v>
      </c>
      <c r="F66" t="s">
        <v>3216</v>
      </c>
      <c r="G66" t="s">
        <v>3217</v>
      </c>
    </row>
    <row r="67" spans="1:7" x14ac:dyDescent="0.25">
      <c r="A67" s="16" t="str">
        <f>HYPERLINK("http://amigo.geneontology.org/amigo/term/GO:0009853","GO:0009853")</f>
        <v>GO:0009853</v>
      </c>
      <c r="B67" t="s">
        <v>1274</v>
      </c>
      <c r="C67" s="1">
        <v>6.7380000000000001E-3</v>
      </c>
      <c r="D67" s="1">
        <v>7.1700000000000002E-3</v>
      </c>
      <c r="E67">
        <v>40</v>
      </c>
      <c r="F67" t="s">
        <v>2606</v>
      </c>
      <c r="G67" t="s">
        <v>3218</v>
      </c>
    </row>
    <row r="68" spans="1:7" x14ac:dyDescent="0.25">
      <c r="A68" s="16" t="str">
        <f>HYPERLINK("http://amigo.geneontology.org/amigo/term/GO:0048868","GO:0048868")</f>
        <v>GO:0048868</v>
      </c>
      <c r="B68" t="s">
        <v>3219</v>
      </c>
      <c r="C68" s="1">
        <v>8.1069999999999996E-3</v>
      </c>
      <c r="D68" s="1">
        <v>8.6250000000000007E-3</v>
      </c>
      <c r="E68">
        <v>44</v>
      </c>
      <c r="F68" t="s">
        <v>3220</v>
      </c>
      <c r="G68" t="s">
        <v>3189</v>
      </c>
    </row>
    <row r="69" spans="1:7" x14ac:dyDescent="0.25">
      <c r="A69" s="16" t="str">
        <f>HYPERLINK("http://amigo.geneontology.org/amigo/term/GO:0042364","GO:0042364")</f>
        <v>GO:0042364</v>
      </c>
      <c r="B69" t="s">
        <v>3221</v>
      </c>
      <c r="C69" s="1">
        <v>8.2660000000000008E-3</v>
      </c>
      <c r="D69" s="1">
        <v>8.7919999999999995E-3</v>
      </c>
      <c r="E69">
        <v>134</v>
      </c>
      <c r="F69" t="s">
        <v>3222</v>
      </c>
      <c r="G69" t="s">
        <v>3156</v>
      </c>
    </row>
    <row r="70" spans="1:7" x14ac:dyDescent="0.25">
      <c r="A70" s="16" t="str">
        <f>HYPERLINK("http://amigo.geneontology.org/amigo/term/GO:0006767","GO:0006767")</f>
        <v>GO:0006767</v>
      </c>
      <c r="B70" t="s">
        <v>3223</v>
      </c>
      <c r="C70" s="1">
        <v>9.3109999999999998E-3</v>
      </c>
      <c r="D70" s="1">
        <v>9.9010000000000001E-3</v>
      </c>
      <c r="E70">
        <v>140</v>
      </c>
      <c r="F70" t="s">
        <v>3224</v>
      </c>
      <c r="G70" t="s">
        <v>3156</v>
      </c>
    </row>
    <row r="71" spans="1:7" x14ac:dyDescent="0.25">
      <c r="A71" s="16" t="str">
        <f>HYPERLINK("http://amigo.geneontology.org/amigo/term/GO:0006740","GO:0006740")</f>
        <v>GO:0006740</v>
      </c>
      <c r="B71" t="s">
        <v>3225</v>
      </c>
      <c r="C71" s="1">
        <v>9.5899999999999996E-3</v>
      </c>
      <c r="D71">
        <v>0.01</v>
      </c>
      <c r="E71">
        <v>48</v>
      </c>
      <c r="F71" t="s">
        <v>1722</v>
      </c>
      <c r="G71" t="s">
        <v>3226</v>
      </c>
    </row>
    <row r="72" spans="1:7" x14ac:dyDescent="0.25">
      <c r="A72" s="16" t="str">
        <f>HYPERLINK("http://amigo.geneontology.org/amigo/term/GO:0006098","GO:0006098")</f>
        <v>GO:0006098</v>
      </c>
      <c r="B72" t="s">
        <v>3227</v>
      </c>
      <c r="C72" s="1">
        <v>9.5899999999999996E-3</v>
      </c>
      <c r="D72">
        <v>0.01</v>
      </c>
      <c r="E72">
        <v>48</v>
      </c>
      <c r="F72" t="s">
        <v>1722</v>
      </c>
      <c r="G72" t="s">
        <v>3226</v>
      </c>
    </row>
    <row r="73" spans="1:7" x14ac:dyDescent="0.25">
      <c r="A73" s="16" t="str">
        <f>HYPERLINK("http://amigo.geneontology.org/amigo/term/GO:0006778","GO:0006778")</f>
        <v>GO:0006778</v>
      </c>
      <c r="B73" t="s">
        <v>1466</v>
      </c>
      <c r="C73" s="1">
        <v>9.861E-3</v>
      </c>
      <c r="D73">
        <v>0.01</v>
      </c>
      <c r="E73">
        <v>143</v>
      </c>
      <c r="F73" t="s">
        <v>3228</v>
      </c>
      <c r="G73" t="s">
        <v>3156</v>
      </c>
    </row>
    <row r="74" spans="1:7" x14ac:dyDescent="0.25">
      <c r="A74" s="16" t="str">
        <f>HYPERLINK("http://amigo.geneontology.org/amigo/term/GO:0051156","GO:0051156")</f>
        <v>GO:0051156</v>
      </c>
      <c r="B74" t="s">
        <v>3229</v>
      </c>
      <c r="C74" s="1">
        <v>9.9780000000000008E-3</v>
      </c>
      <c r="D74">
        <v>0.01</v>
      </c>
      <c r="E74">
        <v>49</v>
      </c>
      <c r="F74" t="s">
        <v>3230</v>
      </c>
      <c r="G74" t="s">
        <v>3226</v>
      </c>
    </row>
    <row r="75" spans="1:7" x14ac:dyDescent="0.25">
      <c r="A75" s="16" t="str">
        <f>HYPERLINK("http://amigo.geneontology.org/amigo/term/GO:0006766","GO:0006766")</f>
        <v>GO:0006766</v>
      </c>
      <c r="B75" t="s">
        <v>1477</v>
      </c>
      <c r="C75">
        <v>0.01</v>
      </c>
      <c r="D75">
        <v>0.01</v>
      </c>
      <c r="E75">
        <v>160</v>
      </c>
      <c r="F75" t="s">
        <v>2572</v>
      </c>
      <c r="G75" t="s">
        <v>3156</v>
      </c>
    </row>
    <row r="76" spans="1:7" x14ac:dyDescent="0.25">
      <c r="A76" s="16" t="str">
        <f>HYPERLINK("http://amigo.geneontology.org/amigo/term/GO:0033013","GO:0033013")</f>
        <v>GO:0033013</v>
      </c>
      <c r="B76" t="s">
        <v>1478</v>
      </c>
      <c r="C76">
        <v>0.01</v>
      </c>
      <c r="D76">
        <v>0.01</v>
      </c>
      <c r="E76">
        <v>160</v>
      </c>
      <c r="F76" t="s">
        <v>2572</v>
      </c>
      <c r="G76" t="s">
        <v>3156</v>
      </c>
    </row>
    <row r="77" spans="1:7" x14ac:dyDescent="0.25">
      <c r="A77" s="16" t="str">
        <f>HYPERLINK("http://amigo.geneontology.org/amigo/term/GO:0009110","GO:0009110")</f>
        <v>GO:0009110</v>
      </c>
      <c r="B77" t="s">
        <v>1468</v>
      </c>
      <c r="C77">
        <v>0.01</v>
      </c>
      <c r="D77">
        <v>0.01</v>
      </c>
      <c r="E77">
        <v>154</v>
      </c>
      <c r="F77" t="s">
        <v>2571</v>
      </c>
      <c r="G77" t="s">
        <v>3156</v>
      </c>
    </row>
    <row r="78" spans="1:7" x14ac:dyDescent="0.25">
      <c r="A78" s="16" t="str">
        <f>HYPERLINK("http://amigo.geneontology.org/amigo/term/GO:0046148","GO:0046148")</f>
        <v>GO:0046148</v>
      </c>
      <c r="B78" t="s">
        <v>1543</v>
      </c>
      <c r="C78">
        <v>0.01</v>
      </c>
      <c r="D78">
        <v>0.01</v>
      </c>
      <c r="E78">
        <v>148</v>
      </c>
      <c r="F78" t="s">
        <v>3231</v>
      </c>
      <c r="G78" t="s">
        <v>3156</v>
      </c>
    </row>
    <row r="79" spans="1:7" x14ac:dyDescent="0.25">
      <c r="A79" s="16" t="str">
        <f>HYPERLINK("http://amigo.geneontology.org/amigo/term/GO:1901607","GO:1901607")</f>
        <v>GO:1901607</v>
      </c>
      <c r="B79" t="s">
        <v>267</v>
      </c>
      <c r="C79">
        <v>0.01</v>
      </c>
      <c r="D79">
        <v>0.02</v>
      </c>
      <c r="E79">
        <v>303</v>
      </c>
      <c r="F79" t="s">
        <v>3232</v>
      </c>
      <c r="G79" t="s">
        <v>3233</v>
      </c>
    </row>
    <row r="80" spans="1:7" x14ac:dyDescent="0.25">
      <c r="A80" s="16" t="str">
        <f>HYPERLINK("http://amigo.geneontology.org/amigo/term/GO:0009064","GO:0009064")</f>
        <v>GO:0009064</v>
      </c>
      <c r="B80" t="s">
        <v>544</v>
      </c>
      <c r="C80">
        <v>0.01</v>
      </c>
      <c r="D80">
        <v>0.02</v>
      </c>
      <c r="E80">
        <v>164</v>
      </c>
      <c r="F80" t="s">
        <v>3234</v>
      </c>
      <c r="G80" t="s">
        <v>3191</v>
      </c>
    </row>
    <row r="81" spans="1:7" x14ac:dyDescent="0.25">
      <c r="A81" s="16" t="str">
        <f>HYPERLINK("http://amigo.geneontology.org/amigo/term/GO:0005991","GO:0005991")</f>
        <v>GO:0005991</v>
      </c>
      <c r="B81" t="s">
        <v>1342</v>
      </c>
      <c r="C81">
        <v>0.01</v>
      </c>
      <c r="D81">
        <v>0.02</v>
      </c>
      <c r="E81">
        <v>59</v>
      </c>
      <c r="F81" t="s">
        <v>3235</v>
      </c>
      <c r="G81" t="s">
        <v>3236</v>
      </c>
    </row>
    <row r="82" spans="1:7" x14ac:dyDescent="0.25">
      <c r="A82" s="16" t="str">
        <f>HYPERLINK("http://amigo.geneontology.org/amigo/term/GO:0005992","GO:0005992")</f>
        <v>GO:0005992</v>
      </c>
      <c r="B82" t="s">
        <v>1339</v>
      </c>
      <c r="C82">
        <v>0.01</v>
      </c>
      <c r="D82">
        <v>0.01</v>
      </c>
      <c r="E82">
        <v>56</v>
      </c>
      <c r="F82" t="s">
        <v>1718</v>
      </c>
      <c r="G82" t="s">
        <v>3236</v>
      </c>
    </row>
    <row r="83" spans="1:7" x14ac:dyDescent="0.25">
      <c r="A83" s="16" t="str">
        <f>HYPERLINK("http://amigo.geneontology.org/amigo/term/GO:0045892","GO:0045892")</f>
        <v>GO:0045892</v>
      </c>
      <c r="B83" t="s">
        <v>1627</v>
      </c>
      <c r="C83">
        <v>0.01</v>
      </c>
      <c r="D83">
        <v>0.02</v>
      </c>
      <c r="E83">
        <v>166</v>
      </c>
      <c r="F83" t="s">
        <v>2884</v>
      </c>
      <c r="G83" t="s">
        <v>3159</v>
      </c>
    </row>
    <row r="84" spans="1:7" x14ac:dyDescent="0.25">
      <c r="A84" s="16" t="str">
        <f>HYPERLINK("http://amigo.geneontology.org/amigo/term/GO:0048584","GO:0048584")</f>
        <v>GO:0048584</v>
      </c>
      <c r="B84" t="s">
        <v>753</v>
      </c>
      <c r="C84">
        <v>0.01</v>
      </c>
      <c r="D84">
        <v>0.01</v>
      </c>
      <c r="E84">
        <v>148</v>
      </c>
      <c r="F84" t="s">
        <v>3231</v>
      </c>
      <c r="G84" t="s">
        <v>3159</v>
      </c>
    </row>
    <row r="85" spans="1:7" x14ac:dyDescent="0.25">
      <c r="A85" s="16" t="str">
        <f>HYPERLINK("http://amigo.geneontology.org/amigo/term/GO:0050789","GO:0050789")</f>
        <v>GO:0050789</v>
      </c>
      <c r="B85" t="s">
        <v>795</v>
      </c>
      <c r="C85">
        <v>0.02</v>
      </c>
      <c r="D85">
        <v>0.02</v>
      </c>
      <c r="E85">
        <v>7510</v>
      </c>
      <c r="F85" t="s">
        <v>2498</v>
      </c>
      <c r="G85" t="s">
        <v>3214</v>
      </c>
    </row>
    <row r="86" spans="1:7" x14ac:dyDescent="0.25">
      <c r="A86" s="16" t="str">
        <f>HYPERLINK("http://amigo.geneontology.org/amigo/term/GO:0006739","GO:0006739")</f>
        <v>GO:0006739</v>
      </c>
      <c r="B86" t="s">
        <v>3237</v>
      </c>
      <c r="C86">
        <v>0.02</v>
      </c>
      <c r="D86">
        <v>0.02</v>
      </c>
      <c r="E86">
        <v>66</v>
      </c>
      <c r="F86" t="s">
        <v>3238</v>
      </c>
      <c r="G86" t="s">
        <v>3226</v>
      </c>
    </row>
    <row r="87" spans="1:7" x14ac:dyDescent="0.25">
      <c r="A87" s="16" t="str">
        <f>HYPERLINK("http://amigo.geneontology.org/amigo/term/GO:0042440","GO:0042440")</f>
        <v>GO:0042440</v>
      </c>
      <c r="B87" t="s">
        <v>706</v>
      </c>
      <c r="C87">
        <v>0.02</v>
      </c>
      <c r="D87">
        <v>0.02</v>
      </c>
      <c r="E87">
        <v>176</v>
      </c>
      <c r="F87" t="s">
        <v>3239</v>
      </c>
      <c r="G87" t="s">
        <v>3156</v>
      </c>
    </row>
    <row r="88" spans="1:7" x14ac:dyDescent="0.25">
      <c r="A88" s="16" t="str">
        <f>HYPERLINK("http://amigo.geneontology.org/amigo/term/GO:0006520","GO:0006520")</f>
        <v>GO:0006520</v>
      </c>
      <c r="B88" t="s">
        <v>114</v>
      </c>
      <c r="C88">
        <v>0.02</v>
      </c>
      <c r="D88">
        <v>0.02</v>
      </c>
      <c r="E88">
        <v>1067</v>
      </c>
      <c r="F88" t="s">
        <v>3240</v>
      </c>
      <c r="G88" t="s">
        <v>3241</v>
      </c>
    </row>
    <row r="89" spans="1:7" x14ac:dyDescent="0.25">
      <c r="A89" s="16" t="str">
        <f>HYPERLINK("http://amigo.geneontology.org/amigo/term/GO:0046351","GO:0046351")</f>
        <v>GO:0046351</v>
      </c>
      <c r="B89" t="s">
        <v>1355</v>
      </c>
      <c r="C89">
        <v>0.02</v>
      </c>
      <c r="D89">
        <v>0.03</v>
      </c>
      <c r="E89">
        <v>79</v>
      </c>
      <c r="F89" t="s">
        <v>3242</v>
      </c>
      <c r="G89" t="s">
        <v>3236</v>
      </c>
    </row>
    <row r="90" spans="1:7" x14ac:dyDescent="0.25">
      <c r="A90" s="16" t="str">
        <f>HYPERLINK("http://amigo.geneontology.org/amigo/term/GO:2000026","GO:2000026")</f>
        <v>GO:2000026</v>
      </c>
      <c r="B90" t="s">
        <v>1563</v>
      </c>
      <c r="C90">
        <v>0.02</v>
      </c>
      <c r="D90">
        <v>0.02</v>
      </c>
      <c r="E90">
        <v>177</v>
      </c>
      <c r="F90" t="s">
        <v>3243</v>
      </c>
      <c r="G90" t="s">
        <v>3159</v>
      </c>
    </row>
    <row r="91" spans="1:7" x14ac:dyDescent="0.25">
      <c r="A91" s="16" t="str">
        <f>HYPERLINK("http://amigo.geneontology.org/amigo/term/GO:0048580","GO:0048580")</f>
        <v>GO:0048580</v>
      </c>
      <c r="B91" t="s">
        <v>1564</v>
      </c>
      <c r="C91">
        <v>0.02</v>
      </c>
      <c r="D91">
        <v>0.02</v>
      </c>
      <c r="E91">
        <v>177</v>
      </c>
      <c r="F91" t="s">
        <v>3243</v>
      </c>
      <c r="G91" t="s">
        <v>3159</v>
      </c>
    </row>
    <row r="92" spans="1:7" x14ac:dyDescent="0.25">
      <c r="A92" s="16" t="str">
        <f>HYPERLINK("http://amigo.geneontology.org/amigo/term/GO:2000241","GO:2000241")</f>
        <v>GO:2000241</v>
      </c>
      <c r="B92" t="s">
        <v>3244</v>
      </c>
      <c r="C92">
        <v>0.02</v>
      </c>
      <c r="D92">
        <v>0.02</v>
      </c>
      <c r="E92">
        <v>182</v>
      </c>
      <c r="F92" t="s">
        <v>3245</v>
      </c>
      <c r="G92" t="s">
        <v>3159</v>
      </c>
    </row>
    <row r="93" spans="1:7" x14ac:dyDescent="0.25">
      <c r="A93" s="16" t="str">
        <f>HYPERLINK("http://amigo.geneontology.org/amigo/term/GO:0051253","GO:0051253")</f>
        <v>GO:0051253</v>
      </c>
      <c r="B93" t="s">
        <v>1630</v>
      </c>
      <c r="C93">
        <v>0.02</v>
      </c>
      <c r="D93">
        <v>0.02</v>
      </c>
      <c r="E93">
        <v>184</v>
      </c>
      <c r="F93" t="s">
        <v>2880</v>
      </c>
      <c r="G93" t="s">
        <v>3159</v>
      </c>
    </row>
    <row r="94" spans="1:7" x14ac:dyDescent="0.25">
      <c r="A94" s="16" t="str">
        <f>HYPERLINK("http://amigo.geneontology.org/amigo/term/GO:1902679","GO:1902679")</f>
        <v>GO:1902679</v>
      </c>
      <c r="B94" t="s">
        <v>1628</v>
      </c>
      <c r="C94">
        <v>0.02</v>
      </c>
      <c r="D94">
        <v>0.02</v>
      </c>
      <c r="E94">
        <v>169</v>
      </c>
      <c r="F94" t="s">
        <v>2881</v>
      </c>
      <c r="G94" t="s">
        <v>3159</v>
      </c>
    </row>
    <row r="95" spans="1:7" x14ac:dyDescent="0.25">
      <c r="A95" s="16" t="str">
        <f>HYPERLINK("http://amigo.geneontology.org/amigo/term/GO:1903507","GO:1903507")</f>
        <v>GO:1903507</v>
      </c>
      <c r="B95" t="s">
        <v>1629</v>
      </c>
      <c r="C95">
        <v>0.02</v>
      </c>
      <c r="D95">
        <v>0.02</v>
      </c>
      <c r="E95">
        <v>169</v>
      </c>
      <c r="F95" t="s">
        <v>2881</v>
      </c>
      <c r="G95" t="s">
        <v>3159</v>
      </c>
    </row>
    <row r="96" spans="1:7" x14ac:dyDescent="0.25">
      <c r="A96" s="16" t="str">
        <f>HYPERLINK("http://amigo.geneontology.org/amigo/term/GO:0000097","GO:0000097")</f>
        <v>GO:0000097</v>
      </c>
      <c r="B96" t="s">
        <v>1540</v>
      </c>
      <c r="C96">
        <v>0.03</v>
      </c>
      <c r="D96">
        <v>0.03</v>
      </c>
      <c r="E96">
        <v>90</v>
      </c>
      <c r="F96" t="s">
        <v>2851</v>
      </c>
      <c r="G96" t="s">
        <v>3246</v>
      </c>
    </row>
    <row r="97" spans="1:7" x14ac:dyDescent="0.25">
      <c r="A97" s="16" t="str">
        <f>HYPERLINK("http://amigo.geneontology.org/amigo/term/GO:0016311","GO:0016311")</f>
        <v>GO:0016311</v>
      </c>
      <c r="B97" t="s">
        <v>1109</v>
      </c>
      <c r="C97">
        <v>0.03</v>
      </c>
      <c r="D97">
        <v>0.04</v>
      </c>
      <c r="E97">
        <v>392</v>
      </c>
      <c r="F97" t="s">
        <v>2492</v>
      </c>
      <c r="G97" t="s">
        <v>3217</v>
      </c>
    </row>
    <row r="98" spans="1:7" x14ac:dyDescent="0.25">
      <c r="A98" s="16" t="str">
        <f>HYPERLINK("http://amigo.geneontology.org/amigo/term/GO:0046209","GO:0046209")</f>
        <v>GO:0046209</v>
      </c>
      <c r="B98" t="s">
        <v>3247</v>
      </c>
      <c r="C98">
        <v>0.03</v>
      </c>
      <c r="D98">
        <v>0.03</v>
      </c>
      <c r="E98">
        <v>9</v>
      </c>
      <c r="F98" t="s">
        <v>2568</v>
      </c>
      <c r="G98" t="s">
        <v>3248</v>
      </c>
    </row>
    <row r="99" spans="1:7" x14ac:dyDescent="0.25">
      <c r="A99" s="16" t="str">
        <f>HYPERLINK("http://amigo.geneontology.org/amigo/term/GO:0006809","GO:0006809")</f>
        <v>GO:0006809</v>
      </c>
      <c r="B99" t="s">
        <v>3249</v>
      </c>
      <c r="C99">
        <v>0.03</v>
      </c>
      <c r="D99">
        <v>0.03</v>
      </c>
      <c r="E99">
        <v>9</v>
      </c>
      <c r="F99" t="s">
        <v>2568</v>
      </c>
      <c r="G99" t="s">
        <v>3248</v>
      </c>
    </row>
    <row r="100" spans="1:7" x14ac:dyDescent="0.25">
      <c r="A100" s="16" t="str">
        <f>HYPERLINK("http://amigo.geneontology.org/amigo/term/GO:0008643","GO:0008643")</f>
        <v>GO:0008643</v>
      </c>
      <c r="B100" t="s">
        <v>1266</v>
      </c>
      <c r="C100">
        <v>0.03</v>
      </c>
      <c r="D100">
        <v>0.04</v>
      </c>
      <c r="E100">
        <v>95</v>
      </c>
      <c r="F100" t="s">
        <v>3250</v>
      </c>
      <c r="G100" t="s">
        <v>3251</v>
      </c>
    </row>
    <row r="101" spans="1:7" x14ac:dyDescent="0.25">
      <c r="A101" s="16" t="str">
        <f>HYPERLINK("http://amigo.geneontology.org/amigo/term/GO:0051239","GO:0051239")</f>
        <v>GO:0051239</v>
      </c>
      <c r="B101" t="s">
        <v>1352</v>
      </c>
      <c r="C101">
        <v>0.03</v>
      </c>
      <c r="D101">
        <v>0.03</v>
      </c>
      <c r="E101">
        <v>226</v>
      </c>
      <c r="F101" t="s">
        <v>3252</v>
      </c>
      <c r="G101" t="s">
        <v>3159</v>
      </c>
    </row>
    <row r="102" spans="1:7" x14ac:dyDescent="0.25">
      <c r="A102" s="16" t="str">
        <f>HYPERLINK("http://amigo.geneontology.org/amigo/term/GO:0045934","GO:0045934")</f>
        <v>GO:0045934</v>
      </c>
      <c r="B102" t="s">
        <v>1634</v>
      </c>
      <c r="C102">
        <v>0.03</v>
      </c>
      <c r="D102">
        <v>0.03</v>
      </c>
      <c r="E102">
        <v>204</v>
      </c>
      <c r="F102" t="s">
        <v>2873</v>
      </c>
      <c r="G102" t="s">
        <v>3159</v>
      </c>
    </row>
    <row r="103" spans="1:7" x14ac:dyDescent="0.25">
      <c r="A103" s="16" t="str">
        <f>HYPERLINK("http://amigo.geneontology.org/amigo/term/GO:0006082","GO:0006082")</f>
        <v>GO:0006082</v>
      </c>
      <c r="B103" t="s">
        <v>93</v>
      </c>
      <c r="C103">
        <v>0.04</v>
      </c>
      <c r="D103">
        <v>0.04</v>
      </c>
      <c r="E103">
        <v>1975</v>
      </c>
      <c r="F103" t="s">
        <v>2460</v>
      </c>
      <c r="G103" t="s">
        <v>3253</v>
      </c>
    </row>
    <row r="104" spans="1:7" x14ac:dyDescent="0.25">
      <c r="A104" s="16" t="str">
        <f>HYPERLINK("http://amigo.geneontology.org/amigo/term/GO:0043436","GO:0043436")</f>
        <v>GO:0043436</v>
      </c>
      <c r="B104" t="s">
        <v>109</v>
      </c>
      <c r="C104">
        <v>0.04</v>
      </c>
      <c r="D104">
        <v>0.04</v>
      </c>
      <c r="E104">
        <v>1934</v>
      </c>
      <c r="F104" t="s">
        <v>3254</v>
      </c>
      <c r="G104" t="s">
        <v>3253</v>
      </c>
    </row>
    <row r="105" spans="1:7" x14ac:dyDescent="0.25">
      <c r="A105" s="16" t="str">
        <f>HYPERLINK("http://amigo.geneontology.org/amigo/term/GO:0009607","GO:0009607")</f>
        <v>GO:0009607</v>
      </c>
      <c r="B105" t="s">
        <v>740</v>
      </c>
      <c r="C105">
        <v>0.04</v>
      </c>
      <c r="D105">
        <v>0.05</v>
      </c>
      <c r="E105">
        <v>427</v>
      </c>
      <c r="F105" t="s">
        <v>3255</v>
      </c>
      <c r="G105" t="s">
        <v>3256</v>
      </c>
    </row>
    <row r="106" spans="1:7" x14ac:dyDescent="0.25">
      <c r="A106" s="16" t="str">
        <f>HYPERLINK("http://amigo.geneontology.org/amigo/term/GO:0009312","GO:0009312")</f>
        <v>GO:0009312</v>
      </c>
      <c r="B106" t="s">
        <v>1369</v>
      </c>
      <c r="C106">
        <v>0.04</v>
      </c>
      <c r="D106">
        <v>0.04</v>
      </c>
      <c r="E106">
        <v>99</v>
      </c>
      <c r="F106" t="s">
        <v>3257</v>
      </c>
      <c r="G106" t="s">
        <v>3236</v>
      </c>
    </row>
    <row r="107" spans="1:7" x14ac:dyDescent="0.25">
      <c r="A107" s="16" t="str">
        <f>HYPERLINK("http://amigo.geneontology.org/amigo/term/GO:0030968","GO:0030968")</f>
        <v>GO:0030968</v>
      </c>
      <c r="B107" t="s">
        <v>3258</v>
      </c>
      <c r="C107">
        <v>0.04</v>
      </c>
      <c r="D107">
        <v>0.04</v>
      </c>
      <c r="E107">
        <v>14</v>
      </c>
      <c r="F107" t="s">
        <v>2464</v>
      </c>
      <c r="G107" t="s">
        <v>3259</v>
      </c>
    </row>
    <row r="108" spans="1:7" x14ac:dyDescent="0.25">
      <c r="A108" s="16" t="str">
        <f>HYPERLINK("http://amigo.geneontology.org/amigo/term/GO:0045944","GO:0045944")</f>
        <v>GO:0045944</v>
      </c>
      <c r="B108" t="s">
        <v>1076</v>
      </c>
      <c r="C108">
        <v>0.05</v>
      </c>
      <c r="D108">
        <v>0.05</v>
      </c>
      <c r="E108">
        <v>267</v>
      </c>
      <c r="F108" t="s">
        <v>3260</v>
      </c>
      <c r="G108" t="s">
        <v>3261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5" x14ac:dyDescent="0.25"/>
  <cols>
    <col min="1" max="1" width="12.7109375" customWidth="1"/>
  </cols>
  <sheetData>
    <row r="1" spans="1:7" x14ac:dyDescent="0.25">
      <c r="A1" t="s">
        <v>0</v>
      </c>
      <c r="B1">
        <v>1102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HYPERLINK("http://amigo.geneontology.org/amigo/term/GO:0044085","GO:0044085")</f>
        <v>GO:0044085</v>
      </c>
      <c r="B11" t="s">
        <v>20</v>
      </c>
      <c r="C11" s="1">
        <v>1.7780000000000001E-8</v>
      </c>
      <c r="D11" s="1">
        <v>2.1010000000000001E-8</v>
      </c>
      <c r="E11">
        <v>1818</v>
      </c>
      <c r="F11" t="s">
        <v>21</v>
      </c>
      <c r="G11" t="s">
        <v>22</v>
      </c>
    </row>
    <row r="12" spans="1:7" x14ac:dyDescent="0.25">
      <c r="A12" s="16" t="str">
        <f>HYPERLINK("http://amigo.geneontology.org/amigo/term/GO:0006575","GO:0006575")</f>
        <v>GO:0006575</v>
      </c>
      <c r="B12" t="s">
        <v>23</v>
      </c>
      <c r="C12" s="1">
        <v>3.5479999999999997E-8</v>
      </c>
      <c r="D12" s="1">
        <v>4.1920000000000001E-8</v>
      </c>
      <c r="E12">
        <v>464</v>
      </c>
      <c r="F12" t="s">
        <v>24</v>
      </c>
      <c r="G12" t="s">
        <v>25</v>
      </c>
    </row>
    <row r="13" spans="1:7" x14ac:dyDescent="0.25">
      <c r="A13" s="16" t="str">
        <f>HYPERLINK("http://amigo.geneontology.org/amigo/term/GO:0006564","GO:0006564")</f>
        <v>GO:0006564</v>
      </c>
      <c r="B13" t="s">
        <v>26</v>
      </c>
      <c r="C13" s="1">
        <v>6.7539999999999995E-8</v>
      </c>
      <c r="D13" s="1">
        <v>7.9780000000000004E-8</v>
      </c>
      <c r="E13">
        <v>16</v>
      </c>
      <c r="F13" t="s">
        <v>27</v>
      </c>
      <c r="G13" t="s">
        <v>28</v>
      </c>
    </row>
    <row r="14" spans="1:7" x14ac:dyDescent="0.25">
      <c r="A14" s="16" t="str">
        <f>HYPERLINK("http://amigo.geneontology.org/amigo/term/GO:0010410","GO:0010410")</f>
        <v>GO:0010410</v>
      </c>
      <c r="B14" t="s">
        <v>29</v>
      </c>
      <c r="C14" s="1">
        <v>1.044E-7</v>
      </c>
      <c r="D14" s="1">
        <v>1.233E-7</v>
      </c>
      <c r="E14">
        <v>210</v>
      </c>
      <c r="F14" t="s">
        <v>30</v>
      </c>
      <c r="G14" t="s">
        <v>31</v>
      </c>
    </row>
    <row r="15" spans="1:7" x14ac:dyDescent="0.25">
      <c r="A15" s="16" t="str">
        <f>HYPERLINK("http://amigo.geneontology.org/amigo/term/GO:0010383","GO:0010383")</f>
        <v>GO:0010383</v>
      </c>
      <c r="B15" t="s">
        <v>32</v>
      </c>
      <c r="C15" s="1">
        <v>1.7429999999999999E-7</v>
      </c>
      <c r="D15" s="1">
        <v>2.058E-7</v>
      </c>
      <c r="E15">
        <v>218</v>
      </c>
      <c r="F15" t="s">
        <v>33</v>
      </c>
      <c r="G15" t="s">
        <v>31</v>
      </c>
    </row>
    <row r="16" spans="1:7" x14ac:dyDescent="0.25">
      <c r="A16" s="16" t="str">
        <f>HYPERLINK("http://amigo.geneontology.org/amigo/term/GO:0006457","GO:0006457")</f>
        <v>GO:0006457</v>
      </c>
      <c r="B16" t="s">
        <v>34</v>
      </c>
      <c r="C16" s="1">
        <v>5.2030000000000002E-7</v>
      </c>
      <c r="D16" s="1">
        <v>6.1409999999999997E-7</v>
      </c>
      <c r="E16">
        <v>361</v>
      </c>
      <c r="F16" t="s">
        <v>35</v>
      </c>
      <c r="G16" t="s">
        <v>36</v>
      </c>
    </row>
    <row r="17" spans="1:7" x14ac:dyDescent="0.25">
      <c r="A17" s="16" t="str">
        <f>HYPERLINK("http://amigo.geneontology.org/amigo/term/GO:0071840","GO:0071840")</f>
        <v>GO:0071840</v>
      </c>
      <c r="B17" t="s">
        <v>37</v>
      </c>
      <c r="C17" s="1">
        <v>6.1490000000000003E-7</v>
      </c>
      <c r="D17" s="1">
        <v>7.2559999999999999E-7</v>
      </c>
      <c r="E17">
        <v>3537</v>
      </c>
      <c r="F17" t="s">
        <v>38</v>
      </c>
      <c r="G17" t="s">
        <v>39</v>
      </c>
    </row>
    <row r="18" spans="1:7" x14ac:dyDescent="0.25">
      <c r="A18" s="16" t="str">
        <f>HYPERLINK("http://amigo.geneontology.org/amigo/term/GO:0006563","GO:0006563")</f>
        <v>GO:0006563</v>
      </c>
      <c r="B18" t="s">
        <v>40</v>
      </c>
      <c r="C18" s="1">
        <v>1.3799999999999999E-6</v>
      </c>
      <c r="D18" s="1">
        <v>1.6279999999999999E-6</v>
      </c>
      <c r="E18">
        <v>74</v>
      </c>
      <c r="F18" t="s">
        <v>41</v>
      </c>
      <c r="G18" t="s">
        <v>42</v>
      </c>
    </row>
    <row r="19" spans="1:7" x14ac:dyDescent="0.25">
      <c r="A19" s="16" t="str">
        <f>HYPERLINK("http://amigo.geneontology.org/amigo/term/GO:0009070","GO:0009070")</f>
        <v>GO:0009070</v>
      </c>
      <c r="B19" t="s">
        <v>43</v>
      </c>
      <c r="C19" s="1">
        <v>2.1619999999999998E-6</v>
      </c>
      <c r="D19" s="1">
        <v>2.5490000000000001E-6</v>
      </c>
      <c r="E19">
        <v>78</v>
      </c>
      <c r="F19" t="s">
        <v>44</v>
      </c>
      <c r="G19" t="s">
        <v>42</v>
      </c>
    </row>
    <row r="20" spans="1:7" x14ac:dyDescent="0.25">
      <c r="A20" s="16" t="str">
        <f>HYPERLINK("http://amigo.geneontology.org/amigo/term/GO:0044281","GO:0044281")</f>
        <v>GO:0044281</v>
      </c>
      <c r="B20" t="s">
        <v>45</v>
      </c>
      <c r="C20" s="1">
        <v>2.334E-6</v>
      </c>
      <c r="D20" s="1">
        <v>2.7520000000000001E-6</v>
      </c>
      <c r="E20">
        <v>3180</v>
      </c>
      <c r="F20" t="s">
        <v>46</v>
      </c>
      <c r="G20" t="s">
        <v>47</v>
      </c>
    </row>
    <row r="21" spans="1:7" x14ac:dyDescent="0.25">
      <c r="A21" s="16" t="str">
        <f>HYPERLINK("http://amigo.geneontology.org/amigo/term/GO:0006749","GO:0006749")</f>
        <v>GO:0006749</v>
      </c>
      <c r="B21" t="s">
        <v>48</v>
      </c>
      <c r="C21" s="1">
        <v>2.418E-6</v>
      </c>
      <c r="D21" s="1">
        <v>2.8499999999999998E-6</v>
      </c>
      <c r="E21">
        <v>399</v>
      </c>
      <c r="F21" t="s">
        <v>49</v>
      </c>
      <c r="G21" t="s">
        <v>50</v>
      </c>
    </row>
    <row r="22" spans="1:7" x14ac:dyDescent="0.25">
      <c r="A22" s="16" t="str">
        <f>HYPERLINK("http://amigo.geneontology.org/amigo/term/GO:0044036","GO:0044036")</f>
        <v>GO:0044036</v>
      </c>
      <c r="B22" t="s">
        <v>51</v>
      </c>
      <c r="C22" s="1">
        <v>2.8059999999999999E-6</v>
      </c>
      <c r="D22" s="1">
        <v>3.3069999999999998E-6</v>
      </c>
      <c r="E22">
        <v>301</v>
      </c>
      <c r="F22" t="s">
        <v>52</v>
      </c>
      <c r="G22" t="s">
        <v>53</v>
      </c>
    </row>
    <row r="23" spans="1:7" x14ac:dyDescent="0.25">
      <c r="A23" s="16" t="str">
        <f>HYPERLINK("http://amigo.geneontology.org/amigo/term/GO:0034404","GO:0034404")</f>
        <v>GO:0034404</v>
      </c>
      <c r="B23" t="s">
        <v>54</v>
      </c>
      <c r="C23" s="1">
        <v>3.5159999999999999E-6</v>
      </c>
      <c r="D23" s="1">
        <v>4.143E-6</v>
      </c>
      <c r="E23">
        <v>17</v>
      </c>
      <c r="F23" t="s">
        <v>55</v>
      </c>
      <c r="G23" t="s">
        <v>56</v>
      </c>
    </row>
    <row r="24" spans="1:7" x14ac:dyDescent="0.25">
      <c r="A24" s="16" t="str">
        <f>HYPERLINK("http://amigo.geneontology.org/amigo/term/GO:0009163","GO:0009163")</f>
        <v>GO:0009163</v>
      </c>
      <c r="B24" t="s">
        <v>57</v>
      </c>
      <c r="C24" s="1">
        <v>3.5159999999999999E-6</v>
      </c>
      <c r="D24" s="1">
        <v>4.143E-6</v>
      </c>
      <c r="E24">
        <v>17</v>
      </c>
      <c r="F24" t="s">
        <v>55</v>
      </c>
      <c r="G24" t="s">
        <v>56</v>
      </c>
    </row>
    <row r="25" spans="1:7" x14ac:dyDescent="0.25">
      <c r="A25" s="16" t="str">
        <f>HYPERLINK("http://amigo.geneontology.org/amigo/term/GO:0042451","GO:0042451")</f>
        <v>GO:0042451</v>
      </c>
      <c r="B25" t="s">
        <v>58</v>
      </c>
      <c r="C25" s="1">
        <v>3.5159999999999999E-6</v>
      </c>
      <c r="D25" s="1">
        <v>4.143E-6</v>
      </c>
      <c r="E25">
        <v>17</v>
      </c>
      <c r="F25" t="s">
        <v>55</v>
      </c>
      <c r="G25" t="s">
        <v>56</v>
      </c>
    </row>
    <row r="26" spans="1:7" x14ac:dyDescent="0.25">
      <c r="A26" s="16" t="str">
        <f>HYPERLINK("http://amigo.geneontology.org/amigo/term/GO:0042455","GO:0042455")</f>
        <v>GO:0042455</v>
      </c>
      <c r="B26" t="s">
        <v>59</v>
      </c>
      <c r="C26" s="1">
        <v>3.5159999999999999E-6</v>
      </c>
      <c r="D26" s="1">
        <v>4.143E-6</v>
      </c>
      <c r="E26">
        <v>17</v>
      </c>
      <c r="F26" t="s">
        <v>55</v>
      </c>
      <c r="G26" t="s">
        <v>56</v>
      </c>
    </row>
    <row r="27" spans="1:7" x14ac:dyDescent="0.25">
      <c r="A27" s="16" t="str">
        <f>HYPERLINK("http://amigo.geneontology.org/amigo/term/GO:0046129","GO:0046129")</f>
        <v>GO:0046129</v>
      </c>
      <c r="B27" t="s">
        <v>60</v>
      </c>
      <c r="C27" s="1">
        <v>3.5159999999999999E-6</v>
      </c>
      <c r="D27" s="1">
        <v>4.143E-6</v>
      </c>
      <c r="E27">
        <v>17</v>
      </c>
      <c r="F27" t="s">
        <v>55</v>
      </c>
      <c r="G27" t="s">
        <v>56</v>
      </c>
    </row>
    <row r="28" spans="1:7" x14ac:dyDescent="0.25">
      <c r="A28" s="16" t="str">
        <f>HYPERLINK("http://amigo.geneontology.org/amigo/term/GO:0016043","GO:0016043")</f>
        <v>GO:0016043</v>
      </c>
      <c r="B28" t="s">
        <v>61</v>
      </c>
      <c r="C28" s="1">
        <v>3.9400000000000004E-6</v>
      </c>
      <c r="D28" s="1">
        <v>4.6410000000000001E-6</v>
      </c>
      <c r="E28">
        <v>3068</v>
      </c>
      <c r="F28" t="s">
        <v>62</v>
      </c>
      <c r="G28" t="s">
        <v>63</v>
      </c>
    </row>
    <row r="29" spans="1:7" x14ac:dyDescent="0.25">
      <c r="A29" s="16" t="str">
        <f>HYPERLINK("http://amigo.geneontology.org/amigo/term/GO:0022607","GO:0022607")</f>
        <v>GO:0022607</v>
      </c>
      <c r="B29" t="s">
        <v>64</v>
      </c>
      <c r="C29" s="1">
        <v>4.2699999999999998E-6</v>
      </c>
      <c r="D29" s="1">
        <v>5.0289999999999996E-6</v>
      </c>
      <c r="E29">
        <v>1198</v>
      </c>
      <c r="F29" t="s">
        <v>65</v>
      </c>
      <c r="G29" t="s">
        <v>66</v>
      </c>
    </row>
    <row r="30" spans="1:7" x14ac:dyDescent="0.25">
      <c r="A30" s="16" t="str">
        <f>HYPERLINK("http://amigo.geneontology.org/amigo/term/GO:1901659","GO:1901659")</f>
        <v>GO:1901659</v>
      </c>
      <c r="B30" t="s">
        <v>67</v>
      </c>
      <c r="C30" s="1">
        <v>6.4489999999999996E-6</v>
      </c>
      <c r="D30" s="1">
        <v>7.593E-6</v>
      </c>
      <c r="E30">
        <v>19</v>
      </c>
      <c r="F30" t="s">
        <v>68</v>
      </c>
      <c r="G30" t="s">
        <v>56</v>
      </c>
    </row>
    <row r="31" spans="1:7" x14ac:dyDescent="0.25">
      <c r="A31" s="16" t="str">
        <f>HYPERLINK("http://amigo.geneontology.org/amigo/term/GO:0009069","GO:0009069")</f>
        <v>GO:0009069</v>
      </c>
      <c r="B31" t="s">
        <v>69</v>
      </c>
      <c r="C31" s="1">
        <v>9.9410000000000002E-6</v>
      </c>
      <c r="D31" s="1">
        <v>1.17E-5</v>
      </c>
      <c r="E31">
        <v>118</v>
      </c>
      <c r="F31" t="s">
        <v>70</v>
      </c>
      <c r="G31" t="s">
        <v>71</v>
      </c>
    </row>
    <row r="32" spans="1:7" x14ac:dyDescent="0.25">
      <c r="A32" s="16" t="str">
        <f>HYPERLINK("http://amigo.geneontology.org/amigo/term/GO:0010035","GO:0010035")</f>
        <v>GO:0010035</v>
      </c>
      <c r="B32" t="s">
        <v>72</v>
      </c>
      <c r="C32" s="1">
        <v>1.1260000000000001E-5</v>
      </c>
      <c r="D32" s="1">
        <v>1.325E-5</v>
      </c>
      <c r="E32">
        <v>519</v>
      </c>
      <c r="F32" t="s">
        <v>73</v>
      </c>
      <c r="G32" t="s">
        <v>74</v>
      </c>
    </row>
    <row r="33" spans="1:7" x14ac:dyDescent="0.25">
      <c r="A33" s="16" t="str">
        <f>HYPERLINK("http://amigo.geneontology.org/amigo/term/GO:0033108","GO:0033108")</f>
        <v>GO:0033108</v>
      </c>
      <c r="B33" t="s">
        <v>75</v>
      </c>
      <c r="C33" s="1">
        <v>1.2799999999999999E-5</v>
      </c>
      <c r="D33" s="1">
        <v>1.506E-5</v>
      </c>
      <c r="E33">
        <v>36</v>
      </c>
      <c r="F33" t="s">
        <v>76</v>
      </c>
      <c r="G33" t="s">
        <v>77</v>
      </c>
    </row>
    <row r="34" spans="1:7" x14ac:dyDescent="0.25">
      <c r="A34" s="16" t="str">
        <f>HYPERLINK("http://amigo.geneontology.org/amigo/term/GO:0009119","GO:0009119")</f>
        <v>GO:0009119</v>
      </c>
      <c r="B34" t="s">
        <v>78</v>
      </c>
      <c r="C34" s="1">
        <v>1.509E-5</v>
      </c>
      <c r="D34" s="1">
        <v>1.7750000000000001E-5</v>
      </c>
      <c r="E34">
        <v>37</v>
      </c>
      <c r="F34" t="s">
        <v>79</v>
      </c>
      <c r="G34" t="s">
        <v>80</v>
      </c>
    </row>
    <row r="35" spans="1:7" x14ac:dyDescent="0.25">
      <c r="A35" s="16" t="str">
        <f>HYPERLINK("http://amigo.geneontology.org/amigo/term/GO:1901605","GO:1901605")</f>
        <v>GO:1901605</v>
      </c>
      <c r="B35" t="s">
        <v>81</v>
      </c>
      <c r="C35" s="1">
        <v>1.802E-5</v>
      </c>
      <c r="D35" s="1">
        <v>2.1189999999999999E-5</v>
      </c>
      <c r="E35">
        <v>575</v>
      </c>
      <c r="F35" t="s">
        <v>82</v>
      </c>
      <c r="G35" t="s">
        <v>83</v>
      </c>
    </row>
    <row r="36" spans="1:7" x14ac:dyDescent="0.25">
      <c r="A36" s="16" t="str">
        <f>HYPERLINK("http://amigo.geneontology.org/amigo/term/GO:0065003","GO:0065003")</f>
        <v>GO:0065003</v>
      </c>
      <c r="B36" t="s">
        <v>84</v>
      </c>
      <c r="C36" s="1">
        <v>1.808E-5</v>
      </c>
      <c r="D36" s="1">
        <v>2.126E-5</v>
      </c>
      <c r="E36">
        <v>913</v>
      </c>
      <c r="F36" t="s">
        <v>85</v>
      </c>
      <c r="G36" t="s">
        <v>86</v>
      </c>
    </row>
    <row r="37" spans="1:7" x14ac:dyDescent="0.25">
      <c r="A37" s="16" t="str">
        <f>HYPERLINK("http://amigo.geneontology.org/amigo/term/GO:0007005","GO:0007005")</f>
        <v>GO:0007005</v>
      </c>
      <c r="B37" t="s">
        <v>87</v>
      </c>
      <c r="C37" s="1">
        <v>1.9449999999999998E-5</v>
      </c>
      <c r="D37" s="1">
        <v>2.287E-5</v>
      </c>
      <c r="E37">
        <v>184</v>
      </c>
      <c r="F37" t="s">
        <v>88</v>
      </c>
      <c r="G37" t="s">
        <v>89</v>
      </c>
    </row>
    <row r="38" spans="1:7" x14ac:dyDescent="0.25">
      <c r="A38" s="16" t="str">
        <f>HYPERLINK("http://amigo.geneontology.org/amigo/term/GO:0044283","GO:0044283")</f>
        <v>GO:0044283</v>
      </c>
      <c r="B38" t="s">
        <v>90</v>
      </c>
      <c r="C38" s="1">
        <v>2.1229999999999998E-5</v>
      </c>
      <c r="D38" s="1">
        <v>2.495E-5</v>
      </c>
      <c r="E38">
        <v>1101</v>
      </c>
      <c r="F38" t="s">
        <v>91</v>
      </c>
      <c r="G38" t="s">
        <v>92</v>
      </c>
    </row>
    <row r="39" spans="1:7" x14ac:dyDescent="0.25">
      <c r="A39" s="16" t="str">
        <f>HYPERLINK("http://amigo.geneontology.org/amigo/term/GO:0006082","GO:0006082")</f>
        <v>GO:0006082</v>
      </c>
      <c r="B39" t="s">
        <v>93</v>
      </c>
      <c r="C39" s="1">
        <v>2.283E-5</v>
      </c>
      <c r="D39" s="1">
        <v>2.6820000000000001E-5</v>
      </c>
      <c r="E39">
        <v>1975</v>
      </c>
      <c r="F39" t="s">
        <v>94</v>
      </c>
      <c r="G39" t="s">
        <v>95</v>
      </c>
    </row>
    <row r="40" spans="1:7" x14ac:dyDescent="0.25">
      <c r="A40" s="16" t="str">
        <f>HYPERLINK("http://amigo.geneontology.org/amigo/term/GO:0001192","GO:0001192")</f>
        <v>GO:0001192</v>
      </c>
      <c r="B40" t="s">
        <v>96</v>
      </c>
      <c r="C40" s="1">
        <v>3.0369999999999999E-5</v>
      </c>
      <c r="D40" s="1">
        <v>3.5660000000000001E-5</v>
      </c>
      <c r="E40">
        <v>5</v>
      </c>
      <c r="F40" t="s">
        <v>97</v>
      </c>
      <c r="G40" t="s">
        <v>98</v>
      </c>
    </row>
    <row r="41" spans="1:7" x14ac:dyDescent="0.25">
      <c r="A41" s="16" t="str">
        <f>HYPERLINK("http://amigo.geneontology.org/amigo/term/GO:0001193","GO:0001193")</f>
        <v>GO:0001193</v>
      </c>
      <c r="B41" t="s">
        <v>99</v>
      </c>
      <c r="C41" s="1">
        <v>3.0369999999999999E-5</v>
      </c>
      <c r="D41" s="1">
        <v>3.5660000000000001E-5</v>
      </c>
      <c r="E41">
        <v>5</v>
      </c>
      <c r="F41" t="s">
        <v>97</v>
      </c>
      <c r="G41" t="s">
        <v>98</v>
      </c>
    </row>
    <row r="42" spans="1:7" x14ac:dyDescent="0.25">
      <c r="A42" s="16" t="str">
        <f>HYPERLINK("http://amigo.geneontology.org/amigo/term/GO:0042546","GO:0042546")</f>
        <v>GO:0042546</v>
      </c>
      <c r="B42" t="s">
        <v>100</v>
      </c>
      <c r="C42" s="1">
        <v>3.1890000000000001E-5</v>
      </c>
      <c r="D42" s="1">
        <v>3.7450000000000002E-5</v>
      </c>
      <c r="E42">
        <v>327</v>
      </c>
      <c r="F42" t="s">
        <v>101</v>
      </c>
      <c r="G42" t="s">
        <v>102</v>
      </c>
    </row>
    <row r="43" spans="1:7" x14ac:dyDescent="0.25">
      <c r="A43" s="16" t="str">
        <f>HYPERLINK("http://amigo.geneontology.org/amigo/term/GO:0006790","GO:0006790")</f>
        <v>GO:0006790</v>
      </c>
      <c r="B43" t="s">
        <v>103</v>
      </c>
      <c r="C43" s="1">
        <v>3.5639999999999998E-5</v>
      </c>
      <c r="D43" s="1">
        <v>4.1829999999999998E-5</v>
      </c>
      <c r="E43">
        <v>770</v>
      </c>
      <c r="F43" t="s">
        <v>104</v>
      </c>
      <c r="G43" t="s">
        <v>105</v>
      </c>
    </row>
    <row r="44" spans="1:7" x14ac:dyDescent="0.25">
      <c r="A44" s="16" t="str">
        <f>HYPERLINK("http://amigo.geneontology.org/amigo/term/GO:0019752","GO:0019752")</f>
        <v>GO:0019752</v>
      </c>
      <c r="B44" t="s">
        <v>106</v>
      </c>
      <c r="C44" s="1">
        <v>3.9789999999999997E-5</v>
      </c>
      <c r="D44" s="1">
        <v>4.6699999999999997E-5</v>
      </c>
      <c r="E44">
        <v>1916</v>
      </c>
      <c r="F44" t="s">
        <v>107</v>
      </c>
      <c r="G44" t="s">
        <v>108</v>
      </c>
    </row>
    <row r="45" spans="1:7" x14ac:dyDescent="0.25">
      <c r="A45" s="16" t="str">
        <f>HYPERLINK("http://amigo.geneontology.org/amigo/term/GO:0043436","GO:0043436")</f>
        <v>GO:0043436</v>
      </c>
      <c r="B45" t="s">
        <v>109</v>
      </c>
      <c r="C45" s="1">
        <v>5.0290000000000001E-5</v>
      </c>
      <c r="D45" s="1">
        <v>5.9009999999999999E-5</v>
      </c>
      <c r="E45">
        <v>1934</v>
      </c>
      <c r="F45" t="s">
        <v>110</v>
      </c>
      <c r="G45" t="s">
        <v>108</v>
      </c>
    </row>
    <row r="46" spans="1:7" x14ac:dyDescent="0.25">
      <c r="A46" s="16" t="str">
        <f>HYPERLINK("http://amigo.geneontology.org/amigo/term/GO:0035999","GO:0035999")</f>
        <v>GO:0035999</v>
      </c>
      <c r="B46" t="s">
        <v>111</v>
      </c>
      <c r="C46" s="1">
        <v>5.4259999999999999E-5</v>
      </c>
      <c r="D46" s="1">
        <v>6.3650000000000002E-5</v>
      </c>
      <c r="E46">
        <v>15</v>
      </c>
      <c r="F46" t="s">
        <v>112</v>
      </c>
      <c r="G46" t="s">
        <v>113</v>
      </c>
    </row>
    <row r="47" spans="1:7" x14ac:dyDescent="0.25">
      <c r="A47" s="16" t="str">
        <f>HYPERLINK("http://amigo.geneontology.org/amigo/term/GO:0006520","GO:0006520")</f>
        <v>GO:0006520</v>
      </c>
      <c r="B47" t="s">
        <v>114</v>
      </c>
      <c r="C47" s="1">
        <v>6.088E-5</v>
      </c>
      <c r="D47" s="1">
        <v>7.1400000000000001E-5</v>
      </c>
      <c r="E47">
        <v>1067</v>
      </c>
      <c r="F47" t="s">
        <v>115</v>
      </c>
      <c r="G47" t="s">
        <v>116</v>
      </c>
    </row>
    <row r="48" spans="1:7" x14ac:dyDescent="0.25">
      <c r="A48" s="16" t="str">
        <f>HYPERLINK("http://amigo.geneontology.org/amigo/term/GO:0010411","GO:0010411")</f>
        <v>GO:0010411</v>
      </c>
      <c r="B48" t="s">
        <v>117</v>
      </c>
      <c r="C48" s="1">
        <v>7.0209999999999994E-5</v>
      </c>
      <c r="D48" s="1">
        <v>8.2319999999999998E-5</v>
      </c>
      <c r="E48">
        <v>148</v>
      </c>
      <c r="F48" t="s">
        <v>118</v>
      </c>
      <c r="G48" t="s">
        <v>119</v>
      </c>
    </row>
    <row r="49" spans="1:7" x14ac:dyDescent="0.25">
      <c r="A49" s="16" t="str">
        <f>HYPERLINK("http://amigo.geneontology.org/amigo/term/GO:0044264","GO:0044264")</f>
        <v>GO:0044264</v>
      </c>
      <c r="B49" t="s">
        <v>120</v>
      </c>
      <c r="C49" s="1">
        <v>8.5160000000000005E-5</v>
      </c>
      <c r="D49" s="1">
        <v>9.9820000000000003E-5</v>
      </c>
      <c r="E49">
        <v>512</v>
      </c>
      <c r="F49" t="s">
        <v>121</v>
      </c>
      <c r="G49" t="s">
        <v>122</v>
      </c>
    </row>
    <row r="50" spans="1:7" x14ac:dyDescent="0.25">
      <c r="A50" s="16" t="str">
        <f>HYPERLINK("http://amigo.geneontology.org/amigo/term/GO:0043933","GO:0043933")</f>
        <v>GO:0043933</v>
      </c>
      <c r="B50" t="s">
        <v>123</v>
      </c>
      <c r="C50" s="1">
        <v>1.052E-4</v>
      </c>
      <c r="D50" s="1">
        <v>1.2329999999999999E-4</v>
      </c>
      <c r="E50">
        <v>1005</v>
      </c>
      <c r="F50" t="s">
        <v>124</v>
      </c>
      <c r="G50" t="s">
        <v>86</v>
      </c>
    </row>
    <row r="51" spans="1:7" x14ac:dyDescent="0.25">
      <c r="A51" s="16" t="str">
        <f>HYPERLINK("http://amigo.geneontology.org/amigo/term/GO:0042278","GO:0042278")</f>
        <v>GO:0042278</v>
      </c>
      <c r="B51" t="s">
        <v>125</v>
      </c>
      <c r="C51" s="1">
        <v>1.2870000000000001E-4</v>
      </c>
      <c r="D51" s="1">
        <v>1.5080000000000001E-4</v>
      </c>
      <c r="E51">
        <v>34</v>
      </c>
      <c r="F51" t="s">
        <v>126</v>
      </c>
      <c r="G51" t="s">
        <v>56</v>
      </c>
    </row>
    <row r="52" spans="1:7" x14ac:dyDescent="0.25">
      <c r="A52" s="16" t="str">
        <f>HYPERLINK("http://amigo.geneontology.org/amigo/term/GO:0046128","GO:0046128")</f>
        <v>GO:0046128</v>
      </c>
      <c r="B52" t="s">
        <v>127</v>
      </c>
      <c r="C52" s="1">
        <v>1.2870000000000001E-4</v>
      </c>
      <c r="D52" s="1">
        <v>1.5080000000000001E-4</v>
      </c>
      <c r="E52">
        <v>34</v>
      </c>
      <c r="F52" t="s">
        <v>126</v>
      </c>
      <c r="G52" t="s">
        <v>56</v>
      </c>
    </row>
    <row r="53" spans="1:7" x14ac:dyDescent="0.25">
      <c r="A53" s="16" t="str">
        <f>HYPERLINK("http://amigo.geneontology.org/amigo/term/GO:0034622","GO:0034622")</f>
        <v>GO:0034622</v>
      </c>
      <c r="B53" t="s">
        <v>128</v>
      </c>
      <c r="C53" s="1">
        <v>1.5190000000000001E-4</v>
      </c>
      <c r="D53" s="1">
        <v>1.7789999999999999E-4</v>
      </c>
      <c r="E53">
        <v>841</v>
      </c>
      <c r="F53" t="s">
        <v>129</v>
      </c>
      <c r="G53" t="s">
        <v>130</v>
      </c>
    </row>
    <row r="54" spans="1:7" x14ac:dyDescent="0.25">
      <c r="A54" s="16" t="str">
        <f>HYPERLINK("http://amigo.geneontology.org/amigo/term/GO:0006283","GO:0006283")</f>
        <v>GO:0006283</v>
      </c>
      <c r="B54" t="s">
        <v>131</v>
      </c>
      <c r="C54" s="1">
        <v>1.6459999999999999E-4</v>
      </c>
      <c r="D54" s="1">
        <v>1.9269999999999999E-4</v>
      </c>
      <c r="E54">
        <v>8</v>
      </c>
      <c r="F54" t="s">
        <v>132</v>
      </c>
      <c r="G54" t="s">
        <v>98</v>
      </c>
    </row>
    <row r="55" spans="1:7" x14ac:dyDescent="0.25">
      <c r="A55" s="16" t="str">
        <f>HYPERLINK("http://amigo.geneontology.org/amigo/term/GO:0046499","GO:0046499")</f>
        <v>GO:0046499</v>
      </c>
      <c r="B55" t="s">
        <v>133</v>
      </c>
      <c r="C55" s="1">
        <v>1.6459999999999999E-4</v>
      </c>
      <c r="D55" s="1">
        <v>1.9269999999999999E-4</v>
      </c>
      <c r="E55">
        <v>8</v>
      </c>
      <c r="F55" t="s">
        <v>132</v>
      </c>
      <c r="G55" t="s">
        <v>134</v>
      </c>
    </row>
    <row r="56" spans="1:7" x14ac:dyDescent="0.25">
      <c r="A56" s="16" t="str">
        <f>HYPERLINK("http://amigo.geneontology.org/amigo/term/GO:0006557","GO:0006557")</f>
        <v>GO:0006557</v>
      </c>
      <c r="B56" t="s">
        <v>135</v>
      </c>
      <c r="C56" s="1">
        <v>1.6459999999999999E-4</v>
      </c>
      <c r="D56" s="1">
        <v>1.9269999999999999E-4</v>
      </c>
      <c r="E56">
        <v>8</v>
      </c>
      <c r="F56" t="s">
        <v>132</v>
      </c>
      <c r="G56" t="s">
        <v>134</v>
      </c>
    </row>
    <row r="57" spans="1:7" x14ac:dyDescent="0.25">
      <c r="A57" s="16" t="str">
        <f>HYPERLINK("http://amigo.geneontology.org/amigo/term/GO:0043648","GO:0043648")</f>
        <v>GO:0043648</v>
      </c>
      <c r="B57" t="s">
        <v>136</v>
      </c>
      <c r="C57" s="1">
        <v>1.6750000000000001E-4</v>
      </c>
      <c r="D57" s="1">
        <v>1.9599999999999999E-4</v>
      </c>
      <c r="E57">
        <v>134</v>
      </c>
      <c r="F57" t="s">
        <v>137</v>
      </c>
      <c r="G57" t="s">
        <v>138</v>
      </c>
    </row>
    <row r="58" spans="1:7" x14ac:dyDescent="0.25">
      <c r="A58" s="16" t="str">
        <f>HYPERLINK("http://amigo.geneontology.org/amigo/term/GO:0009415","GO:0009415")</f>
        <v>GO:0009415</v>
      </c>
      <c r="B58" t="s">
        <v>139</v>
      </c>
      <c r="C58" s="1">
        <v>2.0890000000000001E-4</v>
      </c>
      <c r="D58" s="1">
        <v>2.4449999999999998E-4</v>
      </c>
      <c r="E58">
        <v>308</v>
      </c>
      <c r="F58" t="s">
        <v>140</v>
      </c>
      <c r="G58" t="s">
        <v>141</v>
      </c>
    </row>
    <row r="59" spans="1:7" x14ac:dyDescent="0.25">
      <c r="A59" s="16" t="str">
        <f>HYPERLINK("http://amigo.geneontology.org/amigo/term/GO:0009414","GO:0009414")</f>
        <v>GO:0009414</v>
      </c>
      <c r="B59" t="s">
        <v>142</v>
      </c>
      <c r="C59" s="1">
        <v>2.3010000000000001E-4</v>
      </c>
      <c r="D59" s="1">
        <v>2.6919999999999998E-4</v>
      </c>
      <c r="E59">
        <v>274</v>
      </c>
      <c r="F59" t="s">
        <v>143</v>
      </c>
      <c r="G59" t="s">
        <v>144</v>
      </c>
    </row>
    <row r="60" spans="1:7" x14ac:dyDescent="0.25">
      <c r="A60" s="16" t="str">
        <f>HYPERLINK("http://amigo.geneontology.org/amigo/term/GO:0001101","GO:0001101")</f>
        <v>GO:0001101</v>
      </c>
      <c r="B60" t="s">
        <v>145</v>
      </c>
      <c r="C60" s="1">
        <v>2.3829999999999999E-4</v>
      </c>
      <c r="D60" s="1">
        <v>2.787E-4</v>
      </c>
      <c r="E60">
        <v>312</v>
      </c>
      <c r="F60" t="s">
        <v>146</v>
      </c>
      <c r="G60" t="s">
        <v>141</v>
      </c>
    </row>
    <row r="61" spans="1:7" x14ac:dyDescent="0.25">
      <c r="A61" s="16" t="str">
        <f>HYPERLINK("http://amigo.geneontology.org/amigo/term/GO:0006597","GO:0006597")</f>
        <v>GO:0006597</v>
      </c>
      <c r="B61" t="s">
        <v>147</v>
      </c>
      <c r="C61" s="1">
        <v>2.441E-4</v>
      </c>
      <c r="D61" s="1">
        <v>2.855E-4</v>
      </c>
      <c r="E61">
        <v>9</v>
      </c>
      <c r="F61" t="s">
        <v>148</v>
      </c>
      <c r="G61" t="s">
        <v>134</v>
      </c>
    </row>
    <row r="62" spans="1:7" x14ac:dyDescent="0.25">
      <c r="A62" s="16" t="str">
        <f>HYPERLINK("http://amigo.geneontology.org/amigo/term/GO:1901668","GO:1901668")</f>
        <v>GO:1901668</v>
      </c>
      <c r="B62" t="s">
        <v>149</v>
      </c>
      <c r="C62" s="1">
        <v>2.441E-4</v>
      </c>
      <c r="D62" s="1">
        <v>2.855E-4</v>
      </c>
      <c r="E62">
        <v>9</v>
      </c>
      <c r="F62" t="s">
        <v>148</v>
      </c>
      <c r="G62" t="s">
        <v>150</v>
      </c>
    </row>
    <row r="63" spans="1:7" x14ac:dyDescent="0.25">
      <c r="A63" s="16" t="str">
        <f>HYPERLINK("http://amigo.geneontology.org/amigo/term/GO:1901671","GO:1901671")</f>
        <v>GO:1901671</v>
      </c>
      <c r="B63" t="s">
        <v>151</v>
      </c>
      <c r="C63" s="1">
        <v>2.441E-4</v>
      </c>
      <c r="D63" s="1">
        <v>2.855E-4</v>
      </c>
      <c r="E63">
        <v>9</v>
      </c>
      <c r="F63" t="s">
        <v>148</v>
      </c>
      <c r="G63" t="s">
        <v>150</v>
      </c>
    </row>
    <row r="64" spans="1:7" x14ac:dyDescent="0.25">
      <c r="A64" s="16" t="str">
        <f>HYPERLINK("http://amigo.geneontology.org/amigo/term/GO:0034599","GO:0034599")</f>
        <v>GO:0034599</v>
      </c>
      <c r="B64" t="s">
        <v>152</v>
      </c>
      <c r="C64" s="1">
        <v>2.5080000000000002E-4</v>
      </c>
      <c r="D64" s="1">
        <v>2.9320000000000003E-4</v>
      </c>
      <c r="E64">
        <v>39</v>
      </c>
      <c r="F64" t="s">
        <v>153</v>
      </c>
      <c r="G64" t="s">
        <v>154</v>
      </c>
    </row>
    <row r="65" spans="1:7" x14ac:dyDescent="0.25">
      <c r="A65" s="16" t="str">
        <f>HYPERLINK("http://amigo.geneontology.org/amigo/term/GO:0072527","GO:0072527")</f>
        <v>GO:0072527</v>
      </c>
      <c r="B65" t="s">
        <v>155</v>
      </c>
      <c r="C65" s="1">
        <v>2.8689999999999998E-4</v>
      </c>
      <c r="D65" s="1">
        <v>3.3540000000000002E-4</v>
      </c>
      <c r="E65">
        <v>144</v>
      </c>
      <c r="F65" t="s">
        <v>156</v>
      </c>
      <c r="G65" t="s">
        <v>157</v>
      </c>
    </row>
    <row r="66" spans="1:7" x14ac:dyDescent="0.25">
      <c r="A66" s="16" t="str">
        <f>HYPERLINK("http://amigo.geneontology.org/amigo/term/GO:0033962","GO:0033962")</f>
        <v>GO:0033962</v>
      </c>
      <c r="B66" t="s">
        <v>158</v>
      </c>
      <c r="C66" s="1">
        <v>3.4499999999999998E-4</v>
      </c>
      <c r="D66" s="1">
        <v>4.0319999999999999E-4</v>
      </c>
      <c r="E66">
        <v>10</v>
      </c>
      <c r="F66" t="s">
        <v>159</v>
      </c>
      <c r="G66" t="s">
        <v>160</v>
      </c>
    </row>
    <row r="67" spans="1:7" x14ac:dyDescent="0.25">
      <c r="A67" s="16" t="str">
        <f>HYPERLINK("http://amigo.geneontology.org/amigo/term/GO:0008535","GO:0008535")</f>
        <v>GO:0008535</v>
      </c>
      <c r="B67" t="s">
        <v>161</v>
      </c>
      <c r="C67" s="1">
        <v>3.4499999999999998E-4</v>
      </c>
      <c r="D67" s="1">
        <v>4.0319999999999999E-4</v>
      </c>
      <c r="E67">
        <v>10</v>
      </c>
      <c r="F67" t="s">
        <v>159</v>
      </c>
      <c r="G67" t="s">
        <v>162</v>
      </c>
    </row>
    <row r="68" spans="1:7" x14ac:dyDescent="0.25">
      <c r="A68" s="16" t="str">
        <f>HYPERLINK("http://amigo.geneontology.org/amigo/term/GO:0033617","GO:0033617")</f>
        <v>GO:0033617</v>
      </c>
      <c r="B68" t="s">
        <v>163</v>
      </c>
      <c r="C68" s="1">
        <v>3.4499999999999998E-4</v>
      </c>
      <c r="D68" s="1">
        <v>4.0319999999999999E-4</v>
      </c>
      <c r="E68">
        <v>10</v>
      </c>
      <c r="F68" t="s">
        <v>159</v>
      </c>
      <c r="G68" t="s">
        <v>162</v>
      </c>
    </row>
    <row r="69" spans="1:7" x14ac:dyDescent="0.25">
      <c r="A69" s="16" t="str">
        <f>HYPERLINK("http://amigo.geneontology.org/amigo/term/GO:0008215","GO:0008215")</f>
        <v>GO:0008215</v>
      </c>
      <c r="B69" t="s">
        <v>164</v>
      </c>
      <c r="C69" s="1">
        <v>3.4499999999999998E-4</v>
      </c>
      <c r="D69" s="1">
        <v>4.0319999999999999E-4</v>
      </c>
      <c r="E69">
        <v>10</v>
      </c>
      <c r="F69" t="s">
        <v>159</v>
      </c>
      <c r="G69" t="s">
        <v>134</v>
      </c>
    </row>
    <row r="70" spans="1:7" x14ac:dyDescent="0.25">
      <c r="A70" s="16" t="str">
        <f>HYPERLINK("http://amigo.geneontology.org/amigo/term/GO:0045491","GO:0045491")</f>
        <v>GO:0045491</v>
      </c>
      <c r="B70" t="s">
        <v>165</v>
      </c>
      <c r="C70" s="1">
        <v>3.4850000000000001E-4</v>
      </c>
      <c r="D70" s="1">
        <v>4.0709999999999997E-4</v>
      </c>
      <c r="E70">
        <v>64</v>
      </c>
      <c r="F70" t="s">
        <v>166</v>
      </c>
      <c r="G70" t="s">
        <v>167</v>
      </c>
    </row>
    <row r="71" spans="1:7" x14ac:dyDescent="0.25">
      <c r="A71" s="16" t="str">
        <f>HYPERLINK("http://amigo.geneontology.org/amigo/term/GO:0009269","GO:0009269")</f>
        <v>GO:0009269</v>
      </c>
      <c r="B71" t="s">
        <v>168</v>
      </c>
      <c r="C71" s="1">
        <v>3.8039999999999998E-4</v>
      </c>
      <c r="D71" s="1">
        <v>4.4440000000000001E-4</v>
      </c>
      <c r="E71">
        <v>24</v>
      </c>
      <c r="F71" t="s">
        <v>169</v>
      </c>
      <c r="G71" t="s">
        <v>170</v>
      </c>
    </row>
    <row r="72" spans="1:7" x14ac:dyDescent="0.25">
      <c r="A72" s="16" t="str">
        <f>HYPERLINK("http://amigo.geneontology.org/amigo/term/GO:0006544","GO:0006544")</f>
        <v>GO:0006544</v>
      </c>
      <c r="B72" t="s">
        <v>171</v>
      </c>
      <c r="C72" s="1">
        <v>3.8039999999999998E-4</v>
      </c>
      <c r="D72" s="1">
        <v>4.4440000000000001E-4</v>
      </c>
      <c r="E72">
        <v>24</v>
      </c>
      <c r="F72" t="s">
        <v>169</v>
      </c>
      <c r="G72" t="s">
        <v>172</v>
      </c>
    </row>
    <row r="73" spans="1:7" x14ac:dyDescent="0.25">
      <c r="A73" s="16" t="str">
        <f>HYPERLINK("http://amigo.geneontology.org/amigo/term/GO:0006996","GO:0006996")</f>
        <v>GO:0006996</v>
      </c>
      <c r="B73" t="s">
        <v>173</v>
      </c>
      <c r="C73" s="1">
        <v>4.1310000000000001E-4</v>
      </c>
      <c r="D73" s="1">
        <v>4.8240000000000002E-4</v>
      </c>
      <c r="E73">
        <v>1745</v>
      </c>
      <c r="F73" t="s">
        <v>174</v>
      </c>
      <c r="G73" t="s">
        <v>175</v>
      </c>
    </row>
    <row r="74" spans="1:7" x14ac:dyDescent="0.25">
      <c r="A74" s="16" t="str">
        <f>HYPERLINK("http://amigo.geneontology.org/amigo/term/GO:0006379","GO:0006379")</f>
        <v>GO:0006379</v>
      </c>
      <c r="B74" t="s">
        <v>176</v>
      </c>
      <c r="C74" s="1">
        <v>4.6920000000000002E-4</v>
      </c>
      <c r="D74" s="1">
        <v>5.4779999999999998E-4</v>
      </c>
      <c r="E74">
        <v>11</v>
      </c>
      <c r="F74" t="s">
        <v>177</v>
      </c>
      <c r="G74" t="s">
        <v>98</v>
      </c>
    </row>
    <row r="75" spans="1:7" x14ac:dyDescent="0.25">
      <c r="A75" s="16" t="str">
        <f>HYPERLINK("http://amigo.geneontology.org/amigo/term/GO:0006221","GO:0006221")</f>
        <v>GO:0006221</v>
      </c>
      <c r="B75" t="s">
        <v>178</v>
      </c>
      <c r="C75" s="1">
        <v>5.3620000000000002E-4</v>
      </c>
      <c r="D75" s="1">
        <v>6.2589999999999998E-4</v>
      </c>
      <c r="E75">
        <v>96</v>
      </c>
      <c r="F75" t="s">
        <v>179</v>
      </c>
      <c r="G75" t="s">
        <v>180</v>
      </c>
    </row>
    <row r="76" spans="1:7" x14ac:dyDescent="0.25">
      <c r="A76" s="16" t="str">
        <f>HYPERLINK("http://amigo.geneontology.org/amigo/term/GO:0009116","GO:0009116")</f>
        <v>GO:0009116</v>
      </c>
      <c r="B76" t="s">
        <v>181</v>
      </c>
      <c r="C76" s="1">
        <v>5.3620000000000002E-4</v>
      </c>
      <c r="D76" s="1">
        <v>6.2589999999999998E-4</v>
      </c>
      <c r="E76">
        <v>96</v>
      </c>
      <c r="F76" t="s">
        <v>179</v>
      </c>
      <c r="G76" t="s">
        <v>182</v>
      </c>
    </row>
    <row r="77" spans="1:7" x14ac:dyDescent="0.25">
      <c r="A77" s="16" t="str">
        <f>HYPERLINK("http://amigo.geneontology.org/amigo/term/GO:1901700","GO:1901700")</f>
        <v>GO:1901700</v>
      </c>
      <c r="B77" t="s">
        <v>183</v>
      </c>
      <c r="C77" s="1">
        <v>5.4480000000000002E-4</v>
      </c>
      <c r="D77" s="1">
        <v>6.3579999999999995E-4</v>
      </c>
      <c r="E77">
        <v>819</v>
      </c>
      <c r="F77" t="s">
        <v>184</v>
      </c>
      <c r="G77" t="s">
        <v>185</v>
      </c>
    </row>
    <row r="78" spans="1:7" x14ac:dyDescent="0.25">
      <c r="A78" s="16" t="str">
        <f>HYPERLINK("http://amigo.geneontology.org/amigo/term/GO:0006220","GO:0006220")</f>
        <v>GO:0006220</v>
      </c>
      <c r="B78" t="s">
        <v>186</v>
      </c>
      <c r="C78" s="1">
        <v>5.7070000000000005E-4</v>
      </c>
      <c r="D78" s="1">
        <v>6.6580000000000003E-4</v>
      </c>
      <c r="E78">
        <v>97</v>
      </c>
      <c r="F78" t="s">
        <v>187</v>
      </c>
      <c r="G78" t="s">
        <v>180</v>
      </c>
    </row>
    <row r="79" spans="1:7" x14ac:dyDescent="0.25">
      <c r="A79" s="16" t="str">
        <f>HYPERLINK("http://amigo.geneontology.org/amigo/term/GO:0016053","GO:0016053")</f>
        <v>GO:0016053</v>
      </c>
      <c r="B79" t="s">
        <v>188</v>
      </c>
      <c r="C79" s="1">
        <v>6.0210000000000005E-4</v>
      </c>
      <c r="D79" s="1">
        <v>7.0229999999999999E-4</v>
      </c>
      <c r="E79">
        <v>872</v>
      </c>
      <c r="F79" t="s">
        <v>189</v>
      </c>
      <c r="G79" t="s">
        <v>190</v>
      </c>
    </row>
    <row r="80" spans="1:7" x14ac:dyDescent="0.25">
      <c r="A80" s="16" t="str">
        <f>HYPERLINK("http://amigo.geneontology.org/amigo/term/GO:0062197","GO:0062197")</f>
        <v>GO:0062197</v>
      </c>
      <c r="B80" t="s">
        <v>191</v>
      </c>
      <c r="C80" s="1">
        <v>6.068E-4</v>
      </c>
      <c r="D80" s="1">
        <v>7.0759999999999996E-4</v>
      </c>
      <c r="E80">
        <v>47</v>
      </c>
      <c r="F80" t="s">
        <v>192</v>
      </c>
      <c r="G80" t="s">
        <v>154</v>
      </c>
    </row>
    <row r="81" spans="1:7" x14ac:dyDescent="0.25">
      <c r="A81" s="16" t="str">
        <f>HYPERLINK("http://amigo.geneontology.org/amigo/term/GO:0006545","GO:0006545")</f>
        <v>GO:0006545</v>
      </c>
      <c r="B81" t="s">
        <v>193</v>
      </c>
      <c r="C81" s="1">
        <v>6.1879999999999997E-4</v>
      </c>
      <c r="D81" s="1">
        <v>7.2139999999999997E-4</v>
      </c>
      <c r="E81">
        <v>12</v>
      </c>
      <c r="F81" t="s">
        <v>194</v>
      </c>
      <c r="G81" t="s">
        <v>195</v>
      </c>
    </row>
    <row r="82" spans="1:7" x14ac:dyDescent="0.25">
      <c r="A82" s="16" t="str">
        <f>HYPERLINK("http://amigo.geneontology.org/amigo/term/GO:0019264","GO:0019264")</f>
        <v>GO:0019264</v>
      </c>
      <c r="B82" t="s">
        <v>196</v>
      </c>
      <c r="C82" s="1">
        <v>6.1879999999999997E-4</v>
      </c>
      <c r="D82" s="1">
        <v>7.2139999999999997E-4</v>
      </c>
      <c r="E82">
        <v>12</v>
      </c>
      <c r="F82" t="s">
        <v>194</v>
      </c>
      <c r="G82" t="s">
        <v>195</v>
      </c>
    </row>
    <row r="83" spans="1:7" x14ac:dyDescent="0.25">
      <c r="A83" s="16" t="str">
        <f>HYPERLINK("http://amigo.geneontology.org/amigo/term/GO:1901657","GO:1901657")</f>
        <v>GO:1901657</v>
      </c>
      <c r="B83" t="s">
        <v>197</v>
      </c>
      <c r="C83" s="1">
        <v>6.4499999999999996E-4</v>
      </c>
      <c r="D83" s="1">
        <v>7.517E-4</v>
      </c>
      <c r="E83">
        <v>99</v>
      </c>
      <c r="F83" t="s">
        <v>198</v>
      </c>
      <c r="G83" t="s">
        <v>182</v>
      </c>
    </row>
    <row r="84" spans="1:7" x14ac:dyDescent="0.25">
      <c r="A84" s="16" t="str">
        <f>HYPERLINK("http://amigo.geneontology.org/amigo/term/GO:0045492","GO:0045492")</f>
        <v>GO:0045492</v>
      </c>
      <c r="B84" t="s">
        <v>199</v>
      </c>
      <c r="C84" s="1">
        <v>6.6929999999999995E-4</v>
      </c>
      <c r="D84" s="1">
        <v>7.7990000000000004E-4</v>
      </c>
      <c r="E84">
        <v>48</v>
      </c>
      <c r="F84" t="s">
        <v>200</v>
      </c>
      <c r="G84" t="s">
        <v>201</v>
      </c>
    </row>
    <row r="85" spans="1:7" x14ac:dyDescent="0.25">
      <c r="A85" s="16" t="str">
        <f>HYPERLINK("http://amigo.geneontology.org/amigo/term/GO:0071554","GO:0071554")</f>
        <v>GO:0071554</v>
      </c>
      <c r="B85" t="s">
        <v>202</v>
      </c>
      <c r="C85" s="1">
        <v>7.2190000000000004E-4</v>
      </c>
      <c r="D85" s="1">
        <v>8.4099999999999995E-4</v>
      </c>
      <c r="E85">
        <v>931</v>
      </c>
      <c r="F85" t="s">
        <v>203</v>
      </c>
      <c r="G85" t="s">
        <v>204</v>
      </c>
    </row>
    <row r="86" spans="1:7" x14ac:dyDescent="0.25">
      <c r="A86" s="16" t="str">
        <f>HYPERLINK("http://amigo.geneontology.org/amigo/term/GO:0006656","GO:0006656")</f>
        <v>GO:0006656</v>
      </c>
      <c r="B86" t="s">
        <v>205</v>
      </c>
      <c r="C86" s="1">
        <v>7.9569999999999999E-4</v>
      </c>
      <c r="D86" s="1">
        <v>9.2679999999999998E-4</v>
      </c>
      <c r="E86">
        <v>13</v>
      </c>
      <c r="F86" t="s">
        <v>206</v>
      </c>
      <c r="G86" t="s">
        <v>207</v>
      </c>
    </row>
    <row r="87" spans="1:7" x14ac:dyDescent="0.25">
      <c r="A87" s="16" t="str">
        <f>HYPERLINK("http://amigo.geneontology.org/amigo/term/GO:0046653","GO:0046653")</f>
        <v>GO:0046653</v>
      </c>
      <c r="B87" t="s">
        <v>208</v>
      </c>
      <c r="C87" s="1">
        <v>8.0250000000000004E-4</v>
      </c>
      <c r="D87" s="1">
        <v>9.3440000000000005E-4</v>
      </c>
      <c r="E87">
        <v>29</v>
      </c>
      <c r="F87" t="s">
        <v>209</v>
      </c>
      <c r="G87" t="s">
        <v>113</v>
      </c>
    </row>
    <row r="88" spans="1:7" x14ac:dyDescent="0.25">
      <c r="A88" s="16" t="str">
        <f>HYPERLINK("http://amigo.geneontology.org/amigo/term/GO:0046395","GO:0046395")</f>
        <v>GO:0046395</v>
      </c>
      <c r="B88" t="s">
        <v>210</v>
      </c>
      <c r="C88" s="1">
        <v>8.8279999999999999E-4</v>
      </c>
      <c r="D88" s="1">
        <v>1.0280000000000001E-3</v>
      </c>
      <c r="E88">
        <v>203</v>
      </c>
      <c r="F88" t="s">
        <v>211</v>
      </c>
      <c r="G88" t="s">
        <v>212</v>
      </c>
    </row>
    <row r="89" spans="1:7" x14ac:dyDescent="0.25">
      <c r="A89" s="16" t="str">
        <f>HYPERLINK("http://amigo.geneontology.org/amigo/term/GO:0009058","GO:0009058")</f>
        <v>GO:0009058</v>
      </c>
      <c r="B89" t="s">
        <v>213</v>
      </c>
      <c r="C89" s="1">
        <v>9.1589999999999998E-4</v>
      </c>
      <c r="D89" s="1">
        <v>1.0660000000000001E-3</v>
      </c>
      <c r="E89">
        <v>7451</v>
      </c>
      <c r="F89" t="s">
        <v>214</v>
      </c>
      <c r="G89" t="s">
        <v>215</v>
      </c>
    </row>
    <row r="90" spans="1:7" x14ac:dyDescent="0.25">
      <c r="A90" s="16" t="str">
        <f>HYPERLINK("http://amigo.geneontology.org/amigo/term/GO:0072528","GO:0072528")</f>
        <v>GO:0072528</v>
      </c>
      <c r="B90" t="s">
        <v>216</v>
      </c>
      <c r="C90" s="1">
        <v>9.6179999999999996E-4</v>
      </c>
      <c r="D90" s="1">
        <v>1.119E-3</v>
      </c>
      <c r="E90">
        <v>137</v>
      </c>
      <c r="F90" t="s">
        <v>217</v>
      </c>
      <c r="G90" t="s">
        <v>218</v>
      </c>
    </row>
    <row r="91" spans="1:7" x14ac:dyDescent="0.25">
      <c r="A91" s="16" t="str">
        <f>HYPERLINK("http://amigo.geneontology.org/amigo/term/GO:0046394","GO:0046394")</f>
        <v>GO:0046394</v>
      </c>
      <c r="B91" t="s">
        <v>219</v>
      </c>
      <c r="C91" s="1">
        <v>1.0759999999999999E-3</v>
      </c>
      <c r="D91" s="1">
        <v>1.2520000000000001E-3</v>
      </c>
      <c r="E91">
        <v>812</v>
      </c>
      <c r="F91" t="s">
        <v>220</v>
      </c>
      <c r="G91" t="s">
        <v>221</v>
      </c>
    </row>
    <row r="92" spans="1:7" x14ac:dyDescent="0.25">
      <c r="A92" s="16" t="str">
        <f>HYPERLINK("http://amigo.geneontology.org/amigo/term/GO:0006839","GO:0006839")</f>
        <v>GO:0006839</v>
      </c>
      <c r="B92" t="s">
        <v>222</v>
      </c>
      <c r="C92" s="1">
        <v>1.0790000000000001E-3</v>
      </c>
      <c r="D92" s="1">
        <v>1.255E-3</v>
      </c>
      <c r="E92">
        <v>108</v>
      </c>
      <c r="F92" t="s">
        <v>223</v>
      </c>
      <c r="G92" t="s">
        <v>224</v>
      </c>
    </row>
    <row r="93" spans="1:7" x14ac:dyDescent="0.25">
      <c r="A93" s="16" t="str">
        <f>HYPERLINK("http://amigo.geneontology.org/amigo/term/GO:0042558","GO:0042558")</f>
        <v>GO:0042558</v>
      </c>
      <c r="B93" t="s">
        <v>225</v>
      </c>
      <c r="C93" s="1">
        <v>1.15E-3</v>
      </c>
      <c r="D93" s="1">
        <v>1.338E-3</v>
      </c>
      <c r="E93">
        <v>54</v>
      </c>
      <c r="F93" t="s">
        <v>226</v>
      </c>
      <c r="G93" t="s">
        <v>227</v>
      </c>
    </row>
    <row r="94" spans="1:7" x14ac:dyDescent="0.25">
      <c r="A94" s="16" t="str">
        <f>HYPERLINK("http://amigo.geneontology.org/amigo/term/GO:0071103","GO:0071103")</f>
        <v>GO:0071103</v>
      </c>
      <c r="B94" t="s">
        <v>228</v>
      </c>
      <c r="C94" s="1">
        <v>1.168E-3</v>
      </c>
      <c r="D94" s="1">
        <v>1.3569999999999999E-3</v>
      </c>
      <c r="E94">
        <v>367</v>
      </c>
      <c r="F94" t="s">
        <v>229</v>
      </c>
      <c r="G94" t="s">
        <v>230</v>
      </c>
    </row>
    <row r="95" spans="1:7" x14ac:dyDescent="0.25">
      <c r="A95" s="16" t="str">
        <f>HYPERLINK("http://amigo.geneontology.org/amigo/term/GO:0046039","GO:0046039")</f>
        <v>GO:0046039</v>
      </c>
      <c r="B95" t="s">
        <v>231</v>
      </c>
      <c r="C95" s="1">
        <v>1.2390000000000001E-3</v>
      </c>
      <c r="D95" s="1">
        <v>1.439E-3</v>
      </c>
      <c r="E95">
        <v>15</v>
      </c>
      <c r="F95" t="s">
        <v>232</v>
      </c>
      <c r="G95" t="s">
        <v>233</v>
      </c>
    </row>
    <row r="96" spans="1:7" x14ac:dyDescent="0.25">
      <c r="A96" s="16" t="str">
        <f>HYPERLINK("http://amigo.geneontology.org/amigo/term/GO:0006183","GO:0006183")</f>
        <v>GO:0006183</v>
      </c>
      <c r="B96" t="s">
        <v>234</v>
      </c>
      <c r="C96" s="1">
        <v>1.2390000000000001E-3</v>
      </c>
      <c r="D96" s="1">
        <v>1.439E-3</v>
      </c>
      <c r="E96">
        <v>15</v>
      </c>
      <c r="F96" t="s">
        <v>232</v>
      </c>
      <c r="G96" t="s">
        <v>233</v>
      </c>
    </row>
    <row r="97" spans="1:7" x14ac:dyDescent="0.25">
      <c r="A97" s="16" t="str">
        <f>HYPERLINK("http://amigo.geneontology.org/amigo/term/GO:0046051","GO:0046051")</f>
        <v>GO:0046051</v>
      </c>
      <c r="B97" t="s">
        <v>235</v>
      </c>
      <c r="C97" s="1">
        <v>1.2390000000000001E-3</v>
      </c>
      <c r="D97" s="1">
        <v>1.439E-3</v>
      </c>
      <c r="E97">
        <v>15</v>
      </c>
      <c r="F97" t="s">
        <v>232</v>
      </c>
      <c r="G97" t="s">
        <v>233</v>
      </c>
    </row>
    <row r="98" spans="1:7" x14ac:dyDescent="0.25">
      <c r="A98" s="16" t="str">
        <f>HYPERLINK("http://amigo.geneontology.org/amigo/term/GO:0006228","GO:0006228")</f>
        <v>GO:0006228</v>
      </c>
      <c r="B98" t="s">
        <v>236</v>
      </c>
      <c r="C98" s="1">
        <v>1.2390000000000001E-3</v>
      </c>
      <c r="D98" s="1">
        <v>1.439E-3</v>
      </c>
      <c r="E98">
        <v>15</v>
      </c>
      <c r="F98" t="s">
        <v>232</v>
      </c>
      <c r="G98" t="s">
        <v>233</v>
      </c>
    </row>
    <row r="99" spans="1:7" x14ac:dyDescent="0.25">
      <c r="A99" s="16" t="str">
        <f>HYPERLINK("http://amigo.geneontology.org/amigo/term/GO:0051353","GO:0051353")</f>
        <v>GO:0051353</v>
      </c>
      <c r="B99" t="s">
        <v>237</v>
      </c>
      <c r="C99" s="1">
        <v>1.2390000000000001E-3</v>
      </c>
      <c r="D99" s="1">
        <v>1.439E-3</v>
      </c>
      <c r="E99">
        <v>15</v>
      </c>
      <c r="F99" t="s">
        <v>232</v>
      </c>
      <c r="G99" t="s">
        <v>150</v>
      </c>
    </row>
    <row r="100" spans="1:7" x14ac:dyDescent="0.25">
      <c r="A100" s="16" t="str">
        <f>HYPERLINK("http://amigo.geneontology.org/amigo/term/GO:0005976","GO:0005976")</f>
        <v>GO:0005976</v>
      </c>
      <c r="B100" t="s">
        <v>238</v>
      </c>
      <c r="C100" s="1">
        <v>1.263E-3</v>
      </c>
      <c r="D100" s="1">
        <v>1.467E-3</v>
      </c>
      <c r="E100">
        <v>680</v>
      </c>
      <c r="F100" t="s">
        <v>239</v>
      </c>
      <c r="G100" t="s">
        <v>240</v>
      </c>
    </row>
    <row r="101" spans="1:7" x14ac:dyDescent="0.25">
      <c r="A101" s="16" t="str">
        <f>HYPERLINK("http://amigo.geneontology.org/amigo/term/GO:0016054","GO:0016054")</f>
        <v>GO:0016054</v>
      </c>
      <c r="B101" t="s">
        <v>241</v>
      </c>
      <c r="C101" s="1">
        <v>1.457E-3</v>
      </c>
      <c r="D101" s="1">
        <v>1.6919999999999999E-3</v>
      </c>
      <c r="E101">
        <v>217</v>
      </c>
      <c r="F101" t="s">
        <v>242</v>
      </c>
      <c r="G101" t="s">
        <v>212</v>
      </c>
    </row>
    <row r="102" spans="1:7" x14ac:dyDescent="0.25">
      <c r="A102" s="16" t="str">
        <f>HYPERLINK("http://amigo.geneontology.org/amigo/term/GO:0006536","GO:0006536")</f>
        <v>GO:0006536</v>
      </c>
      <c r="B102" t="s">
        <v>243</v>
      </c>
      <c r="C102" s="1">
        <v>1.4790000000000001E-3</v>
      </c>
      <c r="D102" s="1">
        <v>1.7179999999999999E-3</v>
      </c>
      <c r="E102">
        <v>34</v>
      </c>
      <c r="F102" t="s">
        <v>244</v>
      </c>
      <c r="G102" t="s">
        <v>245</v>
      </c>
    </row>
    <row r="103" spans="1:7" x14ac:dyDescent="0.25">
      <c r="A103" s="16" t="str">
        <f>HYPERLINK("http://amigo.geneontology.org/amigo/term/GO:0009063","GO:0009063")</f>
        <v>GO:0009063</v>
      </c>
      <c r="B103" t="s">
        <v>246</v>
      </c>
      <c r="C103" s="1">
        <v>1.7160000000000001E-3</v>
      </c>
      <c r="D103" s="1">
        <v>1.9919999999999998E-3</v>
      </c>
      <c r="E103">
        <v>150</v>
      </c>
      <c r="F103" t="s">
        <v>247</v>
      </c>
      <c r="G103" t="s">
        <v>248</v>
      </c>
    </row>
    <row r="104" spans="1:7" x14ac:dyDescent="0.25">
      <c r="A104" s="16" t="str">
        <f>HYPERLINK("http://amigo.geneontology.org/amigo/term/GO:1901576","GO:1901576")</f>
        <v>GO:1901576</v>
      </c>
      <c r="B104" t="s">
        <v>249</v>
      </c>
      <c r="C104" s="1">
        <v>1.799E-3</v>
      </c>
      <c r="D104" s="1">
        <v>2.088E-3</v>
      </c>
      <c r="E104">
        <v>7032</v>
      </c>
      <c r="F104" t="s">
        <v>250</v>
      </c>
      <c r="G104" t="s">
        <v>251</v>
      </c>
    </row>
    <row r="105" spans="1:7" x14ac:dyDescent="0.25">
      <c r="A105" s="16" t="str">
        <f>HYPERLINK("http://amigo.geneontology.org/amigo/term/GO:0009071","GO:0009071")</f>
        <v>GO:0009071</v>
      </c>
      <c r="B105" t="s">
        <v>252</v>
      </c>
      <c r="C105" s="1">
        <v>1.8109999999999999E-3</v>
      </c>
      <c r="D105" s="1">
        <v>2.1020000000000001E-3</v>
      </c>
      <c r="E105">
        <v>17</v>
      </c>
      <c r="F105" t="s">
        <v>253</v>
      </c>
      <c r="G105" t="s">
        <v>254</v>
      </c>
    </row>
    <row r="106" spans="1:7" x14ac:dyDescent="0.25">
      <c r="A106" s="16" t="str">
        <f>HYPERLINK("http://amigo.geneontology.org/amigo/term/GO:0031204","GO:0031204")</f>
        <v>GO:0031204</v>
      </c>
      <c r="B106" t="s">
        <v>255</v>
      </c>
      <c r="C106" s="1">
        <v>1.8109999999999999E-3</v>
      </c>
      <c r="D106" s="1">
        <v>2.1020000000000001E-3</v>
      </c>
      <c r="E106">
        <v>17</v>
      </c>
      <c r="F106" t="s">
        <v>253</v>
      </c>
      <c r="G106" t="s">
        <v>256</v>
      </c>
    </row>
    <row r="107" spans="1:7" x14ac:dyDescent="0.25">
      <c r="A107" s="16" t="str">
        <f>HYPERLINK("http://amigo.geneontology.org/amigo/term/GO:0044282","GO:0044282")</f>
        <v>GO:0044282</v>
      </c>
      <c r="B107" t="s">
        <v>257</v>
      </c>
      <c r="C107" s="1">
        <v>1.8209999999999999E-3</v>
      </c>
      <c r="D107" s="1">
        <v>2.1129999999999999E-3</v>
      </c>
      <c r="E107">
        <v>302</v>
      </c>
      <c r="F107" t="s">
        <v>258</v>
      </c>
      <c r="G107" t="s">
        <v>259</v>
      </c>
    </row>
    <row r="108" spans="1:7" x14ac:dyDescent="0.25">
      <c r="A108" s="16" t="str">
        <f>HYPERLINK("http://amigo.geneontology.org/amigo/term/GO:0006354","GO:0006354")</f>
        <v>GO:0006354</v>
      </c>
      <c r="B108" t="s">
        <v>260</v>
      </c>
      <c r="C108" s="1">
        <v>1.836E-3</v>
      </c>
      <c r="D108" s="1">
        <v>2.1289999999999998E-3</v>
      </c>
      <c r="E108">
        <v>36</v>
      </c>
      <c r="F108" t="s">
        <v>261</v>
      </c>
      <c r="G108" t="s">
        <v>262</v>
      </c>
    </row>
    <row r="109" spans="1:7" x14ac:dyDescent="0.25">
      <c r="A109" s="16" t="str">
        <f>HYPERLINK("http://amigo.geneontology.org/amigo/term/GO:0006368","GO:0006368")</f>
        <v>GO:0006368</v>
      </c>
      <c r="B109" t="s">
        <v>263</v>
      </c>
      <c r="C109" s="1">
        <v>1.836E-3</v>
      </c>
      <c r="D109" s="1">
        <v>2.1289999999999998E-3</v>
      </c>
      <c r="E109">
        <v>36</v>
      </c>
      <c r="F109" t="s">
        <v>261</v>
      </c>
      <c r="G109" t="s">
        <v>262</v>
      </c>
    </row>
    <row r="110" spans="1:7" x14ac:dyDescent="0.25">
      <c r="A110" s="16" t="str">
        <f>HYPERLINK("http://amigo.geneontology.org/amigo/term/GO:0031497","GO:0031497")</f>
        <v>GO:0031497</v>
      </c>
      <c r="B110" t="s">
        <v>264</v>
      </c>
      <c r="C110" s="1">
        <v>1.866E-3</v>
      </c>
      <c r="D110" s="1">
        <v>2.1640000000000001E-3</v>
      </c>
      <c r="E110">
        <v>263</v>
      </c>
      <c r="F110" t="s">
        <v>265</v>
      </c>
      <c r="G110" t="s">
        <v>266</v>
      </c>
    </row>
    <row r="111" spans="1:7" x14ac:dyDescent="0.25">
      <c r="A111" s="16" t="str">
        <f>HYPERLINK("http://amigo.geneontology.org/amigo/term/GO:1901607","GO:1901607")</f>
        <v>GO:1901607</v>
      </c>
      <c r="B111" t="s">
        <v>267</v>
      </c>
      <c r="C111" s="1">
        <v>1.872E-3</v>
      </c>
      <c r="D111" s="1">
        <v>2.1700000000000001E-3</v>
      </c>
      <c r="E111">
        <v>303</v>
      </c>
      <c r="F111" t="s">
        <v>268</v>
      </c>
      <c r="G111" t="s">
        <v>269</v>
      </c>
    </row>
    <row r="112" spans="1:7" x14ac:dyDescent="0.25">
      <c r="A112" s="16" t="str">
        <f>HYPERLINK("http://amigo.geneontology.org/amigo/term/GO:0009147","GO:0009147")</f>
        <v>GO:0009147</v>
      </c>
      <c r="B112" t="s">
        <v>270</v>
      </c>
      <c r="C112" s="1">
        <v>1.99E-3</v>
      </c>
      <c r="D112" s="1">
        <v>2.307E-3</v>
      </c>
      <c r="E112">
        <v>61</v>
      </c>
      <c r="F112" t="s">
        <v>271</v>
      </c>
      <c r="G112" t="s">
        <v>272</v>
      </c>
    </row>
    <row r="113" spans="1:7" x14ac:dyDescent="0.25">
      <c r="A113" s="16" t="str">
        <f>HYPERLINK("http://amigo.geneontology.org/amigo/term/GO:0010275","GO:0010275")</f>
        <v>GO:0010275</v>
      </c>
      <c r="B113" t="s">
        <v>273</v>
      </c>
      <c r="C113" s="1">
        <v>2.068E-3</v>
      </c>
      <c r="D113" s="1">
        <v>2.3969999999999998E-3</v>
      </c>
      <c r="E113">
        <v>5</v>
      </c>
      <c r="F113" t="s">
        <v>274</v>
      </c>
      <c r="G113" t="s">
        <v>275</v>
      </c>
    </row>
    <row r="114" spans="1:7" x14ac:dyDescent="0.25">
      <c r="A114" s="16" t="str">
        <f>HYPERLINK("http://amigo.geneontology.org/amigo/term/GO:0006565","GO:0006565")</f>
        <v>GO:0006565</v>
      </c>
      <c r="B114" t="s">
        <v>276</v>
      </c>
      <c r="C114" s="1">
        <v>2.068E-3</v>
      </c>
      <c r="D114" s="1">
        <v>2.3969999999999998E-3</v>
      </c>
      <c r="E114">
        <v>5</v>
      </c>
      <c r="F114" t="s">
        <v>274</v>
      </c>
      <c r="G114" t="s">
        <v>277</v>
      </c>
    </row>
    <row r="115" spans="1:7" x14ac:dyDescent="0.25">
      <c r="A115" s="16" t="str">
        <f>HYPERLINK("http://amigo.geneontology.org/amigo/term/GO:0006620","GO:0006620")</f>
        <v>GO:0006620</v>
      </c>
      <c r="B115" t="s">
        <v>278</v>
      </c>
      <c r="C115" s="1">
        <v>2.15E-3</v>
      </c>
      <c r="D115" s="1">
        <v>2.4910000000000002E-3</v>
      </c>
      <c r="E115">
        <v>18</v>
      </c>
      <c r="F115" t="s">
        <v>279</v>
      </c>
      <c r="G115" t="s">
        <v>256</v>
      </c>
    </row>
    <row r="116" spans="1:7" x14ac:dyDescent="0.25">
      <c r="A116" s="16" t="str">
        <f>HYPERLINK("http://amigo.geneontology.org/amigo/term/GO:0044262","GO:0044262")</f>
        <v>GO:0044262</v>
      </c>
      <c r="B116" t="s">
        <v>280</v>
      </c>
      <c r="C116" s="1">
        <v>2.1510000000000001E-3</v>
      </c>
      <c r="D116" s="1">
        <v>2.4910000000000002E-3</v>
      </c>
      <c r="E116">
        <v>711</v>
      </c>
      <c r="F116" t="s">
        <v>281</v>
      </c>
      <c r="G116" t="s">
        <v>282</v>
      </c>
    </row>
    <row r="117" spans="1:7" x14ac:dyDescent="0.25">
      <c r="A117" s="16" t="str">
        <f>HYPERLINK("http://amigo.geneontology.org/amigo/term/GO:0009148","GO:0009148")</f>
        <v>GO:0009148</v>
      </c>
      <c r="B117" t="s">
        <v>283</v>
      </c>
      <c r="C117" s="1">
        <v>2.248E-3</v>
      </c>
      <c r="D117" s="1">
        <v>2.6029999999999998E-3</v>
      </c>
      <c r="E117">
        <v>38</v>
      </c>
      <c r="F117" t="s">
        <v>284</v>
      </c>
      <c r="G117" t="s">
        <v>285</v>
      </c>
    </row>
    <row r="118" spans="1:7" x14ac:dyDescent="0.25">
      <c r="A118" s="16" t="str">
        <f>HYPERLINK("http://amigo.geneontology.org/amigo/term/GO:0009208","GO:0009208")</f>
        <v>GO:0009208</v>
      </c>
      <c r="B118" t="s">
        <v>286</v>
      </c>
      <c r="C118" s="1">
        <v>2.248E-3</v>
      </c>
      <c r="D118" s="1">
        <v>2.6029999999999998E-3</v>
      </c>
      <c r="E118">
        <v>38</v>
      </c>
      <c r="F118" t="s">
        <v>284</v>
      </c>
      <c r="G118" t="s">
        <v>285</v>
      </c>
    </row>
    <row r="119" spans="1:7" x14ac:dyDescent="0.25">
      <c r="A119" s="16" t="str">
        <f>HYPERLINK("http://amigo.geneontology.org/amigo/term/GO:0009209","GO:0009209")</f>
        <v>GO:0009209</v>
      </c>
      <c r="B119" t="s">
        <v>287</v>
      </c>
      <c r="C119" s="1">
        <v>2.248E-3</v>
      </c>
      <c r="D119" s="1">
        <v>2.6029999999999998E-3</v>
      </c>
      <c r="E119">
        <v>38</v>
      </c>
      <c r="F119" t="s">
        <v>284</v>
      </c>
      <c r="G119" t="s">
        <v>285</v>
      </c>
    </row>
    <row r="120" spans="1:7" x14ac:dyDescent="0.25">
      <c r="A120" s="16" t="str">
        <f>HYPERLINK("http://amigo.geneontology.org/amigo/term/GO:0046036","GO:0046036")</f>
        <v>GO:0046036</v>
      </c>
      <c r="B120" t="s">
        <v>288</v>
      </c>
      <c r="C120" s="1">
        <v>2.248E-3</v>
      </c>
      <c r="D120" s="1">
        <v>2.6029999999999998E-3</v>
      </c>
      <c r="E120">
        <v>38</v>
      </c>
      <c r="F120" t="s">
        <v>284</v>
      </c>
      <c r="G120" t="s">
        <v>285</v>
      </c>
    </row>
    <row r="121" spans="1:7" x14ac:dyDescent="0.25">
      <c r="A121" s="16" t="str">
        <f>HYPERLINK("http://amigo.geneontology.org/amigo/term/GO:0006241","GO:0006241")</f>
        <v>GO:0006241</v>
      </c>
      <c r="B121" t="s">
        <v>289</v>
      </c>
      <c r="C121" s="1">
        <v>2.248E-3</v>
      </c>
      <c r="D121" s="1">
        <v>2.6029999999999998E-3</v>
      </c>
      <c r="E121">
        <v>38</v>
      </c>
      <c r="F121" t="s">
        <v>284</v>
      </c>
      <c r="G121" t="s">
        <v>285</v>
      </c>
    </row>
    <row r="122" spans="1:7" x14ac:dyDescent="0.25">
      <c r="A122" s="16" t="str">
        <f>HYPERLINK("http://amigo.geneontology.org/amigo/term/GO:0006730","GO:0006730")</f>
        <v>GO:0006730</v>
      </c>
      <c r="B122" t="s">
        <v>290</v>
      </c>
      <c r="C122" s="1">
        <v>2.248E-3</v>
      </c>
      <c r="D122" s="1">
        <v>2.6029999999999998E-3</v>
      </c>
      <c r="E122">
        <v>38</v>
      </c>
      <c r="F122" t="s">
        <v>284</v>
      </c>
      <c r="G122" t="s">
        <v>113</v>
      </c>
    </row>
    <row r="123" spans="1:7" x14ac:dyDescent="0.25">
      <c r="A123" s="16" t="str">
        <f>HYPERLINK("http://amigo.geneontology.org/amigo/term/GO:0006333","GO:0006333")</f>
        <v>GO:0006333</v>
      </c>
      <c r="B123" t="s">
        <v>291</v>
      </c>
      <c r="C123" s="1">
        <v>2.2880000000000001E-3</v>
      </c>
      <c r="D123" s="1">
        <v>2.6480000000000002E-3</v>
      </c>
      <c r="E123">
        <v>270</v>
      </c>
      <c r="F123" t="s">
        <v>292</v>
      </c>
      <c r="G123" t="s">
        <v>266</v>
      </c>
    </row>
    <row r="124" spans="1:7" x14ac:dyDescent="0.25">
      <c r="A124" s="16" t="str">
        <f>HYPERLINK("http://amigo.geneontology.org/amigo/term/GO:0070592","GO:0070592")</f>
        <v>GO:0070592</v>
      </c>
      <c r="B124" t="s">
        <v>293</v>
      </c>
      <c r="C124" s="1">
        <v>2.2959999999999999E-3</v>
      </c>
      <c r="D124" s="1">
        <v>2.6570000000000001E-3</v>
      </c>
      <c r="E124">
        <v>63</v>
      </c>
      <c r="F124" t="s">
        <v>294</v>
      </c>
      <c r="G124" t="s">
        <v>201</v>
      </c>
    </row>
    <row r="125" spans="1:7" x14ac:dyDescent="0.25">
      <c r="A125" s="16" t="str">
        <f>HYPERLINK("http://amigo.geneontology.org/amigo/term/GO:0005975","GO:0005975")</f>
        <v>GO:0005975</v>
      </c>
      <c r="B125" t="s">
        <v>295</v>
      </c>
      <c r="C125" s="1">
        <v>2.297E-3</v>
      </c>
      <c r="D125" s="1">
        <v>2.6570000000000001E-3</v>
      </c>
      <c r="E125">
        <v>2685</v>
      </c>
      <c r="F125" t="s">
        <v>296</v>
      </c>
      <c r="G125" t="s">
        <v>297</v>
      </c>
    </row>
    <row r="126" spans="1:7" x14ac:dyDescent="0.25">
      <c r="A126" s="16" t="str">
        <f>HYPERLINK("http://amigo.geneontology.org/amigo/term/GO:0080113","GO:0080113")</f>
        <v>GO:0080113</v>
      </c>
      <c r="B126" t="s">
        <v>298</v>
      </c>
      <c r="C126" s="1">
        <v>2.526E-3</v>
      </c>
      <c r="D126" s="1">
        <v>2.921E-3</v>
      </c>
      <c r="E126">
        <v>19</v>
      </c>
      <c r="F126" t="s">
        <v>299</v>
      </c>
      <c r="G126" t="s">
        <v>300</v>
      </c>
    </row>
    <row r="127" spans="1:7" x14ac:dyDescent="0.25">
      <c r="A127" s="16" t="str">
        <f>HYPERLINK("http://amigo.geneontology.org/amigo/term/GO:0032981","GO:0032981")</f>
        <v>GO:0032981</v>
      </c>
      <c r="B127" t="s">
        <v>301</v>
      </c>
      <c r="C127" s="1">
        <v>2.526E-3</v>
      </c>
      <c r="D127" s="1">
        <v>2.921E-3</v>
      </c>
      <c r="E127">
        <v>19</v>
      </c>
      <c r="F127" t="s">
        <v>299</v>
      </c>
      <c r="G127" t="s">
        <v>302</v>
      </c>
    </row>
    <row r="128" spans="1:7" x14ac:dyDescent="0.25">
      <c r="A128" s="16" t="str">
        <f>HYPERLINK("http://amigo.geneontology.org/amigo/term/GO:0000305","GO:0000305")</f>
        <v>GO:0000305</v>
      </c>
      <c r="B128" t="s">
        <v>303</v>
      </c>
      <c r="C128" s="1">
        <v>2.526E-3</v>
      </c>
      <c r="D128" s="1">
        <v>2.921E-3</v>
      </c>
      <c r="E128">
        <v>19</v>
      </c>
      <c r="F128" t="s">
        <v>299</v>
      </c>
      <c r="G128" t="s">
        <v>304</v>
      </c>
    </row>
    <row r="129" spans="1:7" x14ac:dyDescent="0.25">
      <c r="A129" s="16" t="str">
        <f>HYPERLINK("http://amigo.geneontology.org/amigo/term/GO:0000303","GO:0000303")</f>
        <v>GO:0000303</v>
      </c>
      <c r="B129" t="s">
        <v>305</v>
      </c>
      <c r="C129" s="1">
        <v>2.526E-3</v>
      </c>
      <c r="D129" s="1">
        <v>2.921E-3</v>
      </c>
      <c r="E129">
        <v>19</v>
      </c>
      <c r="F129" t="s">
        <v>299</v>
      </c>
      <c r="G129" t="s">
        <v>304</v>
      </c>
    </row>
    <row r="130" spans="1:7" x14ac:dyDescent="0.25">
      <c r="A130" s="16" t="str">
        <f>HYPERLINK("http://amigo.geneontology.org/amigo/term/GO:0034614","GO:0034614")</f>
        <v>GO:0034614</v>
      </c>
      <c r="B130" t="s">
        <v>306</v>
      </c>
      <c r="C130" s="1">
        <v>2.526E-3</v>
      </c>
      <c r="D130" s="1">
        <v>2.921E-3</v>
      </c>
      <c r="E130">
        <v>19</v>
      </c>
      <c r="F130" t="s">
        <v>299</v>
      </c>
      <c r="G130" t="s">
        <v>304</v>
      </c>
    </row>
    <row r="131" spans="1:7" x14ac:dyDescent="0.25">
      <c r="A131" s="16" t="str">
        <f>HYPERLINK("http://amigo.geneontology.org/amigo/term/GO:0071450","GO:0071450")</f>
        <v>GO:0071450</v>
      </c>
      <c r="B131" t="s">
        <v>307</v>
      </c>
      <c r="C131" s="1">
        <v>2.526E-3</v>
      </c>
      <c r="D131" s="1">
        <v>2.921E-3</v>
      </c>
      <c r="E131">
        <v>19</v>
      </c>
      <c r="F131" t="s">
        <v>299</v>
      </c>
      <c r="G131" t="s">
        <v>304</v>
      </c>
    </row>
    <row r="132" spans="1:7" x14ac:dyDescent="0.25">
      <c r="A132" s="16" t="str">
        <f>HYPERLINK("http://amigo.geneontology.org/amigo/term/GO:0071451","GO:0071451")</f>
        <v>GO:0071451</v>
      </c>
      <c r="B132" t="s">
        <v>308</v>
      </c>
      <c r="C132" s="1">
        <v>2.526E-3</v>
      </c>
      <c r="D132" s="1">
        <v>2.921E-3</v>
      </c>
      <c r="E132">
        <v>19</v>
      </c>
      <c r="F132" t="s">
        <v>299</v>
      </c>
      <c r="G132" t="s">
        <v>304</v>
      </c>
    </row>
    <row r="133" spans="1:7" x14ac:dyDescent="0.25">
      <c r="A133" s="16" t="str">
        <f>HYPERLINK("http://amigo.geneontology.org/amigo/term/GO:0019430","GO:0019430")</f>
        <v>GO:0019430</v>
      </c>
      <c r="B133" t="s">
        <v>309</v>
      </c>
      <c r="C133" s="1">
        <v>2.526E-3</v>
      </c>
      <c r="D133" s="1">
        <v>2.921E-3</v>
      </c>
      <c r="E133">
        <v>19</v>
      </c>
      <c r="F133" t="s">
        <v>299</v>
      </c>
      <c r="G133" t="s">
        <v>304</v>
      </c>
    </row>
    <row r="134" spans="1:7" x14ac:dyDescent="0.25">
      <c r="A134" s="16" t="str">
        <f>HYPERLINK("http://amigo.geneontology.org/amigo/term/GO:0051341","GO:0051341")</f>
        <v>GO:0051341</v>
      </c>
      <c r="B134" t="s">
        <v>310</v>
      </c>
      <c r="C134" s="1">
        <v>2.526E-3</v>
      </c>
      <c r="D134" s="1">
        <v>2.921E-3</v>
      </c>
      <c r="E134">
        <v>19</v>
      </c>
      <c r="F134" t="s">
        <v>299</v>
      </c>
      <c r="G134" t="s">
        <v>150</v>
      </c>
    </row>
    <row r="135" spans="1:7" x14ac:dyDescent="0.25">
      <c r="A135" s="16" t="str">
        <f>HYPERLINK("http://amigo.geneontology.org/amigo/term/GO:0008610","GO:0008610")</f>
        <v>GO:0008610</v>
      </c>
      <c r="B135" t="s">
        <v>311</v>
      </c>
      <c r="C135" s="1">
        <v>2.5500000000000002E-3</v>
      </c>
      <c r="D135" s="1">
        <v>2.9489999999999998E-3</v>
      </c>
      <c r="E135">
        <v>1018</v>
      </c>
      <c r="F135" t="s">
        <v>312</v>
      </c>
      <c r="G135" t="s">
        <v>313</v>
      </c>
    </row>
    <row r="136" spans="1:7" x14ac:dyDescent="0.25">
      <c r="A136" s="16" t="str">
        <f>HYPERLINK("http://amigo.geneontology.org/amigo/term/GO:0070589","GO:0070589")</f>
        <v>GO:0070589</v>
      </c>
      <c r="B136" t="s">
        <v>314</v>
      </c>
      <c r="C136" s="1">
        <v>2.6350000000000002E-3</v>
      </c>
      <c r="D136" s="1">
        <v>3.0460000000000001E-3</v>
      </c>
      <c r="E136">
        <v>65</v>
      </c>
      <c r="F136" t="s">
        <v>315</v>
      </c>
      <c r="G136" t="s">
        <v>201</v>
      </c>
    </row>
    <row r="137" spans="1:7" x14ac:dyDescent="0.25">
      <c r="A137" s="16" t="str">
        <f>HYPERLINK("http://amigo.geneontology.org/amigo/term/GO:0044038","GO:0044038")</f>
        <v>GO:0044038</v>
      </c>
      <c r="B137" t="s">
        <v>316</v>
      </c>
      <c r="C137" s="1">
        <v>2.6350000000000002E-3</v>
      </c>
      <c r="D137" s="1">
        <v>3.0460000000000001E-3</v>
      </c>
      <c r="E137">
        <v>65</v>
      </c>
      <c r="F137" t="s">
        <v>315</v>
      </c>
      <c r="G137" t="s">
        <v>201</v>
      </c>
    </row>
    <row r="138" spans="1:7" x14ac:dyDescent="0.25">
      <c r="A138" s="16" t="str">
        <f>HYPERLINK("http://amigo.geneontology.org/amigo/term/GO:0009628","GO:0009628")</f>
        <v>GO:0009628</v>
      </c>
      <c r="B138" t="s">
        <v>317</v>
      </c>
      <c r="C138" s="1">
        <v>2.908E-3</v>
      </c>
      <c r="D138" s="1">
        <v>3.3609999999999998E-3</v>
      </c>
      <c r="E138">
        <v>1079</v>
      </c>
      <c r="F138" t="s">
        <v>318</v>
      </c>
      <c r="G138" t="s">
        <v>319</v>
      </c>
    </row>
    <row r="139" spans="1:7" x14ac:dyDescent="0.25">
      <c r="A139" s="16" t="str">
        <f>HYPERLINK("http://amigo.geneontology.org/amigo/term/GO:0008216","GO:0008216")</f>
        <v>GO:0008216</v>
      </c>
      <c r="B139" t="s">
        <v>320</v>
      </c>
      <c r="C139" s="1">
        <v>2.9390000000000002E-3</v>
      </c>
      <c r="D139" s="1">
        <v>3.3969999999999998E-3</v>
      </c>
      <c r="E139">
        <v>20</v>
      </c>
      <c r="F139" t="s">
        <v>321</v>
      </c>
      <c r="G139" t="s">
        <v>134</v>
      </c>
    </row>
    <row r="140" spans="1:7" x14ac:dyDescent="0.25">
      <c r="A140" s="16" t="str">
        <f>HYPERLINK("http://amigo.geneontology.org/amigo/term/GO:0008295","GO:0008295")</f>
        <v>GO:0008295</v>
      </c>
      <c r="B140" t="s">
        <v>322</v>
      </c>
      <c r="C140" s="1">
        <v>2.9390000000000002E-3</v>
      </c>
      <c r="D140" s="1">
        <v>3.3969999999999998E-3</v>
      </c>
      <c r="E140">
        <v>20</v>
      </c>
      <c r="F140" t="s">
        <v>321</v>
      </c>
      <c r="G140" t="s">
        <v>134</v>
      </c>
    </row>
    <row r="141" spans="1:7" x14ac:dyDescent="0.25">
      <c r="A141" s="16" t="str">
        <f>HYPERLINK("http://amigo.geneontology.org/amigo/term/GO:0070973","GO:0070973")</f>
        <v>GO:0070973</v>
      </c>
      <c r="B141" t="s">
        <v>323</v>
      </c>
      <c r="C141" s="1">
        <v>3.0730000000000002E-3</v>
      </c>
      <c r="D141" s="1">
        <v>3.5500000000000002E-3</v>
      </c>
      <c r="E141">
        <v>6</v>
      </c>
      <c r="F141" t="s">
        <v>324</v>
      </c>
      <c r="G141" t="s">
        <v>325</v>
      </c>
    </row>
    <row r="142" spans="1:7" x14ac:dyDescent="0.25">
      <c r="A142" s="16" t="str">
        <f>HYPERLINK("http://amigo.geneontology.org/amigo/term/GO:0015942","GO:0015942")</f>
        <v>GO:0015942</v>
      </c>
      <c r="B142" t="s">
        <v>326</v>
      </c>
      <c r="C142" s="1">
        <v>3.0730000000000002E-3</v>
      </c>
      <c r="D142" s="1">
        <v>3.5500000000000002E-3</v>
      </c>
      <c r="E142">
        <v>6</v>
      </c>
      <c r="F142" t="s">
        <v>324</v>
      </c>
      <c r="G142" t="s">
        <v>327</v>
      </c>
    </row>
    <row r="143" spans="1:7" x14ac:dyDescent="0.25">
      <c r="A143" s="16" t="str">
        <f>HYPERLINK("http://amigo.geneontology.org/amigo/term/GO:0042183","GO:0042183")</f>
        <v>GO:0042183</v>
      </c>
      <c r="B143" t="s">
        <v>328</v>
      </c>
      <c r="C143" s="1">
        <v>3.0730000000000002E-3</v>
      </c>
      <c r="D143" s="1">
        <v>3.5500000000000002E-3</v>
      </c>
      <c r="E143">
        <v>6</v>
      </c>
      <c r="F143" t="s">
        <v>324</v>
      </c>
      <c r="G143" t="s">
        <v>327</v>
      </c>
    </row>
    <row r="144" spans="1:7" x14ac:dyDescent="0.25">
      <c r="A144" s="16" t="str">
        <f>HYPERLINK("http://amigo.geneontology.org/amigo/term/GO:0044249","GO:0044249")</f>
        <v>GO:0044249</v>
      </c>
      <c r="B144" t="s">
        <v>329</v>
      </c>
      <c r="C144" s="1">
        <v>3.1779999999999998E-3</v>
      </c>
      <c r="D144" s="1">
        <v>3.6709999999999998E-3</v>
      </c>
      <c r="E144">
        <v>6840</v>
      </c>
      <c r="F144" t="s">
        <v>330</v>
      </c>
      <c r="G144" t="s">
        <v>331</v>
      </c>
    </row>
    <row r="145" spans="1:7" x14ac:dyDescent="0.25">
      <c r="A145" s="16" t="str">
        <f>HYPERLINK("http://amigo.geneontology.org/amigo/term/GO:0010257","GO:0010257")</f>
        <v>GO:0010257</v>
      </c>
      <c r="B145" t="s">
        <v>332</v>
      </c>
      <c r="C145" s="1">
        <v>3.392E-3</v>
      </c>
      <c r="D145" s="1">
        <v>3.9170000000000003E-3</v>
      </c>
      <c r="E145">
        <v>21</v>
      </c>
      <c r="F145" t="s">
        <v>333</v>
      </c>
      <c r="G145" t="s">
        <v>302</v>
      </c>
    </row>
    <row r="146" spans="1:7" x14ac:dyDescent="0.25">
      <c r="A146" s="16" t="str">
        <f>HYPERLINK("http://amigo.geneontology.org/amigo/term/GO:0006323","GO:0006323")</f>
        <v>GO:0006323</v>
      </c>
      <c r="B146" t="s">
        <v>334</v>
      </c>
      <c r="C146" s="1">
        <v>3.5439999999999998E-3</v>
      </c>
      <c r="D146" s="1">
        <v>4.0920000000000002E-3</v>
      </c>
      <c r="E146">
        <v>286</v>
      </c>
      <c r="F146" t="s">
        <v>335</v>
      </c>
      <c r="G146" t="s">
        <v>266</v>
      </c>
    </row>
    <row r="147" spans="1:7" x14ac:dyDescent="0.25">
      <c r="A147" s="16" t="str">
        <f>HYPERLINK("http://amigo.geneontology.org/amigo/term/GO:0042026","GO:0042026")</f>
        <v>GO:0042026</v>
      </c>
      <c r="B147" t="s">
        <v>336</v>
      </c>
      <c r="C147" s="1">
        <v>3.5490000000000001E-3</v>
      </c>
      <c r="D147" s="1">
        <v>4.0959999999999998E-3</v>
      </c>
      <c r="E147">
        <v>43</v>
      </c>
      <c r="F147" t="s">
        <v>337</v>
      </c>
      <c r="G147" t="s">
        <v>338</v>
      </c>
    </row>
    <row r="148" spans="1:7" x14ac:dyDescent="0.25">
      <c r="A148" s="16" t="str">
        <f>HYPERLINK("http://amigo.geneontology.org/amigo/term/GO:0043603","GO:0043603")</f>
        <v>GO:0043603</v>
      </c>
      <c r="B148" t="s">
        <v>339</v>
      </c>
      <c r="C148" s="1">
        <v>3.8319999999999999E-3</v>
      </c>
      <c r="D148" s="1">
        <v>4.4219999999999997E-3</v>
      </c>
      <c r="E148">
        <v>2353</v>
      </c>
      <c r="F148" t="s">
        <v>340</v>
      </c>
      <c r="G148" t="s">
        <v>341</v>
      </c>
    </row>
    <row r="149" spans="1:7" x14ac:dyDescent="0.25">
      <c r="A149" s="16" t="str">
        <f>HYPERLINK("http://amigo.geneontology.org/amigo/term/GO:0006760","GO:0006760")</f>
        <v>GO:0006760</v>
      </c>
      <c r="B149" t="s">
        <v>342</v>
      </c>
      <c r="C149" s="1">
        <v>3.859E-3</v>
      </c>
      <c r="D149" s="1">
        <v>4.4520000000000002E-3</v>
      </c>
      <c r="E149">
        <v>44</v>
      </c>
      <c r="F149" t="s">
        <v>343</v>
      </c>
      <c r="G149" t="s">
        <v>113</v>
      </c>
    </row>
    <row r="150" spans="1:7" x14ac:dyDescent="0.25">
      <c r="A150" s="16" t="str">
        <f>HYPERLINK("http://amigo.geneontology.org/amigo/term/GO:0006334","GO:0006334")</f>
        <v>GO:0006334</v>
      </c>
      <c r="B150" t="s">
        <v>344</v>
      </c>
      <c r="C150" s="1">
        <v>4.267E-3</v>
      </c>
      <c r="D150" s="1">
        <v>4.921E-3</v>
      </c>
      <c r="E150">
        <v>252</v>
      </c>
      <c r="F150" t="s">
        <v>345</v>
      </c>
      <c r="G150" t="s">
        <v>346</v>
      </c>
    </row>
    <row r="151" spans="1:7" x14ac:dyDescent="0.25">
      <c r="A151" s="16" t="str">
        <f>HYPERLINK("http://amigo.geneontology.org/amigo/term/GO:0055086","GO:0055086")</f>
        <v>GO:0055086</v>
      </c>
      <c r="B151" t="s">
        <v>347</v>
      </c>
      <c r="C151" s="1">
        <v>4.424E-3</v>
      </c>
      <c r="D151" s="1">
        <v>5.1009999999999996E-3</v>
      </c>
      <c r="E151">
        <v>857</v>
      </c>
      <c r="F151" t="s">
        <v>348</v>
      </c>
      <c r="G151" t="s">
        <v>349</v>
      </c>
    </row>
    <row r="152" spans="1:7" x14ac:dyDescent="0.25">
      <c r="A152" s="16" t="str">
        <f>HYPERLINK("http://amigo.geneontology.org/amigo/term/GO:0008652","GO:0008652")</f>
        <v>GO:0008652</v>
      </c>
      <c r="B152" t="s">
        <v>350</v>
      </c>
      <c r="C152" s="1">
        <v>4.5079999999999999E-3</v>
      </c>
      <c r="D152" s="1">
        <v>5.1960000000000001E-3</v>
      </c>
      <c r="E152">
        <v>338</v>
      </c>
      <c r="F152" t="s">
        <v>351</v>
      </c>
      <c r="G152" t="s">
        <v>269</v>
      </c>
    </row>
    <row r="153" spans="1:7" x14ac:dyDescent="0.25">
      <c r="A153" s="16" t="str">
        <f>HYPERLINK("http://amigo.geneontology.org/amigo/term/GO:0009309","GO:0009309")</f>
        <v>GO:0009309</v>
      </c>
      <c r="B153" t="s">
        <v>352</v>
      </c>
      <c r="C153" s="1">
        <v>4.5259999999999996E-3</v>
      </c>
      <c r="D153" s="1">
        <v>5.2160000000000002E-3</v>
      </c>
      <c r="E153">
        <v>105</v>
      </c>
      <c r="F153" t="s">
        <v>353</v>
      </c>
      <c r="G153" t="s">
        <v>354</v>
      </c>
    </row>
    <row r="154" spans="1:7" x14ac:dyDescent="0.25">
      <c r="A154" s="16" t="str">
        <f>HYPERLINK("http://amigo.geneontology.org/amigo/term/GO:0042401","GO:0042401")</f>
        <v>GO:0042401</v>
      </c>
      <c r="B154" t="s">
        <v>355</v>
      </c>
      <c r="C154" s="1">
        <v>4.5259999999999996E-3</v>
      </c>
      <c r="D154" s="1">
        <v>5.2160000000000002E-3</v>
      </c>
      <c r="E154">
        <v>105</v>
      </c>
      <c r="F154" t="s">
        <v>353</v>
      </c>
      <c r="G154" t="s">
        <v>354</v>
      </c>
    </row>
    <row r="155" spans="1:7" x14ac:dyDescent="0.25">
      <c r="A155" s="16" t="str">
        <f>HYPERLINK("http://amigo.geneontology.org/amigo/term/GO:0007205","GO:0007205")</f>
        <v>GO:0007205</v>
      </c>
      <c r="B155" t="s">
        <v>356</v>
      </c>
      <c r="C155" s="1">
        <v>4.9969999999999997E-3</v>
      </c>
      <c r="D155" s="1">
        <v>5.7580000000000001E-3</v>
      </c>
      <c r="E155">
        <v>24</v>
      </c>
      <c r="F155" t="s">
        <v>357</v>
      </c>
      <c r="G155" t="s">
        <v>358</v>
      </c>
    </row>
    <row r="156" spans="1:7" x14ac:dyDescent="0.25">
      <c r="A156" s="16" t="str">
        <f>HYPERLINK("http://amigo.geneontology.org/amigo/term/GO:0015936","GO:0015936")</f>
        <v>GO:0015936</v>
      </c>
      <c r="B156" t="s">
        <v>359</v>
      </c>
      <c r="C156" s="1">
        <v>4.9969999999999997E-3</v>
      </c>
      <c r="D156" s="1">
        <v>5.7580000000000001E-3</v>
      </c>
      <c r="E156">
        <v>24</v>
      </c>
      <c r="F156" t="s">
        <v>357</v>
      </c>
      <c r="G156" t="s">
        <v>360</v>
      </c>
    </row>
    <row r="157" spans="1:7" x14ac:dyDescent="0.25">
      <c r="A157" s="16" t="str">
        <f>HYPERLINK("http://amigo.geneontology.org/amigo/term/GO:0009218","GO:0009218")</f>
        <v>GO:0009218</v>
      </c>
      <c r="B157" t="s">
        <v>361</v>
      </c>
      <c r="C157" s="1">
        <v>5.2839999999999996E-3</v>
      </c>
      <c r="D157" s="1">
        <v>6.0860000000000003E-3</v>
      </c>
      <c r="E157">
        <v>48</v>
      </c>
      <c r="F157" t="s">
        <v>362</v>
      </c>
      <c r="G157" t="s">
        <v>285</v>
      </c>
    </row>
    <row r="158" spans="1:7" x14ac:dyDescent="0.25">
      <c r="A158" s="16" t="str">
        <f>HYPERLINK("http://amigo.geneontology.org/amigo/term/GO:0009220","GO:0009220")</f>
        <v>GO:0009220</v>
      </c>
      <c r="B158" t="s">
        <v>363</v>
      </c>
      <c r="C158" s="1">
        <v>5.2839999999999996E-3</v>
      </c>
      <c r="D158" s="1">
        <v>6.0860000000000003E-3</v>
      </c>
      <c r="E158">
        <v>48</v>
      </c>
      <c r="F158" t="s">
        <v>362</v>
      </c>
      <c r="G158" t="s">
        <v>285</v>
      </c>
    </row>
    <row r="159" spans="1:7" x14ac:dyDescent="0.25">
      <c r="A159" s="16" t="str">
        <f>HYPERLINK("http://amigo.geneontology.org/amigo/term/GO:1901566","GO:1901566")</f>
        <v>GO:1901566</v>
      </c>
      <c r="B159" t="s">
        <v>364</v>
      </c>
      <c r="C159" s="1">
        <v>5.3309999999999998E-3</v>
      </c>
      <c r="D159" s="1">
        <v>6.1390000000000004E-3</v>
      </c>
      <c r="E159">
        <v>3496</v>
      </c>
      <c r="F159" t="s">
        <v>365</v>
      </c>
      <c r="G159" t="s">
        <v>366</v>
      </c>
    </row>
    <row r="160" spans="1:7" x14ac:dyDescent="0.25">
      <c r="A160" s="16" t="str">
        <f>HYPERLINK("http://amigo.geneontology.org/amigo/term/GO:0034728","GO:0034728")</f>
        <v>GO:0034728</v>
      </c>
      <c r="B160" t="s">
        <v>367</v>
      </c>
      <c r="C160" s="1">
        <v>5.4349999999999997E-3</v>
      </c>
      <c r="D160" s="1">
        <v>6.2579999999999997E-3</v>
      </c>
      <c r="E160">
        <v>261</v>
      </c>
      <c r="F160" t="s">
        <v>368</v>
      </c>
      <c r="G160" t="s">
        <v>346</v>
      </c>
    </row>
    <row r="161" spans="1:7" x14ac:dyDescent="0.25">
      <c r="A161" s="16" t="str">
        <f>HYPERLINK("http://amigo.geneontology.org/amigo/term/GO:0006123","GO:0006123")</f>
        <v>GO:0006123</v>
      </c>
      <c r="B161" t="s">
        <v>369</v>
      </c>
      <c r="C161" s="1">
        <v>5.6249999999999998E-3</v>
      </c>
      <c r="D161" s="1">
        <v>6.4749999999999999E-3</v>
      </c>
      <c r="E161">
        <v>8</v>
      </c>
      <c r="F161" t="s">
        <v>370</v>
      </c>
      <c r="G161" t="s">
        <v>371</v>
      </c>
    </row>
    <row r="162" spans="1:7" x14ac:dyDescent="0.25">
      <c r="A162" s="16" t="str">
        <f>HYPERLINK("http://amigo.geneontology.org/amigo/term/GO:0006616","GO:0006616")</f>
        <v>GO:0006616</v>
      </c>
      <c r="B162" t="s">
        <v>372</v>
      </c>
      <c r="C162" s="1">
        <v>5.6249999999999998E-3</v>
      </c>
      <c r="D162" s="1">
        <v>6.4749999999999999E-3</v>
      </c>
      <c r="E162">
        <v>8</v>
      </c>
      <c r="F162" t="s">
        <v>370</v>
      </c>
      <c r="G162" t="s">
        <v>373</v>
      </c>
    </row>
    <row r="163" spans="1:7" x14ac:dyDescent="0.25">
      <c r="A163" s="16" t="str">
        <f>HYPERLINK("http://amigo.geneontology.org/amigo/term/GO:1901606","GO:1901606")</f>
        <v>GO:1901606</v>
      </c>
      <c r="B163" t="s">
        <v>374</v>
      </c>
      <c r="C163" s="1">
        <v>6.0679999999999996E-3</v>
      </c>
      <c r="D163" s="1">
        <v>6.9839999999999998E-3</v>
      </c>
      <c r="E163">
        <v>147</v>
      </c>
      <c r="F163" t="s">
        <v>375</v>
      </c>
      <c r="G163" t="s">
        <v>376</v>
      </c>
    </row>
    <row r="164" spans="1:7" x14ac:dyDescent="0.25">
      <c r="A164" s="16" t="str">
        <f>HYPERLINK("http://amigo.geneontology.org/amigo/term/GO:0006518","GO:0006518")</f>
        <v>GO:0006518</v>
      </c>
      <c r="B164" t="s">
        <v>377</v>
      </c>
      <c r="C164" s="1">
        <v>6.0730000000000003E-3</v>
      </c>
      <c r="D164" s="1">
        <v>6.9870000000000002E-3</v>
      </c>
      <c r="E164">
        <v>2184</v>
      </c>
      <c r="F164" t="s">
        <v>378</v>
      </c>
      <c r="G164" t="s">
        <v>379</v>
      </c>
    </row>
    <row r="165" spans="1:7" x14ac:dyDescent="0.25">
      <c r="A165" s="16" t="str">
        <f>HYPERLINK("http://amigo.geneontology.org/amigo/term/GO:0006073","GO:0006073")</f>
        <v>GO:0006073</v>
      </c>
      <c r="B165" t="s">
        <v>380</v>
      </c>
      <c r="C165" s="1">
        <v>6.254E-3</v>
      </c>
      <c r="D165" s="1">
        <v>7.1939999999999999E-3</v>
      </c>
      <c r="E165">
        <v>443</v>
      </c>
      <c r="F165" t="s">
        <v>381</v>
      </c>
      <c r="G165" t="s">
        <v>382</v>
      </c>
    </row>
    <row r="166" spans="1:7" x14ac:dyDescent="0.25">
      <c r="A166" s="16" t="str">
        <f>HYPERLINK("http://amigo.geneontology.org/amigo/term/GO:0044042","GO:0044042")</f>
        <v>GO:0044042</v>
      </c>
      <c r="B166" t="s">
        <v>383</v>
      </c>
      <c r="C166" s="1">
        <v>6.4949999999999999E-3</v>
      </c>
      <c r="D166" s="1">
        <v>7.4689999999999999E-3</v>
      </c>
      <c r="E166">
        <v>445</v>
      </c>
      <c r="F166" t="s">
        <v>384</v>
      </c>
      <c r="G166" t="s">
        <v>382</v>
      </c>
    </row>
    <row r="167" spans="1:7" x14ac:dyDescent="0.25">
      <c r="A167" s="16" t="str">
        <f>HYPERLINK("http://amigo.geneontology.org/amigo/term/GO:0017004","GO:0017004")</f>
        <v>GO:0017004</v>
      </c>
      <c r="B167" t="s">
        <v>385</v>
      </c>
      <c r="C167" s="1">
        <v>6.7580000000000001E-3</v>
      </c>
      <c r="D167" s="1">
        <v>7.7689999999999999E-3</v>
      </c>
      <c r="E167">
        <v>81</v>
      </c>
      <c r="F167" t="s">
        <v>386</v>
      </c>
      <c r="G167" t="s">
        <v>387</v>
      </c>
    </row>
    <row r="168" spans="1:7" x14ac:dyDescent="0.25">
      <c r="A168" s="16" t="str">
        <f>HYPERLINK("http://amigo.geneontology.org/amigo/term/GO:0051276","GO:0051276")</f>
        <v>GO:0051276</v>
      </c>
      <c r="B168" t="s">
        <v>388</v>
      </c>
      <c r="C168" s="1">
        <v>7.0569999999999999E-3</v>
      </c>
      <c r="D168" s="1">
        <v>8.1119999999999994E-3</v>
      </c>
      <c r="E168">
        <v>592</v>
      </c>
      <c r="F168" t="s">
        <v>389</v>
      </c>
      <c r="G168" t="s">
        <v>390</v>
      </c>
    </row>
    <row r="169" spans="1:7" x14ac:dyDescent="0.25">
      <c r="A169" s="16" t="str">
        <f>HYPERLINK("http://amigo.geneontology.org/amigo/term/GO:0043174","GO:0043174")</f>
        <v>GO:0043174</v>
      </c>
      <c r="B169" t="s">
        <v>391</v>
      </c>
      <c r="C169" s="1">
        <v>7.1630000000000001E-3</v>
      </c>
      <c r="D169" s="1">
        <v>8.2310000000000005E-3</v>
      </c>
      <c r="E169">
        <v>9</v>
      </c>
      <c r="F169" t="s">
        <v>392</v>
      </c>
      <c r="G169" t="s">
        <v>393</v>
      </c>
    </row>
    <row r="170" spans="1:7" x14ac:dyDescent="0.25">
      <c r="A170" s="16" t="str">
        <f>HYPERLINK("http://amigo.geneontology.org/amigo/term/GO:0006166","GO:0006166")</f>
        <v>GO:0006166</v>
      </c>
      <c r="B170" t="s">
        <v>394</v>
      </c>
      <c r="C170" s="1">
        <v>7.1630000000000001E-3</v>
      </c>
      <c r="D170" s="1">
        <v>8.2310000000000005E-3</v>
      </c>
      <c r="E170">
        <v>9</v>
      </c>
      <c r="F170" t="s">
        <v>392</v>
      </c>
      <c r="G170" t="s">
        <v>393</v>
      </c>
    </row>
    <row r="171" spans="1:7" x14ac:dyDescent="0.25">
      <c r="A171" s="16" t="str">
        <f>HYPERLINK("http://amigo.geneontology.org/amigo/term/GO:0006596","GO:0006596")</f>
        <v>GO:0006596</v>
      </c>
      <c r="B171" t="s">
        <v>395</v>
      </c>
      <c r="C171" s="1">
        <v>7.5100000000000002E-3</v>
      </c>
      <c r="D171" s="1">
        <v>8.6280000000000003E-3</v>
      </c>
      <c r="E171">
        <v>53</v>
      </c>
      <c r="F171" t="s">
        <v>396</v>
      </c>
      <c r="G171" t="s">
        <v>397</v>
      </c>
    </row>
    <row r="172" spans="1:7" x14ac:dyDescent="0.25">
      <c r="A172" s="16" t="str">
        <f>HYPERLINK("http://amigo.geneontology.org/amigo/term/GO:0051259","GO:0051259")</f>
        <v>GO:0051259</v>
      </c>
      <c r="B172" t="s">
        <v>398</v>
      </c>
      <c r="C172" s="1">
        <v>7.5100000000000002E-3</v>
      </c>
      <c r="D172" s="1">
        <v>8.6280000000000003E-3</v>
      </c>
      <c r="E172">
        <v>53</v>
      </c>
      <c r="F172" t="s">
        <v>396</v>
      </c>
      <c r="G172" t="s">
        <v>399</v>
      </c>
    </row>
    <row r="173" spans="1:7" x14ac:dyDescent="0.25">
      <c r="A173" s="16" t="str">
        <f>HYPERLINK("http://amigo.geneontology.org/amigo/term/GO:0006801","GO:0006801")</f>
        <v>GO:0006801</v>
      </c>
      <c r="B173" t="s">
        <v>400</v>
      </c>
      <c r="C173" s="1">
        <v>7.7470000000000004E-3</v>
      </c>
      <c r="D173" s="1">
        <v>8.8979999999999997E-3</v>
      </c>
      <c r="E173">
        <v>28</v>
      </c>
      <c r="F173" t="s">
        <v>401</v>
      </c>
      <c r="G173" t="s">
        <v>304</v>
      </c>
    </row>
    <row r="174" spans="1:7" x14ac:dyDescent="0.25">
      <c r="A174" s="16" t="str">
        <f>HYPERLINK("http://amigo.geneontology.org/amigo/term/GO:0006595","GO:0006595")</f>
        <v>GO:0006595</v>
      </c>
      <c r="B174" t="s">
        <v>402</v>
      </c>
      <c r="C174" s="1">
        <v>8.5489999999999993E-3</v>
      </c>
      <c r="D174" s="1">
        <v>9.8169999999999993E-3</v>
      </c>
      <c r="E174">
        <v>55</v>
      </c>
      <c r="F174" t="s">
        <v>403</v>
      </c>
      <c r="G174" t="s">
        <v>397</v>
      </c>
    </row>
    <row r="175" spans="1:7" x14ac:dyDescent="0.25">
      <c r="A175" s="16" t="str">
        <f>HYPERLINK("http://amigo.geneontology.org/amigo/term/GO:0000302","GO:0000302")</f>
        <v>GO:0000302</v>
      </c>
      <c r="B175" t="s">
        <v>404</v>
      </c>
      <c r="C175" s="1">
        <v>8.6580000000000008E-3</v>
      </c>
      <c r="D175" s="1">
        <v>9.9399999999999992E-3</v>
      </c>
      <c r="E175">
        <v>86</v>
      </c>
      <c r="F175" t="s">
        <v>405</v>
      </c>
      <c r="G175" t="s">
        <v>406</v>
      </c>
    </row>
    <row r="176" spans="1:7" x14ac:dyDescent="0.25">
      <c r="A176" s="16" t="str">
        <f>HYPERLINK("http://amigo.geneontology.org/amigo/term/GO:0006312","GO:0006312")</f>
        <v>GO:0006312</v>
      </c>
      <c r="B176" t="s">
        <v>407</v>
      </c>
      <c r="C176" s="1">
        <v>8.8669999999999999E-3</v>
      </c>
      <c r="D176">
        <v>0.01</v>
      </c>
      <c r="E176">
        <v>10</v>
      </c>
      <c r="F176" t="s">
        <v>408</v>
      </c>
      <c r="G176" t="s">
        <v>409</v>
      </c>
    </row>
    <row r="177" spans="1:7" x14ac:dyDescent="0.25">
      <c r="A177" s="16" t="str">
        <f>HYPERLINK("http://amigo.geneontology.org/amigo/term/GO:0065004","GO:0065004")</f>
        <v>GO:0065004</v>
      </c>
      <c r="B177" t="s">
        <v>410</v>
      </c>
      <c r="C177" s="1">
        <v>9.5479999999999992E-3</v>
      </c>
      <c r="D177">
        <v>0.01</v>
      </c>
      <c r="E177">
        <v>328</v>
      </c>
      <c r="F177" t="s">
        <v>411</v>
      </c>
      <c r="G177" t="s">
        <v>412</v>
      </c>
    </row>
    <row r="178" spans="1:7" x14ac:dyDescent="0.25">
      <c r="A178" s="16" t="str">
        <f>HYPERLINK("http://amigo.geneontology.org/amigo/term/GO:0042221","GO:0042221")</f>
        <v>GO:0042221</v>
      </c>
      <c r="B178" t="s">
        <v>413</v>
      </c>
      <c r="C178" s="1">
        <v>9.639E-3</v>
      </c>
      <c r="D178">
        <v>0.01</v>
      </c>
      <c r="E178">
        <v>1733</v>
      </c>
      <c r="F178" t="s">
        <v>414</v>
      </c>
      <c r="G178" t="s">
        <v>415</v>
      </c>
    </row>
    <row r="179" spans="1:7" x14ac:dyDescent="0.25">
      <c r="A179" s="16" t="str">
        <f>HYPERLINK("http://amigo.geneontology.org/amigo/term/GO:0048638","GO:0048638")</f>
        <v>GO:0048638</v>
      </c>
      <c r="B179" t="s">
        <v>416</v>
      </c>
      <c r="C179">
        <v>0.01</v>
      </c>
      <c r="D179">
        <v>0.01</v>
      </c>
      <c r="E179">
        <v>93</v>
      </c>
      <c r="F179" t="s">
        <v>417</v>
      </c>
      <c r="G179" t="s">
        <v>418</v>
      </c>
    </row>
    <row r="180" spans="1:7" x14ac:dyDescent="0.25">
      <c r="A180" s="16" t="str">
        <f>HYPERLINK("http://amigo.geneontology.org/amigo/term/GO:0006950","GO:0006950")</f>
        <v>GO:0006950</v>
      </c>
      <c r="B180" t="s">
        <v>419</v>
      </c>
      <c r="C180">
        <v>0.01</v>
      </c>
      <c r="D180">
        <v>0.01</v>
      </c>
      <c r="E180">
        <v>3133</v>
      </c>
      <c r="F180" t="s">
        <v>420</v>
      </c>
      <c r="G180" t="s">
        <v>421</v>
      </c>
    </row>
    <row r="181" spans="1:7" x14ac:dyDescent="0.25">
      <c r="A181" s="16" t="str">
        <f>HYPERLINK("http://amigo.geneontology.org/amigo/term/GO:0019725","GO:0019725")</f>
        <v>GO:0019725</v>
      </c>
      <c r="B181" t="s">
        <v>422</v>
      </c>
      <c r="C181">
        <v>0.01</v>
      </c>
      <c r="D181">
        <v>0.01</v>
      </c>
      <c r="E181">
        <v>474</v>
      </c>
      <c r="F181" t="s">
        <v>423</v>
      </c>
      <c r="G181" t="s">
        <v>424</v>
      </c>
    </row>
    <row r="182" spans="1:7" x14ac:dyDescent="0.25">
      <c r="A182" s="16" t="str">
        <f>HYPERLINK("http://amigo.geneontology.org/amigo/term/GO:0006338","GO:0006338")</f>
        <v>GO:0006338</v>
      </c>
      <c r="B182" t="s">
        <v>425</v>
      </c>
      <c r="C182">
        <v>0.01</v>
      </c>
      <c r="D182">
        <v>0.01</v>
      </c>
      <c r="E182">
        <v>298</v>
      </c>
      <c r="F182" t="s">
        <v>426</v>
      </c>
      <c r="G182" t="s">
        <v>346</v>
      </c>
    </row>
    <row r="183" spans="1:7" x14ac:dyDescent="0.25">
      <c r="A183" s="16" t="str">
        <f>HYPERLINK("http://amigo.geneontology.org/amigo/term/GO:0071824","GO:0071824")</f>
        <v>GO:0071824</v>
      </c>
      <c r="B183" t="s">
        <v>427</v>
      </c>
      <c r="C183">
        <v>0.01</v>
      </c>
      <c r="D183">
        <v>0.01</v>
      </c>
      <c r="E183">
        <v>338</v>
      </c>
      <c r="F183" t="s">
        <v>428</v>
      </c>
      <c r="G183" t="s">
        <v>412</v>
      </c>
    </row>
    <row r="184" spans="1:7" x14ac:dyDescent="0.25">
      <c r="A184" s="16" t="str">
        <f>HYPERLINK("http://amigo.geneontology.org/amigo/term/GO:0009072","GO:0009072")</f>
        <v>GO:0009072</v>
      </c>
      <c r="B184" t="s">
        <v>429</v>
      </c>
      <c r="C184">
        <v>0.01</v>
      </c>
      <c r="D184">
        <v>0.02</v>
      </c>
      <c r="E184">
        <v>214</v>
      </c>
      <c r="F184" t="s">
        <v>430</v>
      </c>
      <c r="G184" t="s">
        <v>431</v>
      </c>
    </row>
    <row r="185" spans="1:7" x14ac:dyDescent="0.25">
      <c r="A185" s="16" t="str">
        <f>HYPERLINK("http://amigo.geneontology.org/amigo/term/GO:0090610","GO:0090610")</f>
        <v>GO:0090610</v>
      </c>
      <c r="B185" t="s">
        <v>432</v>
      </c>
      <c r="C185">
        <v>0.01</v>
      </c>
      <c r="D185">
        <v>0.02</v>
      </c>
      <c r="E185">
        <v>1</v>
      </c>
      <c r="F185" t="s">
        <v>433</v>
      </c>
      <c r="G185" t="s">
        <v>434</v>
      </c>
    </row>
    <row r="186" spans="1:7" x14ac:dyDescent="0.25">
      <c r="A186" s="16" t="str">
        <f>HYPERLINK("http://amigo.geneontology.org/amigo/term/GO:0046916","GO:0046916")</f>
        <v>GO:0046916</v>
      </c>
      <c r="B186" t="s">
        <v>435</v>
      </c>
      <c r="C186">
        <v>0.01</v>
      </c>
      <c r="D186">
        <v>0.02</v>
      </c>
      <c r="E186">
        <v>64</v>
      </c>
      <c r="F186" t="s">
        <v>436</v>
      </c>
      <c r="G186" t="s">
        <v>437</v>
      </c>
    </row>
    <row r="187" spans="1:7" x14ac:dyDescent="0.25">
      <c r="A187" s="16" t="str">
        <f>HYPERLINK("http://amigo.geneontology.org/amigo/term/GO:0009308","GO:0009308")</f>
        <v>GO:0009308</v>
      </c>
      <c r="B187" t="s">
        <v>438</v>
      </c>
      <c r="C187">
        <v>0.01</v>
      </c>
      <c r="D187">
        <v>0.01</v>
      </c>
      <c r="E187">
        <v>245</v>
      </c>
      <c r="F187" t="s">
        <v>439</v>
      </c>
      <c r="G187" t="s">
        <v>440</v>
      </c>
    </row>
    <row r="188" spans="1:7" x14ac:dyDescent="0.25">
      <c r="A188" s="16" t="str">
        <f>HYPERLINK("http://amigo.geneontology.org/amigo/term/GO:0044106","GO:0044106")</f>
        <v>GO:0044106</v>
      </c>
      <c r="B188" t="s">
        <v>441</v>
      </c>
      <c r="C188">
        <v>0.01</v>
      </c>
      <c r="D188">
        <v>0.01</v>
      </c>
      <c r="E188">
        <v>162</v>
      </c>
      <c r="F188" t="s">
        <v>442</v>
      </c>
      <c r="G188" t="s">
        <v>443</v>
      </c>
    </row>
    <row r="189" spans="1:7" x14ac:dyDescent="0.25">
      <c r="A189" s="16" t="str">
        <f>HYPERLINK("http://amigo.geneontology.org/amigo/term/GO:0006576","GO:0006576")</f>
        <v>GO:0006576</v>
      </c>
      <c r="B189" t="s">
        <v>444</v>
      </c>
      <c r="C189">
        <v>0.01</v>
      </c>
      <c r="D189">
        <v>0.01</v>
      </c>
      <c r="E189">
        <v>162</v>
      </c>
      <c r="F189" t="s">
        <v>442</v>
      </c>
      <c r="G189" t="s">
        <v>443</v>
      </c>
    </row>
    <row r="190" spans="1:7" x14ac:dyDescent="0.25">
      <c r="A190" s="16" t="str">
        <f>HYPERLINK("http://amigo.geneontology.org/amigo/term/GO:2000779","GO:2000779")</f>
        <v>GO:2000779</v>
      </c>
      <c r="B190" t="s">
        <v>445</v>
      </c>
      <c r="C190">
        <v>0.01</v>
      </c>
      <c r="D190">
        <v>0.02</v>
      </c>
      <c r="E190">
        <v>1</v>
      </c>
      <c r="F190" t="s">
        <v>433</v>
      </c>
      <c r="G190" t="s">
        <v>446</v>
      </c>
    </row>
    <row r="191" spans="1:7" x14ac:dyDescent="0.25">
      <c r="A191" s="16" t="str">
        <f>HYPERLINK("http://amigo.geneontology.org/amigo/term/GO:0010569","GO:0010569")</f>
        <v>GO:0010569</v>
      </c>
      <c r="B191" t="s">
        <v>447</v>
      </c>
      <c r="C191">
        <v>0.01</v>
      </c>
      <c r="D191">
        <v>0.02</v>
      </c>
      <c r="E191">
        <v>1</v>
      </c>
      <c r="F191" t="s">
        <v>433</v>
      </c>
      <c r="G191" t="s">
        <v>446</v>
      </c>
    </row>
    <row r="192" spans="1:7" x14ac:dyDescent="0.25">
      <c r="A192" s="16" t="str">
        <f>HYPERLINK("http://amigo.geneontology.org/amigo/term/GO:2001021","GO:2001021")</f>
        <v>GO:2001021</v>
      </c>
      <c r="B192" t="s">
        <v>448</v>
      </c>
      <c r="C192">
        <v>0.01</v>
      </c>
      <c r="D192">
        <v>0.02</v>
      </c>
      <c r="E192">
        <v>1</v>
      </c>
      <c r="F192" t="s">
        <v>433</v>
      </c>
      <c r="G192" t="s">
        <v>446</v>
      </c>
    </row>
    <row r="193" spans="1:7" x14ac:dyDescent="0.25">
      <c r="A193" s="16" t="str">
        <f>HYPERLINK("http://amigo.geneontology.org/amigo/term/GO:0045738","GO:0045738")</f>
        <v>GO:0045738</v>
      </c>
      <c r="B193" t="s">
        <v>449</v>
      </c>
      <c r="C193">
        <v>0.01</v>
      </c>
      <c r="D193">
        <v>0.02</v>
      </c>
      <c r="E193">
        <v>1</v>
      </c>
      <c r="F193" t="s">
        <v>433</v>
      </c>
      <c r="G193" t="s">
        <v>446</v>
      </c>
    </row>
    <row r="194" spans="1:7" x14ac:dyDescent="0.25">
      <c r="A194" s="16" t="str">
        <f>HYPERLINK("http://amigo.geneontology.org/amigo/term/GO:2000780","GO:2000780")</f>
        <v>GO:2000780</v>
      </c>
      <c r="B194" t="s">
        <v>450</v>
      </c>
      <c r="C194">
        <v>0.01</v>
      </c>
      <c r="D194">
        <v>0.02</v>
      </c>
      <c r="E194">
        <v>1</v>
      </c>
      <c r="F194" t="s">
        <v>433</v>
      </c>
      <c r="G194" t="s">
        <v>446</v>
      </c>
    </row>
    <row r="195" spans="1:7" x14ac:dyDescent="0.25">
      <c r="A195" s="16" t="str">
        <f>HYPERLINK("http://amigo.geneontology.org/amigo/term/GO:2000042","GO:2000042")</f>
        <v>GO:2000042</v>
      </c>
      <c r="B195" t="s">
        <v>451</v>
      </c>
      <c r="C195">
        <v>0.01</v>
      </c>
      <c r="D195">
        <v>0.02</v>
      </c>
      <c r="E195">
        <v>1</v>
      </c>
      <c r="F195" t="s">
        <v>433</v>
      </c>
      <c r="G195" t="s">
        <v>446</v>
      </c>
    </row>
    <row r="196" spans="1:7" x14ac:dyDescent="0.25">
      <c r="A196" s="16" t="str">
        <f>HYPERLINK("http://amigo.geneontology.org/amigo/term/GO:0010731","GO:0010731")</f>
        <v>GO:0010731</v>
      </c>
      <c r="B196" t="s">
        <v>452</v>
      </c>
      <c r="C196">
        <v>0.01</v>
      </c>
      <c r="D196">
        <v>0.02</v>
      </c>
      <c r="E196">
        <v>1</v>
      </c>
      <c r="F196" t="s">
        <v>433</v>
      </c>
      <c r="G196" t="s">
        <v>453</v>
      </c>
    </row>
    <row r="197" spans="1:7" x14ac:dyDescent="0.25">
      <c r="A197" s="16" t="str">
        <f>HYPERLINK("http://amigo.geneontology.org/amigo/term/GO:0071704","GO:0071704")</f>
        <v>GO:0071704</v>
      </c>
      <c r="B197" t="s">
        <v>454</v>
      </c>
      <c r="C197">
        <v>0.02</v>
      </c>
      <c r="D197">
        <v>0.03</v>
      </c>
      <c r="E197">
        <v>22718</v>
      </c>
      <c r="F197" t="s">
        <v>455</v>
      </c>
      <c r="G197" t="s">
        <v>456</v>
      </c>
    </row>
    <row r="198" spans="1:7" x14ac:dyDescent="0.25">
      <c r="A198" s="16" t="str">
        <f>HYPERLINK("http://amigo.geneontology.org/amigo/term/GO:0042775","GO:0042775")</f>
        <v>GO:0042775</v>
      </c>
      <c r="B198" t="s">
        <v>457</v>
      </c>
      <c r="C198">
        <v>0.02</v>
      </c>
      <c r="D198">
        <v>0.02</v>
      </c>
      <c r="E198">
        <v>40</v>
      </c>
      <c r="F198" t="s">
        <v>458</v>
      </c>
      <c r="G198" t="s">
        <v>459</v>
      </c>
    </row>
    <row r="199" spans="1:7" x14ac:dyDescent="0.25">
      <c r="A199" s="16" t="str">
        <f>HYPERLINK("http://amigo.geneontology.org/amigo/term/GO:0006122","GO:0006122")</f>
        <v>GO:0006122</v>
      </c>
      <c r="B199" t="s">
        <v>460</v>
      </c>
      <c r="C199">
        <v>0.02</v>
      </c>
      <c r="D199">
        <v>0.03</v>
      </c>
      <c r="E199">
        <v>16</v>
      </c>
      <c r="F199" t="s">
        <v>461</v>
      </c>
      <c r="G199" t="s">
        <v>371</v>
      </c>
    </row>
    <row r="200" spans="1:7" x14ac:dyDescent="0.25">
      <c r="A200" s="16" t="str">
        <f>HYPERLINK("http://amigo.geneontology.org/amigo/term/GO:0051493","GO:0051493")</f>
        <v>GO:0051493</v>
      </c>
      <c r="B200" t="s">
        <v>462</v>
      </c>
      <c r="C200">
        <v>0.02</v>
      </c>
      <c r="D200">
        <v>0.03</v>
      </c>
      <c r="E200">
        <v>75</v>
      </c>
      <c r="F200" t="s">
        <v>463</v>
      </c>
      <c r="G200" t="s">
        <v>464</v>
      </c>
    </row>
    <row r="201" spans="1:7" x14ac:dyDescent="0.25">
      <c r="A201" s="16" t="str">
        <f>HYPERLINK("http://amigo.geneontology.org/amigo/term/GO:0045454","GO:0045454")</f>
        <v>GO:0045454</v>
      </c>
      <c r="B201" t="s">
        <v>465</v>
      </c>
      <c r="C201">
        <v>0.02</v>
      </c>
      <c r="D201">
        <v>0.02</v>
      </c>
      <c r="E201">
        <v>317</v>
      </c>
      <c r="F201" t="s">
        <v>466</v>
      </c>
      <c r="G201" t="s">
        <v>467</v>
      </c>
    </row>
    <row r="202" spans="1:7" x14ac:dyDescent="0.25">
      <c r="A202" s="16" t="str">
        <f>HYPERLINK("http://amigo.geneontology.org/amigo/term/GO:0098869","GO:0098869")</f>
        <v>GO:0098869</v>
      </c>
      <c r="B202" t="s">
        <v>468</v>
      </c>
      <c r="C202">
        <v>0.02</v>
      </c>
      <c r="D202">
        <v>0.02</v>
      </c>
      <c r="E202">
        <v>147</v>
      </c>
      <c r="F202" t="s">
        <v>469</v>
      </c>
      <c r="G202" t="s">
        <v>470</v>
      </c>
    </row>
    <row r="203" spans="1:7" x14ac:dyDescent="0.25">
      <c r="A203" s="16" t="str">
        <f>HYPERLINK("http://amigo.geneontology.org/amigo/term/GO:0045229","GO:0045229")</f>
        <v>GO:0045229</v>
      </c>
      <c r="B203" t="s">
        <v>471</v>
      </c>
      <c r="C203">
        <v>0.02</v>
      </c>
      <c r="D203">
        <v>0.02</v>
      </c>
      <c r="E203">
        <v>708</v>
      </c>
      <c r="F203" t="s">
        <v>472</v>
      </c>
      <c r="G203" t="s">
        <v>473</v>
      </c>
    </row>
    <row r="204" spans="1:7" x14ac:dyDescent="0.25">
      <c r="A204" s="16" t="str">
        <f>HYPERLINK("http://amigo.geneontology.org/amigo/term/GO:0071555","GO:0071555")</f>
        <v>GO:0071555</v>
      </c>
      <c r="B204" t="s">
        <v>474</v>
      </c>
      <c r="C204">
        <v>0.02</v>
      </c>
      <c r="D204">
        <v>0.03</v>
      </c>
      <c r="E204">
        <v>676</v>
      </c>
      <c r="F204" t="s">
        <v>475</v>
      </c>
      <c r="G204" t="s">
        <v>476</v>
      </c>
    </row>
    <row r="205" spans="1:7" x14ac:dyDescent="0.25">
      <c r="A205" s="16" t="str">
        <f>HYPERLINK("http://amigo.geneontology.org/amigo/term/GO:0006325","GO:0006325")</f>
        <v>GO:0006325</v>
      </c>
      <c r="B205" t="s">
        <v>477</v>
      </c>
      <c r="C205">
        <v>0.02</v>
      </c>
      <c r="D205">
        <v>0.02</v>
      </c>
      <c r="E205">
        <v>354</v>
      </c>
      <c r="F205" t="s">
        <v>478</v>
      </c>
      <c r="G205" t="s">
        <v>266</v>
      </c>
    </row>
    <row r="206" spans="1:7" x14ac:dyDescent="0.25">
      <c r="A206" s="16" t="str">
        <f>HYPERLINK("http://amigo.geneontology.org/amigo/term/GO:0003002","GO:0003002")</f>
        <v>GO:0003002</v>
      </c>
      <c r="B206" t="s">
        <v>479</v>
      </c>
      <c r="C206">
        <v>0.02</v>
      </c>
      <c r="D206">
        <v>0.03</v>
      </c>
      <c r="E206">
        <v>42</v>
      </c>
      <c r="F206" t="s">
        <v>480</v>
      </c>
      <c r="G206" t="s">
        <v>481</v>
      </c>
    </row>
    <row r="207" spans="1:7" x14ac:dyDescent="0.25">
      <c r="A207" s="16" t="str">
        <f>HYPERLINK("http://amigo.geneontology.org/amigo/term/GO:0006875","GO:0006875")</f>
        <v>GO:0006875</v>
      </c>
      <c r="B207" t="s">
        <v>482</v>
      </c>
      <c r="C207">
        <v>0.02</v>
      </c>
      <c r="D207">
        <v>0.02</v>
      </c>
      <c r="E207">
        <v>105</v>
      </c>
      <c r="F207" t="s">
        <v>483</v>
      </c>
      <c r="G207" t="s">
        <v>484</v>
      </c>
    </row>
    <row r="208" spans="1:7" x14ac:dyDescent="0.25">
      <c r="A208" s="16" t="str">
        <f>HYPERLINK("http://amigo.geneontology.org/amigo/term/GO:0055071","GO:0055071")</f>
        <v>GO:0055071</v>
      </c>
      <c r="B208" t="s">
        <v>485</v>
      </c>
      <c r="C208">
        <v>0.02</v>
      </c>
      <c r="D208">
        <v>0.03</v>
      </c>
      <c r="E208">
        <v>43</v>
      </c>
      <c r="F208" t="s">
        <v>486</v>
      </c>
      <c r="G208" t="s">
        <v>487</v>
      </c>
    </row>
    <row r="209" spans="1:7" x14ac:dyDescent="0.25">
      <c r="A209" s="16" t="str">
        <f>HYPERLINK("http://amigo.geneontology.org/amigo/term/GO:0030026","GO:0030026")</f>
        <v>GO:0030026</v>
      </c>
      <c r="B209" t="s">
        <v>488</v>
      </c>
      <c r="C209">
        <v>0.02</v>
      </c>
      <c r="D209">
        <v>0.03</v>
      </c>
      <c r="E209">
        <v>43</v>
      </c>
      <c r="F209" t="s">
        <v>486</v>
      </c>
      <c r="G209" t="s">
        <v>487</v>
      </c>
    </row>
    <row r="210" spans="1:7" x14ac:dyDescent="0.25">
      <c r="A210" s="16" t="str">
        <f>HYPERLINK("http://amigo.geneontology.org/amigo/term/GO:0046655","GO:0046655")</f>
        <v>GO:0046655</v>
      </c>
      <c r="B210" t="s">
        <v>489</v>
      </c>
      <c r="C210">
        <v>0.02</v>
      </c>
      <c r="D210">
        <v>0.03</v>
      </c>
      <c r="E210">
        <v>16</v>
      </c>
      <c r="F210" t="s">
        <v>461</v>
      </c>
      <c r="G210" t="s">
        <v>277</v>
      </c>
    </row>
    <row r="211" spans="1:7" x14ac:dyDescent="0.25">
      <c r="A211" s="16" t="str">
        <f>HYPERLINK("http://amigo.geneontology.org/amigo/term/GO:0009699","GO:0009699")</f>
        <v>GO:0009699</v>
      </c>
      <c r="B211" t="s">
        <v>490</v>
      </c>
      <c r="C211">
        <v>0.02</v>
      </c>
      <c r="D211">
        <v>0.02</v>
      </c>
      <c r="E211">
        <v>66</v>
      </c>
      <c r="F211" t="s">
        <v>491</v>
      </c>
      <c r="G211" t="s">
        <v>492</v>
      </c>
    </row>
    <row r="212" spans="1:7" x14ac:dyDescent="0.25">
      <c r="A212" s="16" t="str">
        <f>HYPERLINK("http://amigo.geneontology.org/amigo/term/GO:0007006","GO:0007006")</f>
        <v>GO:0007006</v>
      </c>
      <c r="B212" t="s">
        <v>493</v>
      </c>
      <c r="C212">
        <v>0.02</v>
      </c>
      <c r="D212">
        <v>0.02</v>
      </c>
      <c r="E212">
        <v>41</v>
      </c>
      <c r="F212" t="s">
        <v>494</v>
      </c>
      <c r="G212" t="s">
        <v>495</v>
      </c>
    </row>
    <row r="213" spans="1:7" x14ac:dyDescent="0.25">
      <c r="A213" s="16" t="str">
        <f>HYPERLINK("http://amigo.geneontology.org/amigo/term/GO:0007007","GO:0007007")</f>
        <v>GO:0007007</v>
      </c>
      <c r="B213" t="s">
        <v>496</v>
      </c>
      <c r="C213">
        <v>0.02</v>
      </c>
      <c r="D213">
        <v>0.02</v>
      </c>
      <c r="E213">
        <v>37</v>
      </c>
      <c r="F213" t="s">
        <v>497</v>
      </c>
      <c r="G213" t="s">
        <v>495</v>
      </c>
    </row>
    <row r="214" spans="1:7" x14ac:dyDescent="0.25">
      <c r="A214" s="16" t="str">
        <f>HYPERLINK("http://amigo.geneontology.org/amigo/term/GO:0072657","GO:0072657")</f>
        <v>GO:0072657</v>
      </c>
      <c r="B214" t="s">
        <v>498</v>
      </c>
      <c r="C214">
        <v>0.02</v>
      </c>
      <c r="D214">
        <v>0.02</v>
      </c>
      <c r="E214">
        <v>141</v>
      </c>
      <c r="F214" t="s">
        <v>499</v>
      </c>
      <c r="G214" t="s">
        <v>500</v>
      </c>
    </row>
    <row r="215" spans="1:7" x14ac:dyDescent="0.25">
      <c r="A215" s="16" t="str">
        <f>HYPERLINK("http://amigo.geneontology.org/amigo/term/GO:0090150","GO:0090150")</f>
        <v>GO:0090150</v>
      </c>
      <c r="B215" t="s">
        <v>501</v>
      </c>
      <c r="C215">
        <v>0.02</v>
      </c>
      <c r="D215">
        <v>0.02</v>
      </c>
      <c r="E215">
        <v>138</v>
      </c>
      <c r="F215" t="s">
        <v>502</v>
      </c>
      <c r="G215" t="s">
        <v>500</v>
      </c>
    </row>
    <row r="216" spans="1:7" x14ac:dyDescent="0.25">
      <c r="A216" s="16" t="str">
        <f>HYPERLINK("http://amigo.geneontology.org/amigo/term/GO:0090151","GO:0090151")</f>
        <v>GO:0090151</v>
      </c>
      <c r="B216" t="s">
        <v>503</v>
      </c>
      <c r="C216">
        <v>0.02</v>
      </c>
      <c r="D216">
        <v>0.02</v>
      </c>
      <c r="E216">
        <v>40</v>
      </c>
      <c r="F216" t="s">
        <v>458</v>
      </c>
      <c r="G216" t="s">
        <v>495</v>
      </c>
    </row>
    <row r="217" spans="1:7" x14ac:dyDescent="0.25">
      <c r="A217" s="16" t="str">
        <f>HYPERLINK("http://amigo.geneontology.org/amigo/term/GO:0051204","GO:0051204")</f>
        <v>GO:0051204</v>
      </c>
      <c r="B217" t="s">
        <v>504</v>
      </c>
      <c r="C217">
        <v>0.02</v>
      </c>
      <c r="D217">
        <v>0.02</v>
      </c>
      <c r="E217">
        <v>40</v>
      </c>
      <c r="F217" t="s">
        <v>458</v>
      </c>
      <c r="G217" t="s">
        <v>495</v>
      </c>
    </row>
    <row r="218" spans="1:7" x14ac:dyDescent="0.25">
      <c r="A218" s="16" t="str">
        <f>HYPERLINK("http://amigo.geneontology.org/amigo/term/GO:0045039","GO:0045039")</f>
        <v>GO:0045039</v>
      </c>
      <c r="B218" t="s">
        <v>505</v>
      </c>
      <c r="C218">
        <v>0.02</v>
      </c>
      <c r="D218">
        <v>0.02</v>
      </c>
      <c r="E218">
        <v>36</v>
      </c>
      <c r="F218" t="s">
        <v>506</v>
      </c>
      <c r="G218" t="s">
        <v>495</v>
      </c>
    </row>
    <row r="219" spans="1:7" x14ac:dyDescent="0.25">
      <c r="A219" s="16" t="str">
        <f>HYPERLINK("http://amigo.geneontology.org/amigo/term/GO:0010154","GO:0010154")</f>
        <v>GO:0010154</v>
      </c>
      <c r="B219" t="s">
        <v>507</v>
      </c>
      <c r="C219">
        <v>0.02</v>
      </c>
      <c r="D219">
        <v>0.03</v>
      </c>
      <c r="E219">
        <v>237</v>
      </c>
      <c r="F219" t="s">
        <v>508</v>
      </c>
      <c r="G219" t="s">
        <v>509</v>
      </c>
    </row>
    <row r="220" spans="1:7" x14ac:dyDescent="0.25">
      <c r="A220" s="16" t="str">
        <f>HYPERLINK("http://amigo.geneontology.org/amigo/term/GO:0048316","GO:0048316")</f>
        <v>GO:0048316</v>
      </c>
      <c r="B220" t="s">
        <v>510</v>
      </c>
      <c r="C220">
        <v>0.02</v>
      </c>
      <c r="D220">
        <v>0.02</v>
      </c>
      <c r="E220">
        <v>228</v>
      </c>
      <c r="F220" t="s">
        <v>511</v>
      </c>
      <c r="G220" t="s">
        <v>509</v>
      </c>
    </row>
    <row r="221" spans="1:7" x14ac:dyDescent="0.25">
      <c r="A221" s="16" t="str">
        <f>HYPERLINK("http://amigo.geneontology.org/amigo/term/GO:0008299","GO:0008299")</f>
        <v>GO:0008299</v>
      </c>
      <c r="B221" t="s">
        <v>512</v>
      </c>
      <c r="C221">
        <v>0.02</v>
      </c>
      <c r="D221">
        <v>0.02</v>
      </c>
      <c r="E221">
        <v>229</v>
      </c>
      <c r="F221" t="s">
        <v>513</v>
      </c>
      <c r="G221" t="s">
        <v>514</v>
      </c>
    </row>
    <row r="222" spans="1:7" x14ac:dyDescent="0.25">
      <c r="A222" s="16" t="str">
        <f>HYPERLINK("http://amigo.geneontology.org/amigo/term/GO:0006848","GO:0006848")</f>
        <v>GO:0006848</v>
      </c>
      <c r="B222" t="s">
        <v>515</v>
      </c>
      <c r="C222">
        <v>0.02</v>
      </c>
      <c r="D222">
        <v>0.03</v>
      </c>
      <c r="E222">
        <v>16</v>
      </c>
      <c r="F222" t="s">
        <v>461</v>
      </c>
      <c r="G222" t="s">
        <v>516</v>
      </c>
    </row>
    <row r="223" spans="1:7" x14ac:dyDescent="0.25">
      <c r="A223" s="16" t="str">
        <f>HYPERLINK("http://amigo.geneontology.org/amigo/term/GO:1901475","GO:1901475")</f>
        <v>GO:1901475</v>
      </c>
      <c r="B223" t="s">
        <v>517</v>
      </c>
      <c r="C223">
        <v>0.02</v>
      </c>
      <c r="D223">
        <v>0.03</v>
      </c>
      <c r="E223">
        <v>16</v>
      </c>
      <c r="F223" t="s">
        <v>461</v>
      </c>
      <c r="G223" t="s">
        <v>516</v>
      </c>
    </row>
    <row r="224" spans="1:7" x14ac:dyDescent="0.25">
      <c r="A224" s="16" t="str">
        <f>HYPERLINK("http://amigo.geneontology.org/amigo/term/GO:0006850","GO:0006850")</f>
        <v>GO:0006850</v>
      </c>
      <c r="B224" t="s">
        <v>518</v>
      </c>
      <c r="C224">
        <v>0.02</v>
      </c>
      <c r="D224">
        <v>0.03</v>
      </c>
      <c r="E224">
        <v>16</v>
      </c>
      <c r="F224" t="s">
        <v>461</v>
      </c>
      <c r="G224" t="s">
        <v>516</v>
      </c>
    </row>
    <row r="225" spans="1:7" x14ac:dyDescent="0.25">
      <c r="A225" s="16" t="str">
        <f>HYPERLINK("http://amigo.geneontology.org/amigo/term/GO:0070972","GO:0070972")</f>
        <v>GO:0070972</v>
      </c>
      <c r="B225" t="s">
        <v>519</v>
      </c>
      <c r="C225">
        <v>0.02</v>
      </c>
      <c r="D225">
        <v>0.02</v>
      </c>
      <c r="E225">
        <v>100</v>
      </c>
      <c r="F225" t="s">
        <v>520</v>
      </c>
      <c r="G225" t="s">
        <v>521</v>
      </c>
    </row>
    <row r="226" spans="1:7" x14ac:dyDescent="0.25">
      <c r="A226" s="16" t="str">
        <f>HYPERLINK("http://amigo.geneontology.org/amigo/term/GO:0009790","GO:0009790")</f>
        <v>GO:0009790</v>
      </c>
      <c r="B226" t="s">
        <v>522</v>
      </c>
      <c r="C226">
        <v>0.02</v>
      </c>
      <c r="D226">
        <v>0.02</v>
      </c>
      <c r="E226">
        <v>187</v>
      </c>
      <c r="F226" t="s">
        <v>523</v>
      </c>
      <c r="G226" t="s">
        <v>524</v>
      </c>
    </row>
    <row r="227" spans="1:7" x14ac:dyDescent="0.25">
      <c r="A227" s="16" t="str">
        <f>HYPERLINK("http://amigo.geneontology.org/amigo/term/GO:0009793","GO:0009793")</f>
        <v>GO:0009793</v>
      </c>
      <c r="B227" t="s">
        <v>525</v>
      </c>
      <c r="C227">
        <v>0.02</v>
      </c>
      <c r="D227">
        <v>0.02</v>
      </c>
      <c r="E227">
        <v>184</v>
      </c>
      <c r="F227" t="s">
        <v>526</v>
      </c>
      <c r="G227" t="s">
        <v>524</v>
      </c>
    </row>
    <row r="228" spans="1:7" x14ac:dyDescent="0.25">
      <c r="A228" s="16" t="str">
        <f>HYPERLINK("http://amigo.geneontology.org/amigo/term/GO:0006722","GO:0006722")</f>
        <v>GO:0006722</v>
      </c>
      <c r="B228" t="s">
        <v>527</v>
      </c>
      <c r="C228">
        <v>0.02</v>
      </c>
      <c r="D228">
        <v>0.02</v>
      </c>
      <c r="E228">
        <v>36</v>
      </c>
      <c r="F228" t="s">
        <v>506</v>
      </c>
      <c r="G228" t="s">
        <v>528</v>
      </c>
    </row>
    <row r="229" spans="1:7" x14ac:dyDescent="0.25">
      <c r="A229" s="16" t="str">
        <f>HYPERLINK("http://amigo.geneontology.org/amigo/term/GO:0016104","GO:0016104")</f>
        <v>GO:0016104</v>
      </c>
      <c r="B229" t="s">
        <v>529</v>
      </c>
      <c r="C229">
        <v>0.02</v>
      </c>
      <c r="D229">
        <v>0.02</v>
      </c>
      <c r="E229">
        <v>36</v>
      </c>
      <c r="F229" t="s">
        <v>506</v>
      </c>
      <c r="G229" t="s">
        <v>528</v>
      </c>
    </row>
    <row r="230" spans="1:7" x14ac:dyDescent="0.25">
      <c r="A230" s="16" t="str">
        <f>HYPERLINK("http://amigo.geneontology.org/amigo/term/GO:0072330","GO:0072330")</f>
        <v>GO:0072330</v>
      </c>
      <c r="B230" t="s">
        <v>530</v>
      </c>
      <c r="C230">
        <v>0.03</v>
      </c>
      <c r="D230">
        <v>0.03</v>
      </c>
      <c r="E230">
        <v>382</v>
      </c>
      <c r="F230" t="s">
        <v>531</v>
      </c>
      <c r="G230" t="s">
        <v>532</v>
      </c>
    </row>
    <row r="231" spans="1:7" x14ac:dyDescent="0.25">
      <c r="A231" s="16" t="str">
        <f>HYPERLINK("http://amigo.geneontology.org/amigo/term/GO:0019646","GO:0019646")</f>
        <v>GO:0019646</v>
      </c>
      <c r="B231" t="s">
        <v>533</v>
      </c>
      <c r="C231">
        <v>0.03</v>
      </c>
      <c r="D231">
        <v>0.03</v>
      </c>
      <c r="E231">
        <v>45</v>
      </c>
      <c r="F231" t="s">
        <v>534</v>
      </c>
      <c r="G231" t="s">
        <v>459</v>
      </c>
    </row>
    <row r="232" spans="1:7" x14ac:dyDescent="0.25">
      <c r="A232" s="16" t="str">
        <f>HYPERLINK("http://amigo.geneontology.org/amigo/term/GO:0019751","GO:0019751")</f>
        <v>GO:0019751</v>
      </c>
      <c r="B232" t="s">
        <v>535</v>
      </c>
      <c r="C232">
        <v>0.03</v>
      </c>
      <c r="D232">
        <v>0.04</v>
      </c>
      <c r="E232">
        <v>83</v>
      </c>
      <c r="F232" t="s">
        <v>536</v>
      </c>
      <c r="G232" t="s">
        <v>537</v>
      </c>
    </row>
    <row r="233" spans="1:7" x14ac:dyDescent="0.25">
      <c r="A233" s="16" t="str">
        <f>HYPERLINK("http://amigo.geneontology.org/amigo/term/GO:0043647","GO:0043647")</f>
        <v>GO:0043647</v>
      </c>
      <c r="B233" t="s">
        <v>538</v>
      </c>
      <c r="C233">
        <v>0.03</v>
      </c>
      <c r="D233">
        <v>0.04</v>
      </c>
      <c r="E233">
        <v>47</v>
      </c>
      <c r="F233" t="s">
        <v>539</v>
      </c>
      <c r="G233" t="s">
        <v>540</v>
      </c>
    </row>
    <row r="234" spans="1:7" x14ac:dyDescent="0.25">
      <c r="A234" s="16" t="str">
        <f>HYPERLINK("http://amigo.geneontology.org/amigo/term/GO:0032957","GO:0032957")</f>
        <v>GO:0032957</v>
      </c>
      <c r="B234" t="s">
        <v>541</v>
      </c>
      <c r="C234">
        <v>0.03</v>
      </c>
      <c r="D234">
        <v>0.03</v>
      </c>
      <c r="E234">
        <v>18</v>
      </c>
      <c r="F234" t="s">
        <v>542</v>
      </c>
      <c r="G234" t="s">
        <v>543</v>
      </c>
    </row>
    <row r="235" spans="1:7" x14ac:dyDescent="0.25">
      <c r="A235" s="16" t="str">
        <f>HYPERLINK("http://amigo.geneontology.org/amigo/term/GO:0009064","GO:0009064")</f>
        <v>GO:0009064</v>
      </c>
      <c r="B235" t="s">
        <v>544</v>
      </c>
      <c r="C235">
        <v>0.03</v>
      </c>
      <c r="D235">
        <v>0.04</v>
      </c>
      <c r="E235">
        <v>164</v>
      </c>
      <c r="F235" t="s">
        <v>545</v>
      </c>
      <c r="G235" t="s">
        <v>546</v>
      </c>
    </row>
    <row r="236" spans="1:7" x14ac:dyDescent="0.25">
      <c r="A236" s="16" t="str">
        <f>HYPERLINK("http://amigo.geneontology.org/amigo/term/GO:0098754","GO:0098754")</f>
        <v>GO:0098754</v>
      </c>
      <c r="B236" t="s">
        <v>547</v>
      </c>
      <c r="C236">
        <v>0.03</v>
      </c>
      <c r="D236">
        <v>0.03</v>
      </c>
      <c r="E236">
        <v>157</v>
      </c>
      <c r="F236" t="s">
        <v>548</v>
      </c>
      <c r="G236" t="s">
        <v>470</v>
      </c>
    </row>
    <row r="237" spans="1:7" x14ac:dyDescent="0.25">
      <c r="A237" s="16" t="str">
        <f>HYPERLINK("http://amigo.geneontology.org/amigo/term/GO:0097237","GO:0097237")</f>
        <v>GO:0097237</v>
      </c>
      <c r="B237" t="s">
        <v>549</v>
      </c>
      <c r="C237">
        <v>0.03</v>
      </c>
      <c r="D237">
        <v>0.03</v>
      </c>
      <c r="E237">
        <v>157</v>
      </c>
      <c r="F237" t="s">
        <v>548</v>
      </c>
      <c r="G237" t="s">
        <v>470</v>
      </c>
    </row>
    <row r="238" spans="1:7" x14ac:dyDescent="0.25">
      <c r="A238" s="16" t="str">
        <f>HYPERLINK("http://amigo.geneontology.org/amigo/term/GO:1990748","GO:1990748")</f>
        <v>GO:1990748</v>
      </c>
      <c r="B238" t="s">
        <v>550</v>
      </c>
      <c r="C238">
        <v>0.03</v>
      </c>
      <c r="D238">
        <v>0.03</v>
      </c>
      <c r="E238">
        <v>157</v>
      </c>
      <c r="F238" t="s">
        <v>548</v>
      </c>
      <c r="G238" t="s">
        <v>470</v>
      </c>
    </row>
    <row r="239" spans="1:7" x14ac:dyDescent="0.25">
      <c r="A239" s="16" t="str">
        <f>HYPERLINK("http://amigo.geneontology.org/amigo/term/GO:0018063","GO:0018063")</f>
        <v>GO:0018063</v>
      </c>
      <c r="B239" t="s">
        <v>551</v>
      </c>
      <c r="C239">
        <v>0.03</v>
      </c>
      <c r="D239">
        <v>0.03</v>
      </c>
      <c r="E239">
        <v>2</v>
      </c>
      <c r="F239" t="s">
        <v>552</v>
      </c>
      <c r="G239" t="s">
        <v>553</v>
      </c>
    </row>
    <row r="240" spans="1:7" x14ac:dyDescent="0.25">
      <c r="A240" s="16" t="str">
        <f>HYPERLINK("http://amigo.geneontology.org/amigo/term/GO:0009073","GO:0009073")</f>
        <v>GO:0009073</v>
      </c>
      <c r="B240" t="s">
        <v>554</v>
      </c>
      <c r="C240">
        <v>0.03</v>
      </c>
      <c r="D240">
        <v>0.04</v>
      </c>
      <c r="E240">
        <v>84</v>
      </c>
      <c r="F240" t="s">
        <v>555</v>
      </c>
      <c r="G240" t="s">
        <v>556</v>
      </c>
    </row>
    <row r="241" spans="1:7" x14ac:dyDescent="0.25">
      <c r="A241" s="16" t="str">
        <f>HYPERLINK("http://amigo.geneontology.org/amigo/term/GO:0048731","GO:0048731")</f>
        <v>GO:0048731</v>
      </c>
      <c r="B241" t="s">
        <v>557</v>
      </c>
      <c r="C241">
        <v>0.03</v>
      </c>
      <c r="D241">
        <v>0.04</v>
      </c>
      <c r="E241">
        <v>658</v>
      </c>
      <c r="F241" t="s">
        <v>558</v>
      </c>
      <c r="G241" t="s">
        <v>559</v>
      </c>
    </row>
    <row r="242" spans="1:7" x14ac:dyDescent="0.25">
      <c r="A242" s="16" t="str">
        <f>HYPERLINK("http://amigo.geneontology.org/amigo/term/GO:0042543","GO:0042543")</f>
        <v>GO:0042543</v>
      </c>
      <c r="B242" t="s">
        <v>560</v>
      </c>
      <c r="C242">
        <v>0.03</v>
      </c>
      <c r="D242">
        <v>0.03</v>
      </c>
      <c r="E242">
        <v>2</v>
      </c>
      <c r="F242" t="s">
        <v>552</v>
      </c>
      <c r="G242" t="s">
        <v>561</v>
      </c>
    </row>
    <row r="243" spans="1:7" x14ac:dyDescent="0.25">
      <c r="A243" s="16" t="str">
        <f>HYPERLINK("http://amigo.geneontology.org/amigo/term/GO:0030003","GO:0030003")</f>
        <v>GO:0030003</v>
      </c>
      <c r="B243" t="s">
        <v>562</v>
      </c>
      <c r="C243">
        <v>0.03</v>
      </c>
      <c r="D243">
        <v>0.04</v>
      </c>
      <c r="E243">
        <v>121</v>
      </c>
      <c r="F243" t="s">
        <v>563</v>
      </c>
      <c r="G243" t="s">
        <v>484</v>
      </c>
    </row>
    <row r="244" spans="1:7" x14ac:dyDescent="0.25">
      <c r="A244" s="16" t="str">
        <f>HYPERLINK("http://amigo.geneontology.org/amigo/term/GO:0033389","GO:0033389")</f>
        <v>GO:0033389</v>
      </c>
      <c r="B244" t="s">
        <v>564</v>
      </c>
      <c r="C244">
        <v>0.03</v>
      </c>
      <c r="D244">
        <v>0.03</v>
      </c>
      <c r="E244">
        <v>2</v>
      </c>
      <c r="F244" t="s">
        <v>552</v>
      </c>
      <c r="G244" t="s">
        <v>565</v>
      </c>
    </row>
    <row r="245" spans="1:7" x14ac:dyDescent="0.25">
      <c r="A245" s="16" t="str">
        <f>HYPERLINK("http://amigo.geneontology.org/amigo/term/GO:1902903","GO:1902903")</f>
        <v>GO:1902903</v>
      </c>
      <c r="B245" t="s">
        <v>566</v>
      </c>
      <c r="C245">
        <v>0.03</v>
      </c>
      <c r="D245">
        <v>0.03</v>
      </c>
      <c r="E245">
        <v>46</v>
      </c>
      <c r="F245" t="s">
        <v>567</v>
      </c>
      <c r="G245" t="s">
        <v>568</v>
      </c>
    </row>
    <row r="246" spans="1:7" x14ac:dyDescent="0.25">
      <c r="A246" s="16" t="str">
        <f>HYPERLINK("http://amigo.geneontology.org/amigo/term/GO:0052575","GO:0052575")</f>
        <v>GO:0052575</v>
      </c>
      <c r="B246" t="s">
        <v>569</v>
      </c>
      <c r="C246">
        <v>0.03</v>
      </c>
      <c r="D246">
        <v>0.03</v>
      </c>
      <c r="E246">
        <v>2</v>
      </c>
      <c r="F246" t="s">
        <v>552</v>
      </c>
      <c r="G246" t="s">
        <v>570</v>
      </c>
    </row>
    <row r="247" spans="1:7" x14ac:dyDescent="0.25">
      <c r="A247" s="16" t="str">
        <f>HYPERLINK("http://amigo.geneontology.org/amigo/term/GO:0052576","GO:0052576")</f>
        <v>GO:0052576</v>
      </c>
      <c r="B247" t="s">
        <v>571</v>
      </c>
      <c r="C247">
        <v>0.03</v>
      </c>
      <c r="D247">
        <v>0.03</v>
      </c>
      <c r="E247">
        <v>2</v>
      </c>
      <c r="F247" t="s">
        <v>552</v>
      </c>
      <c r="G247" t="s">
        <v>570</v>
      </c>
    </row>
    <row r="248" spans="1:7" x14ac:dyDescent="0.25">
      <c r="A248" s="16" t="str">
        <f>HYPERLINK("http://amigo.geneontology.org/amigo/term/GO:0032468","GO:0032468")</f>
        <v>GO:0032468</v>
      </c>
      <c r="B248" t="s">
        <v>572</v>
      </c>
      <c r="C248">
        <v>0.03</v>
      </c>
      <c r="D248">
        <v>0.03</v>
      </c>
      <c r="E248">
        <v>2</v>
      </c>
      <c r="F248" t="s">
        <v>552</v>
      </c>
      <c r="G248" t="s">
        <v>573</v>
      </c>
    </row>
    <row r="249" spans="1:7" x14ac:dyDescent="0.25">
      <c r="A249" s="16" t="str">
        <f>HYPERLINK("http://amigo.geneontology.org/amigo/term/GO:0032472","GO:0032472")</f>
        <v>GO:0032472</v>
      </c>
      <c r="B249" t="s">
        <v>574</v>
      </c>
      <c r="C249">
        <v>0.03</v>
      </c>
      <c r="D249">
        <v>0.03</v>
      </c>
      <c r="E249">
        <v>2</v>
      </c>
      <c r="F249" t="s">
        <v>552</v>
      </c>
      <c r="G249" t="s">
        <v>573</v>
      </c>
    </row>
    <row r="250" spans="1:7" x14ac:dyDescent="0.25">
      <c r="A250" s="16" t="str">
        <f>HYPERLINK("http://amigo.geneontology.org/amigo/term/GO:0009866","GO:0009866")</f>
        <v>GO:0009866</v>
      </c>
      <c r="B250" t="s">
        <v>575</v>
      </c>
      <c r="C250">
        <v>0.03</v>
      </c>
      <c r="D250">
        <v>0.03</v>
      </c>
      <c r="E250">
        <v>2</v>
      </c>
      <c r="F250" t="s">
        <v>552</v>
      </c>
      <c r="G250" t="s">
        <v>576</v>
      </c>
    </row>
    <row r="251" spans="1:7" x14ac:dyDescent="0.25">
      <c r="A251" s="16" t="str">
        <f>HYPERLINK("http://amigo.geneontology.org/amigo/term/GO:0006265","GO:0006265")</f>
        <v>GO:0006265</v>
      </c>
      <c r="B251" t="s">
        <v>577</v>
      </c>
      <c r="C251">
        <v>0.03</v>
      </c>
      <c r="D251">
        <v>0.03</v>
      </c>
      <c r="E251">
        <v>45</v>
      </c>
      <c r="F251" t="s">
        <v>534</v>
      </c>
      <c r="G251" t="s">
        <v>578</v>
      </c>
    </row>
    <row r="252" spans="1:7" x14ac:dyDescent="0.25">
      <c r="A252" s="16" t="str">
        <f>HYPERLINK("http://amigo.geneontology.org/amigo/term/GO:0009809","GO:0009809")</f>
        <v>GO:0009809</v>
      </c>
      <c r="B252" t="s">
        <v>579</v>
      </c>
      <c r="C252">
        <v>0.03</v>
      </c>
      <c r="D252">
        <v>0.03</v>
      </c>
      <c r="E252">
        <v>18</v>
      </c>
      <c r="F252" t="s">
        <v>542</v>
      </c>
      <c r="G252" t="s">
        <v>580</v>
      </c>
    </row>
    <row r="253" spans="1:7" x14ac:dyDescent="0.25">
      <c r="A253" s="16" t="str">
        <f>HYPERLINK("http://amigo.geneontology.org/amigo/term/GO:0051668","GO:0051668")</f>
        <v>GO:0051668</v>
      </c>
      <c r="B253" t="s">
        <v>581</v>
      </c>
      <c r="C253">
        <v>0.03</v>
      </c>
      <c r="D253">
        <v>0.03</v>
      </c>
      <c r="E253">
        <v>154</v>
      </c>
      <c r="F253" t="s">
        <v>582</v>
      </c>
      <c r="G253" t="s">
        <v>500</v>
      </c>
    </row>
    <row r="254" spans="1:7" x14ac:dyDescent="0.25">
      <c r="A254" s="16" t="str">
        <f>HYPERLINK("http://amigo.geneontology.org/amigo/term/GO:0051205","GO:0051205")</f>
        <v>GO:0051205</v>
      </c>
      <c r="B254" t="s">
        <v>583</v>
      </c>
      <c r="C254">
        <v>0.03</v>
      </c>
      <c r="D254">
        <v>0.04</v>
      </c>
      <c r="E254">
        <v>49</v>
      </c>
      <c r="F254" t="s">
        <v>584</v>
      </c>
      <c r="G254" t="s">
        <v>495</v>
      </c>
    </row>
    <row r="255" spans="1:7" x14ac:dyDescent="0.25">
      <c r="A255" s="16" t="str">
        <f>HYPERLINK("http://amigo.geneontology.org/amigo/term/GO:0043007","GO:0043007")</f>
        <v>GO:0043007</v>
      </c>
      <c r="B255" t="s">
        <v>585</v>
      </c>
      <c r="C255">
        <v>0.03</v>
      </c>
      <c r="D255">
        <v>0.03</v>
      </c>
      <c r="E255">
        <v>2</v>
      </c>
      <c r="F255" t="s">
        <v>552</v>
      </c>
      <c r="G255" t="s">
        <v>446</v>
      </c>
    </row>
    <row r="256" spans="1:7" x14ac:dyDescent="0.25">
      <c r="A256" s="16" t="str">
        <f>HYPERLINK("http://amigo.geneontology.org/amigo/term/GO:0031110","GO:0031110")</f>
        <v>GO:0031110</v>
      </c>
      <c r="B256" t="s">
        <v>586</v>
      </c>
      <c r="C256">
        <v>0.03</v>
      </c>
      <c r="D256">
        <v>0.03</v>
      </c>
      <c r="E256">
        <v>2</v>
      </c>
      <c r="F256" t="s">
        <v>552</v>
      </c>
      <c r="G256" t="s">
        <v>587</v>
      </c>
    </row>
    <row r="257" spans="1:7" x14ac:dyDescent="0.25">
      <c r="A257" s="16" t="str">
        <f>HYPERLINK("http://amigo.geneontology.org/amigo/term/GO:0031112","GO:0031112")</f>
        <v>GO:0031112</v>
      </c>
      <c r="B257" t="s">
        <v>588</v>
      </c>
      <c r="C257">
        <v>0.03</v>
      </c>
      <c r="D257">
        <v>0.03</v>
      </c>
      <c r="E257">
        <v>2</v>
      </c>
      <c r="F257" t="s">
        <v>552</v>
      </c>
      <c r="G257" t="s">
        <v>587</v>
      </c>
    </row>
    <row r="258" spans="1:7" x14ac:dyDescent="0.25">
      <c r="A258" s="16" t="str">
        <f>HYPERLINK("http://amigo.geneontology.org/amigo/term/GO:0031113","GO:0031113")</f>
        <v>GO:0031113</v>
      </c>
      <c r="B258" t="s">
        <v>589</v>
      </c>
      <c r="C258">
        <v>0.03</v>
      </c>
      <c r="D258">
        <v>0.03</v>
      </c>
      <c r="E258">
        <v>2</v>
      </c>
      <c r="F258" t="s">
        <v>552</v>
      </c>
      <c r="G258" t="s">
        <v>587</v>
      </c>
    </row>
    <row r="259" spans="1:7" x14ac:dyDescent="0.25">
      <c r="A259" s="16" t="str">
        <f>HYPERLINK("http://amigo.geneontology.org/amigo/term/GO:0032273","GO:0032273")</f>
        <v>GO:0032273</v>
      </c>
      <c r="B259" t="s">
        <v>590</v>
      </c>
      <c r="C259">
        <v>0.03</v>
      </c>
      <c r="D259">
        <v>0.03</v>
      </c>
      <c r="E259">
        <v>2</v>
      </c>
      <c r="F259" t="s">
        <v>552</v>
      </c>
      <c r="G259" t="s">
        <v>587</v>
      </c>
    </row>
    <row r="260" spans="1:7" x14ac:dyDescent="0.25">
      <c r="A260" s="16" t="str">
        <f>HYPERLINK("http://amigo.geneontology.org/amigo/term/GO:0031116","GO:0031116")</f>
        <v>GO:0031116</v>
      </c>
      <c r="B260" t="s">
        <v>591</v>
      </c>
      <c r="C260">
        <v>0.03</v>
      </c>
      <c r="D260">
        <v>0.03</v>
      </c>
      <c r="E260">
        <v>2</v>
      </c>
      <c r="F260" t="s">
        <v>552</v>
      </c>
      <c r="G260" t="s">
        <v>587</v>
      </c>
    </row>
    <row r="261" spans="1:7" x14ac:dyDescent="0.25">
      <c r="A261" s="16" t="str">
        <f>HYPERLINK("http://amigo.geneontology.org/amigo/term/GO:0097428","GO:0097428")</f>
        <v>GO:0097428</v>
      </c>
      <c r="B261" t="s">
        <v>592</v>
      </c>
      <c r="C261">
        <v>0.03</v>
      </c>
      <c r="D261">
        <v>0.04</v>
      </c>
      <c r="E261">
        <v>19</v>
      </c>
      <c r="F261" t="s">
        <v>593</v>
      </c>
      <c r="G261" t="s">
        <v>594</v>
      </c>
    </row>
    <row r="262" spans="1:7" x14ac:dyDescent="0.25">
      <c r="A262" s="16" t="str">
        <f>HYPERLINK("http://amigo.geneontology.org/amigo/term/GO:0046219","GO:0046219")</f>
        <v>GO:0046219</v>
      </c>
      <c r="B262" t="s">
        <v>595</v>
      </c>
      <c r="C262">
        <v>0.03</v>
      </c>
      <c r="D262">
        <v>0.04</v>
      </c>
      <c r="E262">
        <v>20</v>
      </c>
      <c r="F262" t="s">
        <v>596</v>
      </c>
      <c r="G262" t="s">
        <v>597</v>
      </c>
    </row>
    <row r="263" spans="1:7" x14ac:dyDescent="0.25">
      <c r="A263" s="16" t="str">
        <f>HYPERLINK("http://amigo.geneontology.org/amigo/term/GO:0000162","GO:0000162")</f>
        <v>GO:0000162</v>
      </c>
      <c r="B263" t="s">
        <v>598</v>
      </c>
      <c r="C263">
        <v>0.03</v>
      </c>
      <c r="D263">
        <v>0.04</v>
      </c>
      <c r="E263">
        <v>20</v>
      </c>
      <c r="F263" t="s">
        <v>596</v>
      </c>
      <c r="G263" t="s">
        <v>597</v>
      </c>
    </row>
    <row r="264" spans="1:7" x14ac:dyDescent="0.25">
      <c r="A264" s="16" t="str">
        <f>HYPERLINK("http://amigo.geneontology.org/amigo/term/GO:0065008","GO:0065008")</f>
        <v>GO:0065008</v>
      </c>
      <c r="B264" t="s">
        <v>599</v>
      </c>
      <c r="C264">
        <v>0.04</v>
      </c>
      <c r="D264">
        <v>0.04</v>
      </c>
      <c r="E264">
        <v>877</v>
      </c>
      <c r="F264" t="s">
        <v>600</v>
      </c>
      <c r="G264" t="s">
        <v>601</v>
      </c>
    </row>
    <row r="265" spans="1:7" x14ac:dyDescent="0.25">
      <c r="A265" s="16" t="str">
        <f>HYPERLINK("http://amigo.geneontology.org/amigo/term/GO:0010133","GO:0010133")</f>
        <v>GO:0010133</v>
      </c>
      <c r="B265" t="s">
        <v>602</v>
      </c>
      <c r="C265">
        <v>0.04</v>
      </c>
      <c r="D265">
        <v>0.05</v>
      </c>
      <c r="E265">
        <v>3</v>
      </c>
      <c r="F265" t="s">
        <v>603</v>
      </c>
      <c r="G265" t="s">
        <v>604</v>
      </c>
    </row>
    <row r="266" spans="1:7" x14ac:dyDescent="0.25">
      <c r="A266" s="16" t="str">
        <f>HYPERLINK("http://amigo.geneontology.org/amigo/term/GO:0042592","GO:0042592")</f>
        <v>GO:0042592</v>
      </c>
      <c r="B266" t="s">
        <v>605</v>
      </c>
      <c r="C266">
        <v>0.04</v>
      </c>
      <c r="D266">
        <v>0.05</v>
      </c>
      <c r="E266">
        <v>572</v>
      </c>
      <c r="F266" t="s">
        <v>606</v>
      </c>
      <c r="G266" t="s">
        <v>424</v>
      </c>
    </row>
    <row r="267" spans="1:7" x14ac:dyDescent="0.25">
      <c r="A267" s="16" t="str">
        <f>HYPERLINK("http://amigo.geneontology.org/amigo/term/GO:0051346","GO:0051346")</f>
        <v>GO:0051346</v>
      </c>
      <c r="B267" t="s">
        <v>607</v>
      </c>
      <c r="C267">
        <v>0.04</v>
      </c>
      <c r="D267">
        <v>0.04</v>
      </c>
      <c r="E267">
        <v>169</v>
      </c>
      <c r="F267" t="s">
        <v>608</v>
      </c>
      <c r="G267" t="s">
        <v>609</v>
      </c>
    </row>
    <row r="268" spans="1:7" x14ac:dyDescent="0.25">
      <c r="A268" s="16" t="str">
        <f>HYPERLINK("http://amigo.geneontology.org/amigo/term/GO:0072521","GO:0072521")</f>
        <v>GO:0072521</v>
      </c>
      <c r="B268" t="s">
        <v>610</v>
      </c>
      <c r="C268">
        <v>0.04</v>
      </c>
      <c r="D268">
        <v>0.04</v>
      </c>
      <c r="E268">
        <v>613</v>
      </c>
      <c r="F268" t="s">
        <v>611</v>
      </c>
      <c r="G268" t="s">
        <v>612</v>
      </c>
    </row>
    <row r="269" spans="1:7" x14ac:dyDescent="0.25">
      <c r="A269" s="16" t="str">
        <f>HYPERLINK("http://amigo.geneontology.org/amigo/term/GO:0019438","GO:0019438")</f>
        <v>GO:0019438</v>
      </c>
      <c r="B269" t="s">
        <v>613</v>
      </c>
      <c r="C269">
        <v>0.04</v>
      </c>
      <c r="D269">
        <v>0.05</v>
      </c>
      <c r="E269">
        <v>2655</v>
      </c>
      <c r="F269" t="s">
        <v>614</v>
      </c>
      <c r="G269" t="s">
        <v>615</v>
      </c>
    </row>
    <row r="270" spans="1:7" x14ac:dyDescent="0.25">
      <c r="A270" s="16" t="str">
        <f>HYPERLINK("http://amigo.geneontology.org/amigo/term/GO:1901362","GO:1901362")</f>
        <v>GO:1901362</v>
      </c>
      <c r="B270" t="s">
        <v>616</v>
      </c>
      <c r="C270">
        <v>0.04</v>
      </c>
      <c r="D270">
        <v>0.04</v>
      </c>
      <c r="E270">
        <v>2877</v>
      </c>
      <c r="F270" t="s">
        <v>617</v>
      </c>
      <c r="G270" t="s">
        <v>618</v>
      </c>
    </row>
    <row r="271" spans="1:7" x14ac:dyDescent="0.25">
      <c r="A271" s="16" t="str">
        <f>HYPERLINK("http://amigo.geneontology.org/amigo/term/GO:0006952","GO:0006952")</f>
        <v>GO:0006952</v>
      </c>
      <c r="B271" t="s">
        <v>619</v>
      </c>
      <c r="C271">
        <v>0.04</v>
      </c>
      <c r="D271">
        <v>0.05</v>
      </c>
      <c r="E271">
        <v>729</v>
      </c>
      <c r="F271" t="s">
        <v>620</v>
      </c>
      <c r="G271" t="s">
        <v>621</v>
      </c>
    </row>
    <row r="272" spans="1:7" x14ac:dyDescent="0.25">
      <c r="A272" s="16" t="str">
        <f>HYPERLINK("http://amigo.geneontology.org/amigo/term/GO:0009636","GO:0009636")</f>
        <v>GO:0009636</v>
      </c>
      <c r="B272" t="s">
        <v>622</v>
      </c>
      <c r="C272">
        <v>0.04</v>
      </c>
      <c r="D272">
        <v>0.04</v>
      </c>
      <c r="E272">
        <v>167</v>
      </c>
      <c r="F272" t="s">
        <v>623</v>
      </c>
      <c r="G272" t="s">
        <v>470</v>
      </c>
    </row>
    <row r="273" spans="1:7" x14ac:dyDescent="0.25">
      <c r="A273" s="16" t="str">
        <f>HYPERLINK("http://amigo.geneontology.org/amigo/term/GO:0070919","GO:0070919")</f>
        <v>GO:0070919</v>
      </c>
      <c r="B273" t="s">
        <v>624</v>
      </c>
      <c r="C273">
        <v>0.04</v>
      </c>
      <c r="D273">
        <v>0.05</v>
      </c>
      <c r="E273">
        <v>3</v>
      </c>
      <c r="F273" t="s">
        <v>603</v>
      </c>
      <c r="G273" t="s">
        <v>625</v>
      </c>
    </row>
    <row r="274" spans="1:7" x14ac:dyDescent="0.25">
      <c r="A274" s="16" t="str">
        <f>HYPERLINK("http://amigo.geneontology.org/amigo/term/GO:0017003","GO:0017003")</f>
        <v>GO:0017003</v>
      </c>
      <c r="B274" t="s">
        <v>626</v>
      </c>
      <c r="C274">
        <v>0.04</v>
      </c>
      <c r="D274">
        <v>0.05</v>
      </c>
      <c r="E274">
        <v>3</v>
      </c>
      <c r="F274" t="s">
        <v>603</v>
      </c>
      <c r="G274" t="s">
        <v>553</v>
      </c>
    </row>
    <row r="275" spans="1:7" x14ac:dyDescent="0.25">
      <c r="A275" s="16" t="str">
        <f>HYPERLINK("http://amigo.geneontology.org/amigo/term/GO:0000024","GO:0000024")</f>
        <v>GO:0000024</v>
      </c>
      <c r="B275" t="s">
        <v>627</v>
      </c>
      <c r="C275">
        <v>0.04</v>
      </c>
      <c r="D275">
        <v>0.05</v>
      </c>
      <c r="E275">
        <v>3</v>
      </c>
      <c r="F275" t="s">
        <v>603</v>
      </c>
      <c r="G275" t="s">
        <v>628</v>
      </c>
    </row>
    <row r="276" spans="1:7" x14ac:dyDescent="0.25">
      <c r="A276" s="16" t="str">
        <f>HYPERLINK("http://amigo.geneontology.org/amigo/term/GO:0046685","GO:0046685")</f>
        <v>GO:0046685</v>
      </c>
      <c r="B276" t="s">
        <v>629</v>
      </c>
      <c r="C276">
        <v>0.04</v>
      </c>
      <c r="D276">
        <v>0.05</v>
      </c>
      <c r="E276">
        <v>3</v>
      </c>
      <c r="F276" t="s">
        <v>603</v>
      </c>
      <c r="G276" t="s">
        <v>630</v>
      </c>
    </row>
    <row r="277" spans="1:7" x14ac:dyDescent="0.25">
      <c r="A277" s="16" t="str">
        <f>HYPERLINK("http://amigo.geneontology.org/amigo/term/GO:0007389","GO:0007389")</f>
        <v>GO:0007389</v>
      </c>
      <c r="B277" t="s">
        <v>631</v>
      </c>
      <c r="C277">
        <v>0.04</v>
      </c>
      <c r="D277">
        <v>0.05</v>
      </c>
      <c r="E277">
        <v>53</v>
      </c>
      <c r="F277" t="s">
        <v>632</v>
      </c>
      <c r="G277" t="s">
        <v>481</v>
      </c>
    </row>
    <row r="278" spans="1:7" x14ac:dyDescent="0.25">
      <c r="A278" s="16" t="str">
        <f>HYPERLINK("http://amigo.geneontology.org/amigo/term/GO:0061458","GO:0061458")</f>
        <v>GO:0061458</v>
      </c>
      <c r="B278" t="s">
        <v>633</v>
      </c>
      <c r="C278">
        <v>0.04</v>
      </c>
      <c r="D278">
        <v>0.04</v>
      </c>
      <c r="E278">
        <v>407</v>
      </c>
      <c r="F278" t="s">
        <v>634</v>
      </c>
      <c r="G278" t="s">
        <v>635</v>
      </c>
    </row>
    <row r="279" spans="1:7" x14ac:dyDescent="0.25">
      <c r="A279" s="16" t="str">
        <f>HYPERLINK("http://amigo.geneontology.org/amigo/term/GO:0048608","GO:0048608")</f>
        <v>GO:0048608</v>
      </c>
      <c r="B279" t="s">
        <v>636</v>
      </c>
      <c r="C279">
        <v>0.04</v>
      </c>
      <c r="D279">
        <v>0.04</v>
      </c>
      <c r="E279">
        <v>407</v>
      </c>
      <c r="F279" t="s">
        <v>634</v>
      </c>
      <c r="G279" t="s">
        <v>635</v>
      </c>
    </row>
    <row r="280" spans="1:7" x14ac:dyDescent="0.25">
      <c r="A280" s="16" t="str">
        <f>HYPERLINK("http://amigo.geneontology.org/amigo/term/GO:0009186","GO:0009186")</f>
        <v>GO:0009186</v>
      </c>
      <c r="B280" t="s">
        <v>637</v>
      </c>
      <c r="C280">
        <v>0.04</v>
      </c>
      <c r="D280">
        <v>0.05</v>
      </c>
      <c r="E280">
        <v>3</v>
      </c>
      <c r="F280" t="s">
        <v>603</v>
      </c>
      <c r="G280" t="s">
        <v>638</v>
      </c>
    </row>
    <row r="281" spans="1:7" x14ac:dyDescent="0.25">
      <c r="A281" s="16" t="str">
        <f>HYPERLINK("http://amigo.geneontology.org/amigo/term/GO:0009189","GO:0009189")</f>
        <v>GO:0009189</v>
      </c>
      <c r="B281" t="s">
        <v>639</v>
      </c>
      <c r="C281">
        <v>0.04</v>
      </c>
      <c r="D281">
        <v>0.05</v>
      </c>
      <c r="E281">
        <v>3</v>
      </c>
      <c r="F281" t="s">
        <v>603</v>
      </c>
      <c r="G281" t="s">
        <v>638</v>
      </c>
    </row>
    <row r="282" spans="1:7" x14ac:dyDescent="0.25">
      <c r="A282" s="16" t="str">
        <f>HYPERLINK("http://amigo.geneontology.org/amigo/term/GO:0009196","GO:0009196")</f>
        <v>GO:0009196</v>
      </c>
      <c r="B282" t="s">
        <v>640</v>
      </c>
      <c r="C282">
        <v>0.04</v>
      </c>
      <c r="D282">
        <v>0.05</v>
      </c>
      <c r="E282">
        <v>3</v>
      </c>
      <c r="F282" t="s">
        <v>603</v>
      </c>
      <c r="G282" t="s">
        <v>638</v>
      </c>
    </row>
    <row r="283" spans="1:7" x14ac:dyDescent="0.25">
      <c r="A283" s="16" t="str">
        <f>HYPERLINK("http://amigo.geneontology.org/amigo/term/GO:0009197","GO:0009197")</f>
        <v>GO:0009197</v>
      </c>
      <c r="B283" t="s">
        <v>641</v>
      </c>
      <c r="C283">
        <v>0.04</v>
      </c>
      <c r="D283">
        <v>0.05</v>
      </c>
      <c r="E283">
        <v>3</v>
      </c>
      <c r="F283" t="s">
        <v>603</v>
      </c>
      <c r="G283" t="s">
        <v>638</v>
      </c>
    </row>
    <row r="284" spans="1:7" x14ac:dyDescent="0.25">
      <c r="A284" s="16" t="str">
        <f>HYPERLINK("http://amigo.geneontology.org/amigo/term/GO:0046072","GO:0046072")</f>
        <v>GO:0046072</v>
      </c>
      <c r="B284" t="s">
        <v>642</v>
      </c>
      <c r="C284">
        <v>0.04</v>
      </c>
      <c r="D284">
        <v>0.05</v>
      </c>
      <c r="E284">
        <v>3</v>
      </c>
      <c r="F284" t="s">
        <v>603</v>
      </c>
      <c r="G284" t="s">
        <v>638</v>
      </c>
    </row>
    <row r="285" spans="1:7" x14ac:dyDescent="0.25">
      <c r="A285" s="16" t="str">
        <f>HYPERLINK("http://amigo.geneontology.org/amigo/term/GO:0006233","GO:0006233")</f>
        <v>GO:0006233</v>
      </c>
      <c r="B285" t="s">
        <v>643</v>
      </c>
      <c r="C285">
        <v>0.04</v>
      </c>
      <c r="D285">
        <v>0.05</v>
      </c>
      <c r="E285">
        <v>3</v>
      </c>
      <c r="F285" t="s">
        <v>603</v>
      </c>
      <c r="G285" t="s">
        <v>638</v>
      </c>
    </row>
    <row r="286" spans="1:7" x14ac:dyDescent="0.25">
      <c r="A286" s="16" t="str">
        <f>HYPERLINK("http://amigo.geneontology.org/amigo/term/GO:0006873","GO:0006873")</f>
        <v>GO:0006873</v>
      </c>
      <c r="B286" t="s">
        <v>644</v>
      </c>
      <c r="C286">
        <v>0.04</v>
      </c>
      <c r="D286">
        <v>0.05</v>
      </c>
      <c r="E286">
        <v>128</v>
      </c>
      <c r="F286" t="s">
        <v>645</v>
      </c>
      <c r="G286" t="s">
        <v>484</v>
      </c>
    </row>
    <row r="287" spans="1:7" x14ac:dyDescent="0.25">
      <c r="A287" s="16" t="str">
        <f>HYPERLINK("http://amigo.geneontology.org/amigo/term/GO:0055076","GO:0055076")</f>
        <v>GO:0055076</v>
      </c>
      <c r="B287" t="s">
        <v>646</v>
      </c>
      <c r="C287">
        <v>0.04</v>
      </c>
      <c r="D287">
        <v>0.04</v>
      </c>
      <c r="E287">
        <v>87</v>
      </c>
      <c r="F287" t="s">
        <v>647</v>
      </c>
      <c r="G287" t="s">
        <v>437</v>
      </c>
    </row>
    <row r="288" spans="1:7" x14ac:dyDescent="0.25">
      <c r="A288" s="16" t="str">
        <f>HYPERLINK("http://amigo.geneontology.org/amigo/term/GO:0033388","GO:0033388")</f>
        <v>GO:0033388</v>
      </c>
      <c r="B288" t="s">
        <v>648</v>
      </c>
      <c r="C288">
        <v>0.04</v>
      </c>
      <c r="D288">
        <v>0.05</v>
      </c>
      <c r="E288">
        <v>3</v>
      </c>
      <c r="F288" t="s">
        <v>603</v>
      </c>
      <c r="G288" t="s">
        <v>565</v>
      </c>
    </row>
    <row r="289" spans="1:7" x14ac:dyDescent="0.25">
      <c r="A289" s="16" t="str">
        <f>HYPERLINK("http://amigo.geneontology.org/amigo/term/GO:0006458","GO:0006458")</f>
        <v>GO:0006458</v>
      </c>
      <c r="B289" t="s">
        <v>649</v>
      </c>
      <c r="C289">
        <v>0.04</v>
      </c>
      <c r="D289">
        <v>0.05</v>
      </c>
      <c r="E289">
        <v>22</v>
      </c>
      <c r="F289" t="s">
        <v>650</v>
      </c>
      <c r="G289" t="s">
        <v>651</v>
      </c>
    </row>
    <row r="290" spans="1:7" x14ac:dyDescent="0.25">
      <c r="A290" s="16" t="str">
        <f>HYPERLINK("http://amigo.geneontology.org/amigo/term/GO:0051084","GO:0051084")</f>
        <v>GO:0051084</v>
      </c>
      <c r="B290" t="s">
        <v>652</v>
      </c>
      <c r="C290">
        <v>0.04</v>
      </c>
      <c r="D290">
        <v>0.04</v>
      </c>
      <c r="E290">
        <v>21</v>
      </c>
      <c r="F290" t="s">
        <v>653</v>
      </c>
      <c r="G290" t="s">
        <v>651</v>
      </c>
    </row>
    <row r="291" spans="1:7" x14ac:dyDescent="0.25">
      <c r="A291" s="16" t="str">
        <f>HYPERLINK("http://amigo.geneontology.org/amigo/term/GO:0051085","GO:0051085")</f>
        <v>GO:0051085</v>
      </c>
      <c r="B291" t="s">
        <v>654</v>
      </c>
      <c r="C291">
        <v>0.04</v>
      </c>
      <c r="D291">
        <v>0.04</v>
      </c>
      <c r="E291">
        <v>21</v>
      </c>
      <c r="F291" t="s">
        <v>653</v>
      </c>
      <c r="G291" t="s">
        <v>651</v>
      </c>
    </row>
    <row r="292" spans="1:7" x14ac:dyDescent="0.25">
      <c r="A292" s="16" t="str">
        <f>HYPERLINK("http://amigo.geneontology.org/amigo/term/GO:0007129","GO:0007129")</f>
        <v>GO:0007129</v>
      </c>
      <c r="B292" t="s">
        <v>655</v>
      </c>
      <c r="C292">
        <v>0.04</v>
      </c>
      <c r="D292">
        <v>0.05</v>
      </c>
      <c r="E292">
        <v>23</v>
      </c>
      <c r="F292" t="s">
        <v>656</v>
      </c>
      <c r="G292" t="s">
        <v>409</v>
      </c>
    </row>
    <row r="293" spans="1:7" x14ac:dyDescent="0.25">
      <c r="A293" s="16" t="str">
        <f>HYPERLINK("http://amigo.geneontology.org/amigo/term/GO:0043572","GO:0043572")</f>
        <v>GO:0043572</v>
      </c>
      <c r="B293" t="s">
        <v>657</v>
      </c>
      <c r="C293">
        <v>0.04</v>
      </c>
      <c r="D293">
        <v>0.05</v>
      </c>
      <c r="E293">
        <v>23</v>
      </c>
      <c r="F293" t="s">
        <v>656</v>
      </c>
      <c r="G293" t="s">
        <v>658</v>
      </c>
    </row>
    <row r="294" spans="1:7" x14ac:dyDescent="0.25">
      <c r="A294" s="16" t="str">
        <f>HYPERLINK("http://amigo.geneontology.org/amigo/term/GO:0010020","GO:0010020")</f>
        <v>GO:0010020</v>
      </c>
      <c r="B294" t="s">
        <v>659</v>
      </c>
      <c r="C294">
        <v>0.04</v>
      </c>
      <c r="D294">
        <v>0.05</v>
      </c>
      <c r="E294">
        <v>23</v>
      </c>
      <c r="F294" t="s">
        <v>656</v>
      </c>
      <c r="G294" t="s">
        <v>658</v>
      </c>
    </row>
    <row r="295" spans="1:7" x14ac:dyDescent="0.25">
      <c r="A295" s="16" t="str">
        <f>HYPERLINK("http://amigo.geneontology.org/amigo/term/GO:0051674","GO:0051674")</f>
        <v>GO:0051674</v>
      </c>
      <c r="B295" t="s">
        <v>660</v>
      </c>
      <c r="C295">
        <v>0.04</v>
      </c>
      <c r="D295">
        <v>0.05</v>
      </c>
      <c r="E295">
        <v>3</v>
      </c>
      <c r="F295" t="s">
        <v>603</v>
      </c>
      <c r="G295" t="s">
        <v>661</v>
      </c>
    </row>
    <row r="296" spans="1:7" x14ac:dyDescent="0.25">
      <c r="A296" s="16" t="str">
        <f>HYPERLINK("http://amigo.geneontology.org/amigo/term/GO:0048870","GO:0048870")</f>
        <v>GO:0048870</v>
      </c>
      <c r="B296" t="s">
        <v>662</v>
      </c>
      <c r="C296">
        <v>0.04</v>
      </c>
      <c r="D296">
        <v>0.05</v>
      </c>
      <c r="E296">
        <v>3</v>
      </c>
      <c r="F296" t="s">
        <v>603</v>
      </c>
      <c r="G296" t="s">
        <v>661</v>
      </c>
    </row>
    <row r="297" spans="1:7" x14ac:dyDescent="0.25">
      <c r="A297" s="16" t="str">
        <f>HYPERLINK("http://amigo.geneontology.org/amigo/term/GO:0006213","GO:0006213")</f>
        <v>GO:0006213</v>
      </c>
      <c r="B297" t="s">
        <v>663</v>
      </c>
      <c r="C297">
        <v>0.04</v>
      </c>
      <c r="D297">
        <v>0.05</v>
      </c>
      <c r="E297">
        <v>3</v>
      </c>
      <c r="F297" t="s">
        <v>603</v>
      </c>
      <c r="G297" t="s">
        <v>664</v>
      </c>
    </row>
    <row r="298" spans="1:7" x14ac:dyDescent="0.25">
      <c r="A298" s="16" t="str">
        <f>HYPERLINK("http://amigo.geneontology.org/amigo/term/GO:0046131","GO:0046131")</f>
        <v>GO:0046131</v>
      </c>
      <c r="B298" t="s">
        <v>665</v>
      </c>
      <c r="C298">
        <v>0.04</v>
      </c>
      <c r="D298">
        <v>0.05</v>
      </c>
      <c r="E298">
        <v>3</v>
      </c>
      <c r="F298" t="s">
        <v>603</v>
      </c>
      <c r="G298" t="s">
        <v>664</v>
      </c>
    </row>
    <row r="299" spans="1:7" x14ac:dyDescent="0.25">
      <c r="A299" s="16" t="str">
        <f>HYPERLINK("http://amigo.geneontology.org/amigo/term/GO:0046087","GO:0046087")</f>
        <v>GO:0046087</v>
      </c>
      <c r="B299" t="s">
        <v>666</v>
      </c>
      <c r="C299">
        <v>0.04</v>
      </c>
      <c r="D299">
        <v>0.05</v>
      </c>
      <c r="E299">
        <v>3</v>
      </c>
      <c r="F299" t="s">
        <v>603</v>
      </c>
      <c r="G299" t="s">
        <v>664</v>
      </c>
    </row>
    <row r="300" spans="1:7" x14ac:dyDescent="0.25">
      <c r="A300" s="16" t="str">
        <f>HYPERLINK("http://amigo.geneontology.org/amigo/term/GO:0046135","GO:0046135")</f>
        <v>GO:0046135</v>
      </c>
      <c r="B300" t="s">
        <v>667</v>
      </c>
      <c r="C300">
        <v>0.04</v>
      </c>
      <c r="D300">
        <v>0.05</v>
      </c>
      <c r="E300">
        <v>3</v>
      </c>
      <c r="F300" t="s">
        <v>603</v>
      </c>
      <c r="G300" t="s">
        <v>664</v>
      </c>
    </row>
    <row r="301" spans="1:7" x14ac:dyDescent="0.25">
      <c r="A301" s="16" t="str">
        <f>HYPERLINK("http://amigo.geneontology.org/amigo/term/GO:0046133","GO:0046133")</f>
        <v>GO:0046133</v>
      </c>
      <c r="B301" t="s">
        <v>668</v>
      </c>
      <c r="C301">
        <v>0.04</v>
      </c>
      <c r="D301">
        <v>0.05</v>
      </c>
      <c r="E301">
        <v>3</v>
      </c>
      <c r="F301" t="s">
        <v>603</v>
      </c>
      <c r="G301" t="s">
        <v>664</v>
      </c>
    </row>
    <row r="302" spans="1:7" x14ac:dyDescent="0.25">
      <c r="A302" s="16" t="str">
        <f>HYPERLINK("http://amigo.geneontology.org/amigo/term/GO:0006216","GO:0006216")</f>
        <v>GO:0006216</v>
      </c>
      <c r="B302" t="s">
        <v>669</v>
      </c>
      <c r="C302">
        <v>0.04</v>
      </c>
      <c r="D302">
        <v>0.05</v>
      </c>
      <c r="E302">
        <v>3</v>
      </c>
      <c r="F302" t="s">
        <v>603</v>
      </c>
      <c r="G302" t="s">
        <v>664</v>
      </c>
    </row>
    <row r="303" spans="1:7" x14ac:dyDescent="0.25">
      <c r="A303" s="16" t="str">
        <f>HYPERLINK("http://amigo.geneontology.org/amigo/term/GO:0009972","GO:0009972")</f>
        <v>GO:0009972</v>
      </c>
      <c r="B303" t="s">
        <v>670</v>
      </c>
      <c r="C303">
        <v>0.04</v>
      </c>
      <c r="D303">
        <v>0.05</v>
      </c>
      <c r="E303">
        <v>3</v>
      </c>
      <c r="F303" t="s">
        <v>603</v>
      </c>
      <c r="G303" t="s">
        <v>664</v>
      </c>
    </row>
    <row r="304" spans="1:7" x14ac:dyDescent="0.25">
      <c r="A304" s="16" t="str">
        <f>HYPERLINK("http://amigo.geneontology.org/amigo/term/GO:1990641","GO:1990641")</f>
        <v>GO:1990641</v>
      </c>
      <c r="B304" t="s">
        <v>671</v>
      </c>
      <c r="C304">
        <v>0.04</v>
      </c>
      <c r="D304">
        <v>0.05</v>
      </c>
      <c r="E304">
        <v>3</v>
      </c>
      <c r="F304" t="s">
        <v>603</v>
      </c>
      <c r="G304" t="s">
        <v>576</v>
      </c>
    </row>
    <row r="305" spans="1:7" x14ac:dyDescent="0.25">
      <c r="A305" s="16" t="str">
        <f>HYPERLINK("http://amigo.geneontology.org/amigo/term/GO:0046415","GO:0046415")</f>
        <v>GO:0046415</v>
      </c>
      <c r="B305" t="s">
        <v>672</v>
      </c>
      <c r="C305">
        <v>0.04</v>
      </c>
      <c r="D305">
        <v>0.05</v>
      </c>
      <c r="E305">
        <v>3</v>
      </c>
      <c r="F305" t="s">
        <v>603</v>
      </c>
      <c r="G305" t="s">
        <v>673</v>
      </c>
    </row>
    <row r="306" spans="1:7" x14ac:dyDescent="0.25">
      <c r="A306" s="16" t="str">
        <f>HYPERLINK("http://amigo.geneontology.org/amigo/term/GO:0019628","GO:0019628")</f>
        <v>GO:0019628</v>
      </c>
      <c r="B306" t="s">
        <v>674</v>
      </c>
      <c r="C306">
        <v>0.04</v>
      </c>
      <c r="D306">
        <v>0.05</v>
      </c>
      <c r="E306">
        <v>3</v>
      </c>
      <c r="F306" t="s">
        <v>603</v>
      </c>
      <c r="G306" t="s">
        <v>673</v>
      </c>
    </row>
    <row r="307" spans="1:7" x14ac:dyDescent="0.25">
      <c r="A307" s="16" t="str">
        <f>HYPERLINK("http://amigo.geneontology.org/amigo/term/GO:0006720","GO:0006720")</f>
        <v>GO:0006720</v>
      </c>
      <c r="B307" t="s">
        <v>675</v>
      </c>
      <c r="C307">
        <v>0.04</v>
      </c>
      <c r="D307">
        <v>0.04</v>
      </c>
      <c r="E307">
        <v>261</v>
      </c>
      <c r="F307" t="s">
        <v>676</v>
      </c>
      <c r="G307" t="s">
        <v>514</v>
      </c>
    </row>
    <row r="308" spans="1:7" x14ac:dyDescent="0.25">
      <c r="A308" s="16" t="str">
        <f>HYPERLINK("http://amigo.geneontology.org/amigo/term/GO:0043570","GO:0043570")</f>
        <v>GO:0043570</v>
      </c>
      <c r="B308" t="s">
        <v>677</v>
      </c>
      <c r="C308">
        <v>0.04</v>
      </c>
      <c r="D308">
        <v>0.05</v>
      </c>
      <c r="E308">
        <v>3</v>
      </c>
      <c r="F308" t="s">
        <v>603</v>
      </c>
      <c r="G308" t="s">
        <v>446</v>
      </c>
    </row>
    <row r="309" spans="1:7" x14ac:dyDescent="0.25">
      <c r="A309" s="16" t="str">
        <f>HYPERLINK("http://amigo.geneontology.org/amigo/term/GO:0051495","GO:0051495")</f>
        <v>GO:0051495</v>
      </c>
      <c r="B309" t="s">
        <v>678</v>
      </c>
      <c r="C309">
        <v>0.04</v>
      </c>
      <c r="D309">
        <v>0.05</v>
      </c>
      <c r="E309">
        <v>3</v>
      </c>
      <c r="F309" t="s">
        <v>603</v>
      </c>
      <c r="G309" t="s">
        <v>587</v>
      </c>
    </row>
    <row r="310" spans="1:7" x14ac:dyDescent="0.25">
      <c r="A310" s="16" t="str">
        <f>HYPERLINK("http://amigo.geneontology.org/amigo/term/GO:1902905","GO:1902905")</f>
        <v>GO:1902905</v>
      </c>
      <c r="B310" t="s">
        <v>679</v>
      </c>
      <c r="C310">
        <v>0.04</v>
      </c>
      <c r="D310">
        <v>0.05</v>
      </c>
      <c r="E310">
        <v>3</v>
      </c>
      <c r="F310" t="s">
        <v>603</v>
      </c>
      <c r="G310" t="s">
        <v>587</v>
      </c>
    </row>
    <row r="311" spans="1:7" x14ac:dyDescent="0.25">
      <c r="A311" s="16" t="str">
        <f>HYPERLINK("http://amigo.geneontology.org/amigo/term/GO:0009450","GO:0009450")</f>
        <v>GO:0009450</v>
      </c>
      <c r="B311" t="s">
        <v>680</v>
      </c>
      <c r="C311">
        <v>0.04</v>
      </c>
      <c r="D311">
        <v>0.05</v>
      </c>
      <c r="E311">
        <v>3</v>
      </c>
      <c r="F311" t="s">
        <v>603</v>
      </c>
      <c r="G311" t="s">
        <v>681</v>
      </c>
    </row>
    <row r="312" spans="1:7" x14ac:dyDescent="0.25">
      <c r="A312" s="16" t="str">
        <f>HYPERLINK("http://amigo.geneontology.org/amigo/term/GO:0043101","GO:0043101")</f>
        <v>GO:0043101</v>
      </c>
      <c r="B312" t="s">
        <v>682</v>
      </c>
      <c r="C312">
        <v>0.04</v>
      </c>
      <c r="D312">
        <v>0.05</v>
      </c>
      <c r="E312">
        <v>22</v>
      </c>
      <c r="F312" t="s">
        <v>650</v>
      </c>
      <c r="G312" t="s">
        <v>393</v>
      </c>
    </row>
    <row r="313" spans="1:7" x14ac:dyDescent="0.25">
      <c r="A313" s="16" t="str">
        <f>HYPERLINK("http://amigo.geneontology.org/amigo/term/GO:0010023","GO:0010023")</f>
        <v>GO:0010023</v>
      </c>
      <c r="B313" t="s">
        <v>683</v>
      </c>
      <c r="C313">
        <v>0.04</v>
      </c>
      <c r="D313">
        <v>0.05</v>
      </c>
      <c r="E313">
        <v>3</v>
      </c>
      <c r="F313" t="s">
        <v>603</v>
      </c>
      <c r="G313" t="s">
        <v>684</v>
      </c>
    </row>
    <row r="314" spans="1:7" x14ac:dyDescent="0.25">
      <c r="A314" s="16" t="str">
        <f>HYPERLINK("http://amigo.geneontology.org/amigo/term/GO:0006629","GO:0006629")</f>
        <v>GO:0006629</v>
      </c>
      <c r="B314" t="s">
        <v>685</v>
      </c>
      <c r="C314">
        <v>0.05</v>
      </c>
      <c r="D314">
        <v>0.05</v>
      </c>
      <c r="E314">
        <v>2008</v>
      </c>
      <c r="F314" t="s">
        <v>686</v>
      </c>
      <c r="G314" t="s">
        <v>687</v>
      </c>
    </row>
    <row r="315" spans="1:7" x14ac:dyDescent="0.25">
      <c r="A315" s="16" t="str">
        <f>HYPERLINK("http://amigo.geneontology.org/amigo/term/GO:0034641","GO:0034641")</f>
        <v>GO:0034641</v>
      </c>
      <c r="B315" t="s">
        <v>688</v>
      </c>
      <c r="C315">
        <v>0.05</v>
      </c>
      <c r="D315">
        <v>0.05</v>
      </c>
      <c r="E315">
        <v>7697</v>
      </c>
      <c r="F315" t="s">
        <v>689</v>
      </c>
      <c r="G315" t="s">
        <v>690</v>
      </c>
    </row>
    <row r="316" spans="1:7" x14ac:dyDescent="0.25">
      <c r="A316" s="16" t="str">
        <f>HYPERLINK("http://amigo.geneontology.org/amigo/term/GO:0032787","GO:0032787")</f>
        <v>GO:0032787</v>
      </c>
      <c r="B316" t="s">
        <v>691</v>
      </c>
      <c r="C316">
        <v>0.05</v>
      </c>
      <c r="D316">
        <v>0.05</v>
      </c>
      <c r="E316">
        <v>737</v>
      </c>
      <c r="F316" t="s">
        <v>692</v>
      </c>
      <c r="G316" t="s">
        <v>693</v>
      </c>
    </row>
    <row r="317" spans="1:7" x14ac:dyDescent="0.25">
      <c r="A317" s="16" t="str">
        <f>HYPERLINK("http://amigo.geneontology.org/amigo/term/GO:0032956","GO:0032956")</f>
        <v>GO:0032956</v>
      </c>
      <c r="B317" t="s">
        <v>694</v>
      </c>
      <c r="C317">
        <v>0.05</v>
      </c>
      <c r="D317">
        <v>0.05</v>
      </c>
      <c r="E317">
        <v>55</v>
      </c>
      <c r="F317" t="s">
        <v>695</v>
      </c>
      <c r="G317" t="s">
        <v>696</v>
      </c>
    </row>
    <row r="318" spans="1:7" x14ac:dyDescent="0.25">
      <c r="A318" s="16" t="str">
        <f>HYPERLINK("http://amigo.geneontology.org/amigo/term/GO:0030162","GO:0030162")</f>
        <v>GO:0030162</v>
      </c>
      <c r="B318" t="s">
        <v>697</v>
      </c>
      <c r="C318">
        <v>0.05</v>
      </c>
      <c r="D318">
        <v>0.05</v>
      </c>
      <c r="E318">
        <v>179</v>
      </c>
      <c r="F318" t="s">
        <v>698</v>
      </c>
      <c r="G318" t="s">
        <v>699</v>
      </c>
    </row>
    <row r="319" spans="1:7" x14ac:dyDescent="0.25">
      <c r="A319" s="16" t="str">
        <f>HYPERLINK("http://amigo.geneontology.org/amigo/term/GO:0043086","GO:0043086")</f>
        <v>GO:0043086</v>
      </c>
      <c r="B319" t="s">
        <v>700</v>
      </c>
      <c r="C319">
        <v>0.05</v>
      </c>
      <c r="D319">
        <v>0.06</v>
      </c>
      <c r="E319">
        <v>226</v>
      </c>
      <c r="F319" t="s">
        <v>701</v>
      </c>
      <c r="G319" t="s">
        <v>702</v>
      </c>
    </row>
    <row r="320" spans="1:7" x14ac:dyDescent="0.25">
      <c r="A320" s="16" t="str">
        <f>HYPERLINK("http://amigo.geneontology.org/amigo/term/GO:0046470","GO:0046470")</f>
        <v>GO:0046470</v>
      </c>
      <c r="B320" t="s">
        <v>703</v>
      </c>
      <c r="C320">
        <v>0.05</v>
      </c>
      <c r="D320">
        <v>0.05</v>
      </c>
      <c r="E320">
        <v>55</v>
      </c>
      <c r="F320" t="s">
        <v>695</v>
      </c>
      <c r="G320" t="s">
        <v>207</v>
      </c>
    </row>
    <row r="321" spans="1:7" x14ac:dyDescent="0.25">
      <c r="A321" s="16" t="str">
        <f>HYPERLINK("http://amigo.geneontology.org/amigo/term/GO:0055065","GO:0055065")</f>
        <v>GO:0055065</v>
      </c>
      <c r="B321" t="s">
        <v>704</v>
      </c>
      <c r="C321">
        <v>0.05</v>
      </c>
      <c r="D321">
        <v>0.06</v>
      </c>
      <c r="E321">
        <v>136</v>
      </c>
      <c r="F321" t="s">
        <v>705</v>
      </c>
      <c r="G321" t="s">
        <v>484</v>
      </c>
    </row>
    <row r="322" spans="1:7" x14ac:dyDescent="0.25">
      <c r="A322" s="16" t="str">
        <f>HYPERLINK("http://amigo.geneontology.org/amigo/term/GO:0042440","GO:0042440")</f>
        <v>GO:0042440</v>
      </c>
      <c r="B322" t="s">
        <v>706</v>
      </c>
      <c r="C322">
        <v>0.05</v>
      </c>
      <c r="D322">
        <v>0.05</v>
      </c>
      <c r="E322">
        <v>176</v>
      </c>
      <c r="F322" t="s">
        <v>707</v>
      </c>
      <c r="G322" t="s">
        <v>708</v>
      </c>
    </row>
    <row r="323" spans="1:7" x14ac:dyDescent="0.25">
      <c r="A323" s="16" t="str">
        <f>HYPERLINK("http://amigo.geneontology.org/amigo/term/GO:0044550","GO:0044550")</f>
        <v>GO:0044550</v>
      </c>
      <c r="B323" t="s">
        <v>709</v>
      </c>
      <c r="C323">
        <v>0.05</v>
      </c>
      <c r="D323">
        <v>0.06</v>
      </c>
      <c r="E323">
        <v>94</v>
      </c>
      <c r="F323" t="s">
        <v>710</v>
      </c>
      <c r="G323" t="s">
        <v>492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workbookViewId="0">
      <pane xSplit="2" ySplit="10" topLeftCell="C128" activePane="bottomRight" state="frozen"/>
      <selection pane="topRight" activeCell="C1" sqref="C1"/>
      <selection pane="bottomLeft" activeCell="A11" sqref="A11"/>
      <selection pane="bottomRight" activeCell="A11" sqref="A11:A154"/>
    </sheetView>
  </sheetViews>
  <sheetFormatPr defaultRowHeight="15" x14ac:dyDescent="0.25"/>
  <sheetData>
    <row r="1" spans="1:7" x14ac:dyDescent="0.25">
      <c r="A1" t="s">
        <v>0</v>
      </c>
      <c r="B1">
        <v>463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HYPERLINK("http://amigo.geneontology.org/amigo/term/GO:0048640","GO:0048640")</f>
        <v>GO:0048640</v>
      </c>
      <c r="B11" t="s">
        <v>1311</v>
      </c>
      <c r="C11" s="1">
        <v>3.123E-6</v>
      </c>
      <c r="D11" s="1">
        <v>3.5090000000000002E-6</v>
      </c>
      <c r="E11">
        <v>17</v>
      </c>
      <c r="F11" t="s">
        <v>1843</v>
      </c>
      <c r="G11" t="s">
        <v>1754</v>
      </c>
    </row>
    <row r="12" spans="1:7" x14ac:dyDescent="0.25">
      <c r="A12" s="16" t="str">
        <f>HYPERLINK("http://amigo.geneontology.org/amigo/term/GO:0046621","GO:0046621")</f>
        <v>GO:0046621</v>
      </c>
      <c r="B12" t="s">
        <v>1312</v>
      </c>
      <c r="C12" s="1">
        <v>3.123E-6</v>
      </c>
      <c r="D12" s="1">
        <v>3.5090000000000002E-6</v>
      </c>
      <c r="E12">
        <v>17</v>
      </c>
      <c r="F12" t="s">
        <v>1843</v>
      </c>
      <c r="G12" t="s">
        <v>1754</v>
      </c>
    </row>
    <row r="13" spans="1:7" x14ac:dyDescent="0.25">
      <c r="A13" s="16" t="str">
        <f>HYPERLINK("http://amigo.geneontology.org/amigo/term/GO:0045926","GO:0045926")</f>
        <v>GO:0045926</v>
      </c>
      <c r="B13" t="s">
        <v>1313</v>
      </c>
      <c r="C13" s="1">
        <v>9.3670000000000003E-6</v>
      </c>
      <c r="D13" s="1">
        <v>1.0519999999999999E-5</v>
      </c>
      <c r="E13">
        <v>22</v>
      </c>
      <c r="F13" t="s">
        <v>1842</v>
      </c>
      <c r="G13" t="s">
        <v>1754</v>
      </c>
    </row>
    <row r="14" spans="1:7" x14ac:dyDescent="0.25">
      <c r="A14" s="16" t="str">
        <f>HYPERLINK("http://amigo.geneontology.org/amigo/term/GO:0046620","GO:0046620")</f>
        <v>GO:0046620</v>
      </c>
      <c r="B14" t="s">
        <v>1014</v>
      </c>
      <c r="C14" s="1">
        <v>3.3760000000000002E-5</v>
      </c>
      <c r="D14" s="1">
        <v>3.7910000000000001E-5</v>
      </c>
      <c r="E14">
        <v>30</v>
      </c>
      <c r="F14" t="s">
        <v>1841</v>
      </c>
      <c r="G14" t="s">
        <v>1754</v>
      </c>
    </row>
    <row r="15" spans="1:7" x14ac:dyDescent="0.25">
      <c r="A15" s="16" t="str">
        <f>HYPERLINK("http://amigo.geneontology.org/amigo/term/GO:0010438","GO:0010438")</f>
        <v>GO:0010438</v>
      </c>
      <c r="B15" t="s">
        <v>1314</v>
      </c>
      <c r="C15" s="1">
        <v>1.122E-4</v>
      </c>
      <c r="D15" s="1">
        <v>1.26E-4</v>
      </c>
      <c r="E15">
        <v>3</v>
      </c>
      <c r="F15" t="s">
        <v>1840</v>
      </c>
      <c r="G15" t="s">
        <v>1782</v>
      </c>
    </row>
    <row r="16" spans="1:7" x14ac:dyDescent="0.25">
      <c r="A16" s="16" t="str">
        <f>HYPERLINK("http://amigo.geneontology.org/amigo/term/GO:0010439","GO:0010439")</f>
        <v>GO:0010439</v>
      </c>
      <c r="B16" t="s">
        <v>1315</v>
      </c>
      <c r="C16" s="1">
        <v>1.122E-4</v>
      </c>
      <c r="D16" s="1">
        <v>1.26E-4</v>
      </c>
      <c r="E16">
        <v>3</v>
      </c>
      <c r="F16" t="s">
        <v>1840</v>
      </c>
      <c r="G16" t="s">
        <v>1782</v>
      </c>
    </row>
    <row r="17" spans="1:7" x14ac:dyDescent="0.25">
      <c r="A17" s="16" t="str">
        <f>HYPERLINK("http://amigo.geneontology.org/amigo/term/GO:0006552","GO:0006552")</f>
        <v>GO:0006552</v>
      </c>
      <c r="B17" t="s">
        <v>1316</v>
      </c>
      <c r="C17" s="1">
        <v>2.2350000000000001E-4</v>
      </c>
      <c r="D17" s="1">
        <v>2.5080000000000002E-4</v>
      </c>
      <c r="E17">
        <v>4</v>
      </c>
      <c r="F17" t="s">
        <v>1839</v>
      </c>
      <c r="G17" t="s">
        <v>1710</v>
      </c>
    </row>
    <row r="18" spans="1:7" x14ac:dyDescent="0.25">
      <c r="A18" s="16" t="str">
        <f>HYPERLINK("http://amigo.geneontology.org/amigo/term/GO:0010675","GO:0010675")</f>
        <v>GO:0010675</v>
      </c>
      <c r="B18" t="s">
        <v>1317</v>
      </c>
      <c r="C18" s="1">
        <v>3.2380000000000001E-4</v>
      </c>
      <c r="D18" s="1">
        <v>3.634E-4</v>
      </c>
      <c r="E18">
        <v>22</v>
      </c>
      <c r="F18" t="s">
        <v>1838</v>
      </c>
      <c r="G18" t="s">
        <v>1791</v>
      </c>
    </row>
    <row r="19" spans="1:7" x14ac:dyDescent="0.25">
      <c r="A19" s="16" t="str">
        <f>HYPERLINK("http://amigo.geneontology.org/amigo/term/GO:0000272","GO:0000272")</f>
        <v>GO:0000272</v>
      </c>
      <c r="B19" t="s">
        <v>1318</v>
      </c>
      <c r="C19" s="1">
        <v>4.46E-4</v>
      </c>
      <c r="D19" s="1">
        <v>5.0040000000000002E-4</v>
      </c>
      <c r="E19">
        <v>219</v>
      </c>
      <c r="F19" t="s">
        <v>1837</v>
      </c>
      <c r="G19" t="s">
        <v>1836</v>
      </c>
    </row>
    <row r="20" spans="1:7" x14ac:dyDescent="0.25">
      <c r="A20" s="16" t="str">
        <f>HYPERLINK("http://amigo.geneontology.org/amigo/term/GO:0006109","GO:0006109")</f>
        <v>GO:0006109</v>
      </c>
      <c r="B20" t="s">
        <v>1319</v>
      </c>
      <c r="C20" s="1">
        <v>4.771E-4</v>
      </c>
      <c r="D20" s="1">
        <v>5.3510000000000005E-4</v>
      </c>
      <c r="E20">
        <v>25</v>
      </c>
      <c r="F20" t="s">
        <v>1835</v>
      </c>
      <c r="G20" t="s">
        <v>1791</v>
      </c>
    </row>
    <row r="21" spans="1:7" x14ac:dyDescent="0.25">
      <c r="A21" s="16" t="str">
        <f>HYPERLINK("http://amigo.geneontology.org/amigo/term/GO:0051241","GO:0051241")</f>
        <v>GO:0051241</v>
      </c>
      <c r="B21" t="s">
        <v>1320</v>
      </c>
      <c r="C21" s="1">
        <v>4.8720000000000002E-4</v>
      </c>
      <c r="D21" s="1">
        <v>5.4640000000000005E-4</v>
      </c>
      <c r="E21">
        <v>59</v>
      </c>
      <c r="F21" t="s">
        <v>1834</v>
      </c>
      <c r="G21" t="s">
        <v>1754</v>
      </c>
    </row>
    <row r="22" spans="1:7" x14ac:dyDescent="0.25">
      <c r="A22" s="16" t="str">
        <f>HYPERLINK("http://amigo.geneontology.org/amigo/term/GO:0006537","GO:0006537")</f>
        <v>GO:0006537</v>
      </c>
      <c r="B22" t="s">
        <v>1321</v>
      </c>
      <c r="C22" s="1">
        <v>5.5409999999999997E-4</v>
      </c>
      <c r="D22" s="1">
        <v>6.2129999999999998E-4</v>
      </c>
      <c r="E22">
        <v>6</v>
      </c>
      <c r="F22" t="s">
        <v>324</v>
      </c>
      <c r="G22" t="s">
        <v>1764</v>
      </c>
    </row>
    <row r="23" spans="1:7" x14ac:dyDescent="0.25">
      <c r="A23" s="16" t="str">
        <f>HYPERLINK("http://amigo.geneontology.org/amigo/term/GO:0006851","GO:0006851")</f>
        <v>GO:0006851</v>
      </c>
      <c r="B23" t="s">
        <v>1322</v>
      </c>
      <c r="C23" s="1">
        <v>5.5409999999999997E-4</v>
      </c>
      <c r="D23" s="1">
        <v>6.2129999999999998E-4</v>
      </c>
      <c r="E23">
        <v>6</v>
      </c>
      <c r="F23" t="s">
        <v>324</v>
      </c>
      <c r="G23" t="s">
        <v>1735</v>
      </c>
    </row>
    <row r="24" spans="1:7" x14ac:dyDescent="0.25">
      <c r="A24" s="16" t="str">
        <f>HYPERLINK("http://amigo.geneontology.org/amigo/term/GO:0051093","GO:0051093")</f>
        <v>GO:0051093</v>
      </c>
      <c r="B24" t="s">
        <v>1323</v>
      </c>
      <c r="C24" s="1">
        <v>6.6399999999999999E-4</v>
      </c>
      <c r="D24" s="1">
        <v>7.4419999999999998E-4</v>
      </c>
      <c r="E24">
        <v>64</v>
      </c>
      <c r="F24" t="s">
        <v>436</v>
      </c>
      <c r="G24" t="s">
        <v>1754</v>
      </c>
    </row>
    <row r="25" spans="1:7" x14ac:dyDescent="0.25">
      <c r="A25" s="16" t="str">
        <f>HYPERLINK("http://amigo.geneontology.org/amigo/term/GO:0030001","GO:0030001")</f>
        <v>GO:0030001</v>
      </c>
      <c r="B25" t="s">
        <v>743</v>
      </c>
      <c r="C25" s="1">
        <v>6.7440000000000002E-4</v>
      </c>
      <c r="D25" s="1">
        <v>7.5580000000000005E-4</v>
      </c>
      <c r="E25">
        <v>729</v>
      </c>
      <c r="F25" t="s">
        <v>1833</v>
      </c>
      <c r="G25" t="s">
        <v>1832</v>
      </c>
    </row>
    <row r="26" spans="1:7" x14ac:dyDescent="0.25">
      <c r="A26" s="16" t="str">
        <f>HYPERLINK("http://amigo.geneontology.org/amigo/term/GO:0005975","GO:0005975")</f>
        <v>GO:0005975</v>
      </c>
      <c r="B26" t="s">
        <v>295</v>
      </c>
      <c r="C26" s="1">
        <v>6.7750000000000004E-4</v>
      </c>
      <c r="D26" s="1">
        <v>7.5909999999999997E-4</v>
      </c>
      <c r="E26">
        <v>2685</v>
      </c>
      <c r="F26" t="s">
        <v>1831</v>
      </c>
      <c r="G26" t="s">
        <v>1830</v>
      </c>
    </row>
    <row r="27" spans="1:7" x14ac:dyDescent="0.25">
      <c r="A27" s="16" t="str">
        <f>HYPERLINK("http://amigo.geneontology.org/amigo/term/GO:0015851","GO:0015851")</f>
        <v>GO:0015851</v>
      </c>
      <c r="B27" t="s">
        <v>1324</v>
      </c>
      <c r="C27" s="1">
        <v>7.7260000000000002E-4</v>
      </c>
      <c r="D27" s="1">
        <v>8.654E-4</v>
      </c>
      <c r="E27">
        <v>7</v>
      </c>
      <c r="F27" t="s">
        <v>1829</v>
      </c>
      <c r="G27" t="s">
        <v>1828</v>
      </c>
    </row>
    <row r="28" spans="1:7" x14ac:dyDescent="0.25">
      <c r="A28" s="16" t="str">
        <f>HYPERLINK("http://amigo.geneontology.org/amigo/term/GO:0006863","GO:0006863")</f>
        <v>GO:0006863</v>
      </c>
      <c r="B28" t="s">
        <v>1325</v>
      </c>
      <c r="C28" s="1">
        <v>7.7260000000000002E-4</v>
      </c>
      <c r="D28" s="1">
        <v>8.654E-4</v>
      </c>
      <c r="E28">
        <v>7</v>
      </c>
      <c r="F28" t="s">
        <v>1829</v>
      </c>
      <c r="G28" t="s">
        <v>1828</v>
      </c>
    </row>
    <row r="29" spans="1:7" x14ac:dyDescent="0.25">
      <c r="A29" s="16" t="str">
        <f>HYPERLINK("http://amigo.geneontology.org/amigo/term/GO:1900376","GO:1900376")</f>
        <v>GO:1900376</v>
      </c>
      <c r="B29" t="s">
        <v>866</v>
      </c>
      <c r="C29" s="1">
        <v>1.026E-3</v>
      </c>
      <c r="D29" s="1">
        <v>1.1490000000000001E-3</v>
      </c>
      <c r="E29">
        <v>8</v>
      </c>
      <c r="F29" t="s">
        <v>370</v>
      </c>
      <c r="G29" t="s">
        <v>1782</v>
      </c>
    </row>
    <row r="30" spans="1:7" x14ac:dyDescent="0.25">
      <c r="A30" s="16" t="str">
        <f>HYPERLINK("http://amigo.geneontology.org/amigo/term/GO:0016310","GO:0016310")</f>
        <v>GO:0016310</v>
      </c>
      <c r="B30" t="s">
        <v>713</v>
      </c>
      <c r="C30" s="1">
        <v>1.085E-3</v>
      </c>
      <c r="D30" s="1">
        <v>1.214E-3</v>
      </c>
      <c r="E30">
        <v>5575</v>
      </c>
      <c r="F30" t="s">
        <v>1827</v>
      </c>
      <c r="G30" t="s">
        <v>1826</v>
      </c>
    </row>
    <row r="31" spans="1:7" x14ac:dyDescent="0.25">
      <c r="A31" s="16" t="str">
        <f>HYPERLINK("http://amigo.geneontology.org/amigo/term/GO:0008272","GO:0008272")</f>
        <v>GO:0008272</v>
      </c>
      <c r="B31" t="s">
        <v>1326</v>
      </c>
      <c r="C31" s="1">
        <v>1.297E-3</v>
      </c>
      <c r="D31" s="1">
        <v>1.4519999999999999E-3</v>
      </c>
      <c r="E31">
        <v>35</v>
      </c>
      <c r="F31" t="s">
        <v>1825</v>
      </c>
      <c r="G31" t="s">
        <v>1822</v>
      </c>
    </row>
    <row r="32" spans="1:7" x14ac:dyDescent="0.25">
      <c r="A32" s="16" t="str">
        <f>HYPERLINK("http://amigo.geneontology.org/amigo/term/GO:0009083","GO:0009083")</f>
        <v>GO:0009083</v>
      </c>
      <c r="B32" t="s">
        <v>1327</v>
      </c>
      <c r="C32" s="1">
        <v>1.3140000000000001E-3</v>
      </c>
      <c r="D32" s="1">
        <v>1.47E-3</v>
      </c>
      <c r="E32">
        <v>9</v>
      </c>
      <c r="F32" t="s">
        <v>392</v>
      </c>
      <c r="G32" t="s">
        <v>1710</v>
      </c>
    </row>
    <row r="33" spans="1:7" x14ac:dyDescent="0.25">
      <c r="A33" s="16" t="str">
        <f>HYPERLINK("http://amigo.geneontology.org/amigo/term/GO:0006468","GO:0006468")</f>
        <v>GO:0006468</v>
      </c>
      <c r="B33" t="s">
        <v>712</v>
      </c>
      <c r="C33" s="1">
        <v>1.477E-3</v>
      </c>
      <c r="D33" s="1">
        <v>1.653E-3</v>
      </c>
      <c r="E33">
        <v>5255</v>
      </c>
      <c r="F33" t="s">
        <v>1824</v>
      </c>
      <c r="G33" t="s">
        <v>1823</v>
      </c>
    </row>
    <row r="34" spans="1:7" x14ac:dyDescent="0.25">
      <c r="A34" s="16" t="str">
        <f>HYPERLINK("http://amigo.geneontology.org/amigo/term/GO:0072348","GO:0072348")</f>
        <v>GO:0072348</v>
      </c>
      <c r="B34" t="s">
        <v>1328</v>
      </c>
      <c r="C34" s="1">
        <v>1.526E-3</v>
      </c>
      <c r="D34" s="1">
        <v>1.707E-3</v>
      </c>
      <c r="E34">
        <v>37</v>
      </c>
      <c r="F34" t="s">
        <v>497</v>
      </c>
      <c r="G34" t="s">
        <v>1822</v>
      </c>
    </row>
    <row r="35" spans="1:7" x14ac:dyDescent="0.25">
      <c r="A35" s="16" t="str">
        <f>HYPERLINK("http://amigo.geneontology.org/amigo/term/GO:0009267","GO:0009267")</f>
        <v>GO:0009267</v>
      </c>
      <c r="B35" t="s">
        <v>1329</v>
      </c>
      <c r="C35" s="1">
        <v>1.676E-3</v>
      </c>
      <c r="D35" s="1">
        <v>1.874E-3</v>
      </c>
      <c r="E35">
        <v>82</v>
      </c>
      <c r="F35" t="s">
        <v>1821</v>
      </c>
      <c r="G35" t="s">
        <v>1793</v>
      </c>
    </row>
    <row r="36" spans="1:7" x14ac:dyDescent="0.25">
      <c r="A36" s="16" t="str">
        <f>HYPERLINK("http://amigo.geneontology.org/amigo/term/GO:0016052","GO:0016052")</f>
        <v>GO:0016052</v>
      </c>
      <c r="B36" t="s">
        <v>1330</v>
      </c>
      <c r="C36" s="1">
        <v>1.737E-3</v>
      </c>
      <c r="D36" s="1">
        <v>1.9419999999999999E-3</v>
      </c>
      <c r="E36">
        <v>439</v>
      </c>
      <c r="F36" t="s">
        <v>1820</v>
      </c>
      <c r="G36" t="s">
        <v>1819</v>
      </c>
    </row>
    <row r="37" spans="1:7" x14ac:dyDescent="0.25">
      <c r="A37" s="16" t="str">
        <f>HYPERLINK("http://amigo.geneontology.org/amigo/term/GO:0031669","GO:0031669")</f>
        <v>GO:0031669</v>
      </c>
      <c r="B37" t="s">
        <v>1331</v>
      </c>
      <c r="C37" s="1">
        <v>2.0830000000000002E-3</v>
      </c>
      <c r="D37" s="1">
        <v>2.3280000000000002E-3</v>
      </c>
      <c r="E37">
        <v>87</v>
      </c>
      <c r="F37" t="s">
        <v>647</v>
      </c>
      <c r="G37" t="s">
        <v>1793</v>
      </c>
    </row>
    <row r="38" spans="1:7" x14ac:dyDescent="0.25">
      <c r="A38" s="16" t="str">
        <f>HYPERLINK("http://amigo.geneontology.org/amigo/term/GO:0042594","GO:0042594")</f>
        <v>GO:0042594</v>
      </c>
      <c r="B38" t="s">
        <v>1332</v>
      </c>
      <c r="C38" s="1">
        <v>2.2629999999999998E-3</v>
      </c>
      <c r="D38" s="1">
        <v>2.5279999999999999E-3</v>
      </c>
      <c r="E38">
        <v>89</v>
      </c>
      <c r="F38" t="s">
        <v>1818</v>
      </c>
      <c r="G38" t="s">
        <v>1793</v>
      </c>
    </row>
    <row r="39" spans="1:7" x14ac:dyDescent="0.25">
      <c r="A39" s="16" t="str">
        <f>HYPERLINK("http://amigo.geneontology.org/amigo/term/GO:0051049","GO:0051049")</f>
        <v>GO:0051049</v>
      </c>
      <c r="B39" t="s">
        <v>1333</v>
      </c>
      <c r="C39" s="1">
        <v>2.356E-3</v>
      </c>
      <c r="D39" s="1">
        <v>2.6329999999999999E-3</v>
      </c>
      <c r="E39">
        <v>90</v>
      </c>
      <c r="F39" t="s">
        <v>1817</v>
      </c>
      <c r="G39" t="s">
        <v>1800</v>
      </c>
    </row>
    <row r="40" spans="1:7" x14ac:dyDescent="0.25">
      <c r="A40" s="16" t="str">
        <f>HYPERLINK("http://amigo.geneontology.org/amigo/term/GO:0044238","GO:0044238")</f>
        <v>GO:0044238</v>
      </c>
      <c r="B40" t="s">
        <v>759</v>
      </c>
      <c r="C40" s="1">
        <v>2.4359999999999998E-3</v>
      </c>
      <c r="D40" s="1">
        <v>2.7209999999999999E-3</v>
      </c>
      <c r="E40">
        <v>21331</v>
      </c>
      <c r="F40" t="s">
        <v>1816</v>
      </c>
      <c r="G40" t="s">
        <v>1815</v>
      </c>
    </row>
    <row r="41" spans="1:7" x14ac:dyDescent="0.25">
      <c r="A41" s="16" t="str">
        <f>HYPERLINK("http://amigo.geneontology.org/amigo/term/GO:0048638","GO:0048638")</f>
        <v>GO:0048638</v>
      </c>
      <c r="B41" t="s">
        <v>416</v>
      </c>
      <c r="C41" s="1">
        <v>2.6540000000000001E-3</v>
      </c>
      <c r="D41" s="1">
        <v>2.9640000000000001E-3</v>
      </c>
      <c r="E41">
        <v>93</v>
      </c>
      <c r="F41" t="s">
        <v>1814</v>
      </c>
      <c r="G41" t="s">
        <v>1754</v>
      </c>
    </row>
    <row r="42" spans="1:7" x14ac:dyDescent="0.25">
      <c r="A42" s="16" t="str">
        <f>HYPERLINK("http://amigo.geneontology.org/amigo/term/GO:2000012","GO:2000012")</f>
        <v>GO:2000012</v>
      </c>
      <c r="B42" t="s">
        <v>1124</v>
      </c>
      <c r="C42" s="1">
        <v>2.8010000000000001E-3</v>
      </c>
      <c r="D42" s="1">
        <v>3.127E-3</v>
      </c>
      <c r="E42">
        <v>13</v>
      </c>
      <c r="F42" t="s">
        <v>1813</v>
      </c>
      <c r="G42" t="s">
        <v>1812</v>
      </c>
    </row>
    <row r="43" spans="1:7" x14ac:dyDescent="0.25">
      <c r="A43" s="16" t="str">
        <f>HYPERLINK("http://amigo.geneontology.org/amigo/term/GO:0008299","GO:0008299")</f>
        <v>GO:0008299</v>
      </c>
      <c r="B43" t="s">
        <v>512</v>
      </c>
      <c r="C43" s="1">
        <v>3.0730000000000002E-3</v>
      </c>
      <c r="D43" s="1">
        <v>3.4299999999999999E-3</v>
      </c>
      <c r="E43">
        <v>229</v>
      </c>
      <c r="F43" t="s">
        <v>1811</v>
      </c>
      <c r="G43" t="s">
        <v>1785</v>
      </c>
    </row>
    <row r="44" spans="1:7" x14ac:dyDescent="0.25">
      <c r="A44" s="16" t="str">
        <f>HYPERLINK("http://amigo.geneontology.org/amigo/term/GO:0071496","GO:0071496")</f>
        <v>GO:0071496</v>
      </c>
      <c r="B44" t="s">
        <v>1334</v>
      </c>
      <c r="C44" s="1">
        <v>3.0899999999999999E-3</v>
      </c>
      <c r="D44" s="1">
        <v>3.4480000000000001E-3</v>
      </c>
      <c r="E44">
        <v>97</v>
      </c>
      <c r="F44" t="s">
        <v>1810</v>
      </c>
      <c r="G44" t="s">
        <v>1793</v>
      </c>
    </row>
    <row r="45" spans="1:7" x14ac:dyDescent="0.25">
      <c r="A45" s="16" t="str">
        <f>HYPERLINK("http://amigo.geneontology.org/amigo/term/GO:0031668","GO:0031668")</f>
        <v>GO:0031668</v>
      </c>
      <c r="B45" t="s">
        <v>1335</v>
      </c>
      <c r="C45" s="1">
        <v>3.0899999999999999E-3</v>
      </c>
      <c r="D45" s="1">
        <v>3.4480000000000001E-3</v>
      </c>
      <c r="E45">
        <v>97</v>
      </c>
      <c r="F45" t="s">
        <v>1810</v>
      </c>
      <c r="G45" t="s">
        <v>1793</v>
      </c>
    </row>
    <row r="46" spans="1:7" x14ac:dyDescent="0.25">
      <c r="A46" s="16" t="str">
        <f>HYPERLINK("http://amigo.geneontology.org/amigo/term/GO:0055085","GO:0055085")</f>
        <v>GO:0055085</v>
      </c>
      <c r="B46" t="s">
        <v>861</v>
      </c>
      <c r="C46" s="1">
        <v>3.1710000000000002E-3</v>
      </c>
      <c r="D46" s="1">
        <v>3.5379999999999999E-3</v>
      </c>
      <c r="E46">
        <v>3222</v>
      </c>
      <c r="F46" t="s">
        <v>1809</v>
      </c>
      <c r="G46" t="s">
        <v>1808</v>
      </c>
    </row>
    <row r="47" spans="1:7" x14ac:dyDescent="0.25">
      <c r="A47" s="16" t="str">
        <f>HYPERLINK("http://amigo.geneontology.org/amigo/term/GO:0006813","GO:0006813")</f>
        <v>GO:0006813</v>
      </c>
      <c r="B47" t="s">
        <v>965</v>
      </c>
      <c r="C47" s="1">
        <v>3.2060000000000001E-3</v>
      </c>
      <c r="D47" s="1">
        <v>3.5760000000000002E-3</v>
      </c>
      <c r="E47">
        <v>160</v>
      </c>
      <c r="F47" t="s">
        <v>1807</v>
      </c>
      <c r="G47" t="s">
        <v>1806</v>
      </c>
    </row>
    <row r="48" spans="1:7" x14ac:dyDescent="0.25">
      <c r="A48" s="16" t="str">
        <f>HYPERLINK("http://amigo.geneontology.org/amigo/term/GO:0031667","GO:0031667")</f>
        <v>GO:0031667</v>
      </c>
      <c r="B48" t="s">
        <v>1004</v>
      </c>
      <c r="C48" s="1">
        <v>3.3249999999999998E-3</v>
      </c>
      <c r="D48" s="1">
        <v>3.7079999999999999E-3</v>
      </c>
      <c r="E48">
        <v>99</v>
      </c>
      <c r="F48" t="s">
        <v>1805</v>
      </c>
      <c r="G48" t="s">
        <v>1793</v>
      </c>
    </row>
    <row r="49" spans="1:7" x14ac:dyDescent="0.25">
      <c r="A49" s="16" t="str">
        <f>HYPERLINK("http://amigo.geneontology.org/amigo/term/GO:0006796","GO:0006796")</f>
        <v>GO:0006796</v>
      </c>
      <c r="B49" t="s">
        <v>716</v>
      </c>
      <c r="C49" s="1">
        <v>3.398E-3</v>
      </c>
      <c r="D49" s="1">
        <v>3.7880000000000001E-3</v>
      </c>
      <c r="E49">
        <v>6989</v>
      </c>
      <c r="F49" t="s">
        <v>1804</v>
      </c>
      <c r="G49" t="s">
        <v>1803</v>
      </c>
    </row>
    <row r="50" spans="1:7" x14ac:dyDescent="0.25">
      <c r="A50" s="16" t="str">
        <f>HYPERLINK("http://amigo.geneontology.org/amigo/term/GO:0006793","GO:0006793")</f>
        <v>GO:0006793</v>
      </c>
      <c r="B50" t="s">
        <v>717</v>
      </c>
      <c r="C50" s="1">
        <v>3.6289999999999998E-3</v>
      </c>
      <c r="D50" s="1">
        <v>4.0439999999999999E-3</v>
      </c>
      <c r="E50">
        <v>7010</v>
      </c>
      <c r="F50" t="s">
        <v>1804</v>
      </c>
      <c r="G50" t="s">
        <v>1803</v>
      </c>
    </row>
    <row r="51" spans="1:7" x14ac:dyDescent="0.25">
      <c r="A51" s="16" t="str">
        <f>HYPERLINK("http://amigo.geneontology.org/amigo/term/GO:0043255","GO:0043255")</f>
        <v>GO:0043255</v>
      </c>
      <c r="B51" t="s">
        <v>1336</v>
      </c>
      <c r="C51" s="1">
        <v>3.7399999999999998E-3</v>
      </c>
      <c r="D51" s="1">
        <v>4.1669999999999997E-3</v>
      </c>
      <c r="E51">
        <v>15</v>
      </c>
      <c r="F51" t="s">
        <v>1802</v>
      </c>
      <c r="G51" t="s">
        <v>1782</v>
      </c>
    </row>
    <row r="52" spans="1:7" x14ac:dyDescent="0.25">
      <c r="A52" s="16" t="str">
        <f>HYPERLINK("http://amigo.geneontology.org/amigo/term/GO:0006551","GO:0006551")</f>
        <v>GO:0006551</v>
      </c>
      <c r="B52" t="s">
        <v>1337</v>
      </c>
      <c r="C52" s="1">
        <v>3.7399999999999998E-3</v>
      </c>
      <c r="D52" s="1">
        <v>4.1669999999999997E-3</v>
      </c>
      <c r="E52">
        <v>15</v>
      </c>
      <c r="F52" t="s">
        <v>1802</v>
      </c>
      <c r="G52" t="s">
        <v>1710</v>
      </c>
    </row>
    <row r="53" spans="1:7" x14ac:dyDescent="0.25">
      <c r="A53" s="16" t="str">
        <f>HYPERLINK("http://amigo.geneontology.org/amigo/term/GO:0032879","GO:0032879")</f>
        <v>GO:0032879</v>
      </c>
      <c r="B53" t="s">
        <v>1338</v>
      </c>
      <c r="C53" s="1">
        <v>3.8319999999999999E-3</v>
      </c>
      <c r="D53" s="1">
        <v>4.2690000000000002E-3</v>
      </c>
      <c r="E53">
        <v>103</v>
      </c>
      <c r="F53" t="s">
        <v>1801</v>
      </c>
      <c r="G53" t="s">
        <v>1800</v>
      </c>
    </row>
    <row r="54" spans="1:7" x14ac:dyDescent="0.25">
      <c r="A54" s="16" t="str">
        <f>HYPERLINK("http://amigo.geneontology.org/amigo/term/GO:0006811","GO:0006811")</f>
        <v>GO:0006811</v>
      </c>
      <c r="B54" t="s">
        <v>825</v>
      </c>
      <c r="C54" s="1">
        <v>4.1900000000000001E-3</v>
      </c>
      <c r="D54" s="1">
        <v>4.666E-3</v>
      </c>
      <c r="E54">
        <v>1564</v>
      </c>
      <c r="F54" t="s">
        <v>1799</v>
      </c>
      <c r="G54" t="s">
        <v>1798</v>
      </c>
    </row>
    <row r="55" spans="1:7" x14ac:dyDescent="0.25">
      <c r="A55" s="16" t="str">
        <f>HYPERLINK("http://amigo.geneontology.org/amigo/term/GO:0007154","GO:0007154")</f>
        <v>GO:0007154</v>
      </c>
      <c r="B55" t="s">
        <v>791</v>
      </c>
      <c r="C55" s="1">
        <v>4.9810000000000002E-3</v>
      </c>
      <c r="D55" s="1">
        <v>5.5469999999999998E-3</v>
      </c>
      <c r="E55">
        <v>1826</v>
      </c>
      <c r="F55" t="s">
        <v>1797</v>
      </c>
      <c r="G55" t="s">
        <v>1796</v>
      </c>
    </row>
    <row r="56" spans="1:7" x14ac:dyDescent="0.25">
      <c r="A56" s="16" t="str">
        <f>HYPERLINK("http://amigo.geneontology.org/amigo/term/GO:0005992","GO:0005992")</f>
        <v>GO:0005992</v>
      </c>
      <c r="B56" t="s">
        <v>1339</v>
      </c>
      <c r="C56" s="1">
        <v>4.9959999999999996E-3</v>
      </c>
      <c r="D56" s="1">
        <v>5.5630000000000002E-3</v>
      </c>
      <c r="E56">
        <v>56</v>
      </c>
      <c r="F56" t="s">
        <v>1795</v>
      </c>
      <c r="G56" t="s">
        <v>1702</v>
      </c>
    </row>
    <row r="57" spans="1:7" x14ac:dyDescent="0.25">
      <c r="A57" s="16" t="str">
        <f>HYPERLINK("http://amigo.geneontology.org/amigo/term/GO:0009991","GO:0009991")</f>
        <v>GO:0009991</v>
      </c>
      <c r="B57" t="s">
        <v>1025</v>
      </c>
      <c r="C57" s="1">
        <v>5.156E-3</v>
      </c>
      <c r="D57" s="1">
        <v>5.7390000000000002E-3</v>
      </c>
      <c r="E57">
        <v>112</v>
      </c>
      <c r="F57" t="s">
        <v>1794</v>
      </c>
      <c r="G57" t="s">
        <v>1793</v>
      </c>
    </row>
    <row r="58" spans="1:7" x14ac:dyDescent="0.25">
      <c r="A58" s="16" t="str">
        <f>HYPERLINK("http://amigo.geneontology.org/amigo/term/GO:0062012","GO:0062012")</f>
        <v>GO:0062012</v>
      </c>
      <c r="B58" t="s">
        <v>802</v>
      </c>
      <c r="C58" s="1">
        <v>5.2500000000000003E-3</v>
      </c>
      <c r="D58" s="1">
        <v>5.842E-3</v>
      </c>
      <c r="E58">
        <v>57</v>
      </c>
      <c r="F58" t="s">
        <v>1792</v>
      </c>
      <c r="G58" t="s">
        <v>1791</v>
      </c>
    </row>
    <row r="59" spans="1:7" x14ac:dyDescent="0.25">
      <c r="A59" s="16" t="str">
        <f>HYPERLINK("http://amigo.geneontology.org/amigo/term/GO:0009646","GO:0009646")</f>
        <v>GO:0009646</v>
      </c>
      <c r="B59" t="s">
        <v>1340</v>
      </c>
      <c r="C59" s="1">
        <v>5.3829999999999998E-3</v>
      </c>
      <c r="D59" s="1">
        <v>5.9890000000000004E-3</v>
      </c>
      <c r="E59">
        <v>18</v>
      </c>
      <c r="F59" t="s">
        <v>542</v>
      </c>
      <c r="G59" t="s">
        <v>1710</v>
      </c>
    </row>
    <row r="60" spans="1:7" x14ac:dyDescent="0.25">
      <c r="A60" s="16" t="str">
        <f>HYPERLINK("http://amigo.geneontology.org/amigo/term/GO:0036211","GO:0036211")</f>
        <v>GO:0036211</v>
      </c>
      <c r="B60" t="s">
        <v>714</v>
      </c>
      <c r="C60" s="1">
        <v>5.6129999999999999E-3</v>
      </c>
      <c r="D60" s="1">
        <v>6.2430000000000003E-3</v>
      </c>
      <c r="E60">
        <v>7436</v>
      </c>
      <c r="F60" t="s">
        <v>1790</v>
      </c>
      <c r="G60" t="s">
        <v>1789</v>
      </c>
    </row>
    <row r="61" spans="1:7" x14ac:dyDescent="0.25">
      <c r="A61" s="16" t="str">
        <f>HYPERLINK("http://amigo.geneontology.org/amigo/term/GO:0006464","GO:0006464")</f>
        <v>GO:0006464</v>
      </c>
      <c r="B61" t="s">
        <v>715</v>
      </c>
      <c r="C61" s="1">
        <v>5.6129999999999999E-3</v>
      </c>
      <c r="D61" s="1">
        <v>6.2430000000000003E-3</v>
      </c>
      <c r="E61">
        <v>7436</v>
      </c>
      <c r="F61" t="s">
        <v>1790</v>
      </c>
      <c r="G61" t="s">
        <v>1789</v>
      </c>
    </row>
    <row r="62" spans="1:7" x14ac:dyDescent="0.25">
      <c r="A62" s="16" t="str">
        <f>HYPERLINK("http://amigo.geneontology.org/amigo/term/GO:0009733","GO:0009733")</f>
        <v>GO:0009733</v>
      </c>
      <c r="B62" t="s">
        <v>1341</v>
      </c>
      <c r="C62" s="1">
        <v>5.6610000000000002E-3</v>
      </c>
      <c r="D62" s="1">
        <v>6.2950000000000002E-3</v>
      </c>
      <c r="E62">
        <v>526</v>
      </c>
      <c r="F62" t="s">
        <v>1788</v>
      </c>
      <c r="G62" t="s">
        <v>1787</v>
      </c>
    </row>
    <row r="63" spans="1:7" x14ac:dyDescent="0.25">
      <c r="A63" s="16" t="str">
        <f>HYPERLINK("http://amigo.geneontology.org/amigo/term/GO:0006720","GO:0006720")</f>
        <v>GO:0006720</v>
      </c>
      <c r="B63" t="s">
        <v>675</v>
      </c>
      <c r="C63" s="1">
        <v>5.7739999999999996E-3</v>
      </c>
      <c r="D63" s="1">
        <v>6.4190000000000002E-3</v>
      </c>
      <c r="E63">
        <v>261</v>
      </c>
      <c r="F63" t="s">
        <v>1786</v>
      </c>
      <c r="G63" t="s">
        <v>1785</v>
      </c>
    </row>
    <row r="64" spans="1:7" x14ac:dyDescent="0.25">
      <c r="A64" s="16" t="str">
        <f>HYPERLINK("http://amigo.geneontology.org/amigo/term/GO:0005991","GO:0005991")</f>
        <v>GO:0005991</v>
      </c>
      <c r="B64" t="s">
        <v>1342</v>
      </c>
      <c r="C64" s="1">
        <v>5.7809999999999997E-3</v>
      </c>
      <c r="D64" s="1">
        <v>6.4250000000000002E-3</v>
      </c>
      <c r="E64">
        <v>59</v>
      </c>
      <c r="F64" t="s">
        <v>1784</v>
      </c>
      <c r="G64" t="s">
        <v>1702</v>
      </c>
    </row>
    <row r="65" spans="1:7" x14ac:dyDescent="0.25">
      <c r="A65" s="16" t="str">
        <f>HYPERLINK("http://amigo.geneontology.org/amigo/term/GO:0006687","GO:0006687")</f>
        <v>GO:0006687</v>
      </c>
      <c r="B65" t="s">
        <v>1343</v>
      </c>
      <c r="C65" s="1">
        <v>5.9919999999999999E-3</v>
      </c>
      <c r="D65" s="1">
        <v>6.659E-3</v>
      </c>
      <c r="E65">
        <v>19</v>
      </c>
      <c r="F65" t="s">
        <v>593</v>
      </c>
      <c r="G65" t="s">
        <v>1783</v>
      </c>
    </row>
    <row r="66" spans="1:7" x14ac:dyDescent="0.25">
      <c r="A66" s="16" t="str">
        <f>HYPERLINK("http://amigo.geneontology.org/amigo/term/GO:0006677","GO:0006677")</f>
        <v>GO:0006677</v>
      </c>
      <c r="B66" t="s">
        <v>1344</v>
      </c>
      <c r="C66" s="1">
        <v>5.9919999999999999E-3</v>
      </c>
      <c r="D66" s="1">
        <v>6.659E-3</v>
      </c>
      <c r="E66">
        <v>19</v>
      </c>
      <c r="F66" t="s">
        <v>593</v>
      </c>
      <c r="G66" t="s">
        <v>1783</v>
      </c>
    </row>
    <row r="67" spans="1:7" x14ac:dyDescent="0.25">
      <c r="A67" s="16" t="str">
        <f>HYPERLINK("http://amigo.geneontology.org/amigo/term/GO:0006678","GO:0006678")</f>
        <v>GO:0006678</v>
      </c>
      <c r="B67" t="s">
        <v>1345</v>
      </c>
      <c r="C67" s="1">
        <v>5.9919999999999999E-3</v>
      </c>
      <c r="D67" s="1">
        <v>6.659E-3</v>
      </c>
      <c r="E67">
        <v>19</v>
      </c>
      <c r="F67" t="s">
        <v>593</v>
      </c>
      <c r="G67" t="s">
        <v>1783</v>
      </c>
    </row>
    <row r="68" spans="1:7" x14ac:dyDescent="0.25">
      <c r="A68" s="16" t="str">
        <f>HYPERLINK("http://amigo.geneontology.org/amigo/term/GO:0042762","GO:0042762")</f>
        <v>GO:0042762</v>
      </c>
      <c r="B68" t="s">
        <v>817</v>
      </c>
      <c r="C68" s="1">
        <v>7.3000000000000001E-3</v>
      </c>
      <c r="D68" s="1">
        <v>8.1099999999999992E-3</v>
      </c>
      <c r="E68">
        <v>21</v>
      </c>
      <c r="F68" t="s">
        <v>653</v>
      </c>
      <c r="G68" t="s">
        <v>1782</v>
      </c>
    </row>
    <row r="69" spans="1:7" x14ac:dyDescent="0.25">
      <c r="A69" s="16" t="str">
        <f>HYPERLINK("http://amigo.geneontology.org/amigo/term/GO:0043455","GO:0043455")</f>
        <v>GO:0043455</v>
      </c>
      <c r="B69" t="s">
        <v>888</v>
      </c>
      <c r="C69" s="1">
        <v>8.7240000000000009E-3</v>
      </c>
      <c r="D69" s="1">
        <v>9.6889999999999997E-3</v>
      </c>
      <c r="E69">
        <v>23</v>
      </c>
      <c r="F69" t="s">
        <v>656</v>
      </c>
      <c r="G69" t="s">
        <v>1782</v>
      </c>
    </row>
    <row r="70" spans="1:7" x14ac:dyDescent="0.25">
      <c r="A70" s="16" t="str">
        <f>HYPERLINK("http://amigo.geneontology.org/amigo/term/GO:0034765","GO:0034765")</f>
        <v>GO:0034765</v>
      </c>
      <c r="B70" t="s">
        <v>1346</v>
      </c>
      <c r="C70" s="1">
        <v>9.4780000000000003E-3</v>
      </c>
      <c r="D70">
        <v>0.01</v>
      </c>
      <c r="E70">
        <v>24</v>
      </c>
      <c r="F70" t="s">
        <v>1781</v>
      </c>
      <c r="G70" t="s">
        <v>1712</v>
      </c>
    </row>
    <row r="71" spans="1:7" x14ac:dyDescent="0.25">
      <c r="A71" s="16" t="str">
        <f>HYPERLINK("http://amigo.geneontology.org/amigo/term/GO:0010966","GO:0010966")</f>
        <v>GO:0010966</v>
      </c>
      <c r="B71" t="s">
        <v>1347</v>
      </c>
      <c r="C71">
        <v>0.01</v>
      </c>
      <c r="D71">
        <v>0.01</v>
      </c>
      <c r="E71">
        <v>2</v>
      </c>
      <c r="F71" t="s">
        <v>552</v>
      </c>
      <c r="G71" t="s">
        <v>1714</v>
      </c>
    </row>
    <row r="72" spans="1:7" x14ac:dyDescent="0.25">
      <c r="A72" s="16" t="str">
        <f>HYPERLINK("http://amigo.geneontology.org/amigo/term/GO:1903959","GO:1903959")</f>
        <v>GO:1903959</v>
      </c>
      <c r="B72" t="s">
        <v>1348</v>
      </c>
      <c r="C72">
        <v>0.01</v>
      </c>
      <c r="D72">
        <v>0.01</v>
      </c>
      <c r="E72">
        <v>2</v>
      </c>
      <c r="F72" t="s">
        <v>552</v>
      </c>
      <c r="G72" t="s">
        <v>1714</v>
      </c>
    </row>
    <row r="73" spans="1:7" x14ac:dyDescent="0.25">
      <c r="A73" s="16" t="str">
        <f>HYPERLINK("http://amigo.geneontology.org/amigo/term/GO:1903795","GO:1903795")</f>
        <v>GO:1903795</v>
      </c>
      <c r="B73" t="s">
        <v>1349</v>
      </c>
      <c r="C73">
        <v>0.01</v>
      </c>
      <c r="D73">
        <v>0.01</v>
      </c>
      <c r="E73">
        <v>2</v>
      </c>
      <c r="F73" t="s">
        <v>552</v>
      </c>
      <c r="G73" t="s">
        <v>1714</v>
      </c>
    </row>
    <row r="74" spans="1:7" x14ac:dyDescent="0.25">
      <c r="A74" s="16" t="str">
        <f>HYPERLINK("http://amigo.geneontology.org/amigo/term/GO:2000185","GO:2000185")</f>
        <v>GO:2000185</v>
      </c>
      <c r="B74" t="s">
        <v>1350</v>
      </c>
      <c r="C74">
        <v>0.01</v>
      </c>
      <c r="D74">
        <v>0.01</v>
      </c>
      <c r="E74">
        <v>2</v>
      </c>
      <c r="F74" t="s">
        <v>552</v>
      </c>
      <c r="G74" t="s">
        <v>1714</v>
      </c>
    </row>
    <row r="75" spans="1:7" x14ac:dyDescent="0.25">
      <c r="A75" s="16" t="str">
        <f>HYPERLINK("http://amigo.geneontology.org/amigo/term/GO:0043412","GO:0043412")</f>
        <v>GO:0043412</v>
      </c>
      <c r="B75" t="s">
        <v>718</v>
      </c>
      <c r="C75">
        <v>0.01</v>
      </c>
      <c r="D75">
        <v>0.01</v>
      </c>
      <c r="E75">
        <v>7831</v>
      </c>
      <c r="F75" t="s">
        <v>1780</v>
      </c>
      <c r="G75" t="s">
        <v>1779</v>
      </c>
    </row>
    <row r="76" spans="1:7" x14ac:dyDescent="0.25">
      <c r="A76" s="16" t="str">
        <f>HYPERLINK("http://amigo.geneontology.org/amigo/term/GO:0005997","GO:0005997")</f>
        <v>GO:0005997</v>
      </c>
      <c r="B76" t="s">
        <v>1351</v>
      </c>
      <c r="C76">
        <v>0.01</v>
      </c>
      <c r="D76">
        <v>0.01</v>
      </c>
      <c r="E76">
        <v>2</v>
      </c>
      <c r="F76" t="s">
        <v>552</v>
      </c>
      <c r="G76" t="s">
        <v>1778</v>
      </c>
    </row>
    <row r="77" spans="1:7" x14ac:dyDescent="0.25">
      <c r="A77" s="16" t="str">
        <f>HYPERLINK("http://amigo.geneontology.org/amigo/term/GO:0051239","GO:0051239")</f>
        <v>GO:0051239</v>
      </c>
      <c r="B77" t="s">
        <v>1352</v>
      </c>
      <c r="C77">
        <v>0.01</v>
      </c>
      <c r="D77">
        <v>0.01</v>
      </c>
      <c r="E77">
        <v>226</v>
      </c>
      <c r="F77" t="s">
        <v>1777</v>
      </c>
      <c r="G77" t="s">
        <v>1776</v>
      </c>
    </row>
    <row r="78" spans="1:7" x14ac:dyDescent="0.25">
      <c r="A78" s="16" t="str">
        <f>HYPERLINK("http://amigo.geneontology.org/amigo/term/GO:0006144","GO:0006144")</f>
        <v>GO:0006144</v>
      </c>
      <c r="B78" t="s">
        <v>1353</v>
      </c>
      <c r="C78">
        <v>0.01</v>
      </c>
      <c r="D78">
        <v>0.02</v>
      </c>
      <c r="E78">
        <v>29</v>
      </c>
      <c r="F78" t="s">
        <v>1775</v>
      </c>
      <c r="G78" t="s">
        <v>1774</v>
      </c>
    </row>
    <row r="79" spans="1:7" x14ac:dyDescent="0.25">
      <c r="A79" s="16" t="str">
        <f>HYPERLINK("http://amigo.geneontology.org/amigo/term/GO:1902395","GO:1902395")</f>
        <v>GO:1902395</v>
      </c>
      <c r="B79" t="s">
        <v>1354</v>
      </c>
      <c r="C79">
        <v>0.01</v>
      </c>
      <c r="D79">
        <v>0.01</v>
      </c>
      <c r="E79">
        <v>2</v>
      </c>
      <c r="F79" t="s">
        <v>552</v>
      </c>
      <c r="G79" t="s">
        <v>1704</v>
      </c>
    </row>
    <row r="80" spans="1:7" x14ac:dyDescent="0.25">
      <c r="A80" s="16" t="str">
        <f>HYPERLINK("http://amigo.geneontology.org/amigo/term/GO:0046351","GO:0046351")</f>
        <v>GO:0046351</v>
      </c>
      <c r="B80" t="s">
        <v>1355</v>
      </c>
      <c r="C80">
        <v>0.01</v>
      </c>
      <c r="D80">
        <v>0.01</v>
      </c>
      <c r="E80">
        <v>79</v>
      </c>
      <c r="F80" t="s">
        <v>1773</v>
      </c>
      <c r="G80" t="s">
        <v>1702</v>
      </c>
    </row>
    <row r="81" spans="1:7" x14ac:dyDescent="0.25">
      <c r="A81" s="16" t="str">
        <f>HYPERLINK("http://amigo.geneontology.org/amigo/term/GO:0052746","GO:0052746")</f>
        <v>GO:0052746</v>
      </c>
      <c r="B81" t="s">
        <v>1356</v>
      </c>
      <c r="C81">
        <v>0.01</v>
      </c>
      <c r="D81">
        <v>0.01</v>
      </c>
      <c r="E81">
        <v>2</v>
      </c>
      <c r="F81" t="s">
        <v>552</v>
      </c>
      <c r="G81" t="s">
        <v>1719</v>
      </c>
    </row>
    <row r="82" spans="1:7" x14ac:dyDescent="0.25">
      <c r="A82" s="16" t="str">
        <f>HYPERLINK("http://amigo.geneontology.org/amigo/term/GO:0071704","GO:0071704")</f>
        <v>GO:0071704</v>
      </c>
      <c r="B82" t="s">
        <v>454</v>
      </c>
      <c r="C82">
        <v>0.02</v>
      </c>
      <c r="D82">
        <v>0.02</v>
      </c>
      <c r="E82">
        <v>22718</v>
      </c>
      <c r="F82" t="s">
        <v>1772</v>
      </c>
      <c r="G82" t="s">
        <v>1771</v>
      </c>
    </row>
    <row r="83" spans="1:7" x14ac:dyDescent="0.25">
      <c r="A83" s="16" t="str">
        <f>HYPERLINK("http://amigo.geneontology.org/amigo/term/GO:0006812","GO:0006812")</f>
        <v>GO:0006812</v>
      </c>
      <c r="B83" t="s">
        <v>799</v>
      </c>
      <c r="C83">
        <v>0.02</v>
      </c>
      <c r="D83">
        <v>0.02</v>
      </c>
      <c r="E83">
        <v>1225</v>
      </c>
      <c r="F83" t="s">
        <v>1770</v>
      </c>
      <c r="G83" t="s">
        <v>1769</v>
      </c>
    </row>
    <row r="84" spans="1:7" x14ac:dyDescent="0.25">
      <c r="A84" s="16" t="str">
        <f>HYPERLINK("http://amigo.geneontology.org/amigo/term/GO:0015698","GO:0015698")</f>
        <v>GO:0015698</v>
      </c>
      <c r="B84" t="s">
        <v>1309</v>
      </c>
      <c r="C84">
        <v>0.02</v>
      </c>
      <c r="D84">
        <v>0.02</v>
      </c>
      <c r="E84">
        <v>161</v>
      </c>
      <c r="F84" t="s">
        <v>1768</v>
      </c>
      <c r="G84" t="s">
        <v>1767</v>
      </c>
    </row>
    <row r="85" spans="1:7" x14ac:dyDescent="0.25">
      <c r="A85" s="16" t="str">
        <f>HYPERLINK("http://amigo.geneontology.org/amigo/term/GO:0043269","GO:0043269")</f>
        <v>GO:0043269</v>
      </c>
      <c r="B85" t="s">
        <v>1357</v>
      </c>
      <c r="C85">
        <v>0.02</v>
      </c>
      <c r="D85">
        <v>0.02</v>
      </c>
      <c r="E85">
        <v>33</v>
      </c>
      <c r="F85" t="s">
        <v>1758</v>
      </c>
      <c r="G85" t="s">
        <v>1712</v>
      </c>
    </row>
    <row r="86" spans="1:7" x14ac:dyDescent="0.25">
      <c r="A86" s="16" t="str">
        <f>HYPERLINK("http://amigo.geneontology.org/amigo/term/GO:0009064","GO:0009064")</f>
        <v>GO:0009064</v>
      </c>
      <c r="B86" t="s">
        <v>544</v>
      </c>
      <c r="C86">
        <v>0.02</v>
      </c>
      <c r="D86">
        <v>0.02</v>
      </c>
      <c r="E86">
        <v>164</v>
      </c>
      <c r="F86" t="s">
        <v>1766</v>
      </c>
      <c r="G86" t="s">
        <v>1765</v>
      </c>
    </row>
    <row r="87" spans="1:7" x14ac:dyDescent="0.25">
      <c r="A87" s="16" t="str">
        <f>HYPERLINK("http://amigo.geneontology.org/amigo/term/GO:0045490","GO:0045490")</f>
        <v>GO:0045490</v>
      </c>
      <c r="B87" t="s">
        <v>1358</v>
      </c>
      <c r="C87">
        <v>0.02</v>
      </c>
      <c r="D87">
        <v>0.02</v>
      </c>
      <c r="E87">
        <v>90</v>
      </c>
      <c r="F87" t="s">
        <v>1752</v>
      </c>
      <c r="G87" t="s">
        <v>1706</v>
      </c>
    </row>
    <row r="88" spans="1:7" x14ac:dyDescent="0.25">
      <c r="A88" s="16" t="str">
        <f>HYPERLINK("http://amigo.geneontology.org/amigo/term/GO:0006536","GO:0006536")</f>
        <v>GO:0006536</v>
      </c>
      <c r="B88" t="s">
        <v>243</v>
      </c>
      <c r="C88">
        <v>0.02</v>
      </c>
      <c r="D88">
        <v>0.02</v>
      </c>
      <c r="E88">
        <v>34</v>
      </c>
      <c r="F88" t="s">
        <v>1748</v>
      </c>
      <c r="G88" t="s">
        <v>1764</v>
      </c>
    </row>
    <row r="89" spans="1:7" x14ac:dyDescent="0.25">
      <c r="A89" s="16" t="str">
        <f>HYPERLINK("http://amigo.geneontology.org/amigo/term/GO:0043650","GO:0043650")</f>
        <v>GO:0043650</v>
      </c>
      <c r="B89" t="s">
        <v>1359</v>
      </c>
      <c r="C89">
        <v>0.02</v>
      </c>
      <c r="D89">
        <v>0.02</v>
      </c>
      <c r="E89">
        <v>33</v>
      </c>
      <c r="F89" t="s">
        <v>1758</v>
      </c>
      <c r="G89" t="s">
        <v>1764</v>
      </c>
    </row>
    <row r="90" spans="1:7" x14ac:dyDescent="0.25">
      <c r="A90" s="16" t="str">
        <f>HYPERLINK("http://amigo.geneontology.org/amigo/term/GO:0006629","GO:0006629")</f>
        <v>GO:0006629</v>
      </c>
      <c r="B90" t="s">
        <v>685</v>
      </c>
      <c r="C90">
        <v>0.02</v>
      </c>
      <c r="D90">
        <v>0.03</v>
      </c>
      <c r="E90">
        <v>2008</v>
      </c>
      <c r="F90" t="s">
        <v>1763</v>
      </c>
      <c r="G90" t="s">
        <v>1762</v>
      </c>
    </row>
    <row r="91" spans="1:7" x14ac:dyDescent="0.25">
      <c r="A91" s="16" t="str">
        <f>HYPERLINK("http://amigo.geneontology.org/amigo/term/GO:0050993","GO:0050993")</f>
        <v>GO:0050993</v>
      </c>
      <c r="B91" t="s">
        <v>1360</v>
      </c>
      <c r="C91">
        <v>0.02</v>
      </c>
      <c r="D91">
        <v>0.03</v>
      </c>
      <c r="E91">
        <v>4</v>
      </c>
      <c r="F91" t="s">
        <v>1760</v>
      </c>
      <c r="G91" t="s">
        <v>1761</v>
      </c>
    </row>
    <row r="92" spans="1:7" x14ac:dyDescent="0.25">
      <c r="A92" s="16" t="str">
        <f>HYPERLINK("http://amigo.geneontology.org/amigo/term/GO:0050992","GO:0050992")</f>
        <v>GO:0050992</v>
      </c>
      <c r="B92" t="s">
        <v>1361</v>
      </c>
      <c r="C92">
        <v>0.02</v>
      </c>
      <c r="D92">
        <v>0.03</v>
      </c>
      <c r="E92">
        <v>4</v>
      </c>
      <c r="F92" t="s">
        <v>1760</v>
      </c>
      <c r="G92" t="s">
        <v>1761</v>
      </c>
    </row>
    <row r="93" spans="1:7" x14ac:dyDescent="0.25">
      <c r="A93" s="16" t="str">
        <f>HYPERLINK("http://amigo.geneontology.org/amigo/term/GO:0000256","GO:0000256")</f>
        <v>GO:0000256</v>
      </c>
      <c r="B93" t="s">
        <v>1362</v>
      </c>
      <c r="C93">
        <v>0.02</v>
      </c>
      <c r="D93">
        <v>0.02</v>
      </c>
      <c r="E93">
        <v>3</v>
      </c>
      <c r="F93" t="s">
        <v>603</v>
      </c>
      <c r="G93" t="s">
        <v>1728</v>
      </c>
    </row>
    <row r="94" spans="1:7" x14ac:dyDescent="0.25">
      <c r="A94" s="16" t="str">
        <f>HYPERLINK("http://amigo.geneontology.org/amigo/term/GO:0006145","GO:0006145")</f>
        <v>GO:0006145</v>
      </c>
      <c r="B94" t="s">
        <v>1363</v>
      </c>
      <c r="C94">
        <v>0.02</v>
      </c>
      <c r="D94">
        <v>0.03</v>
      </c>
      <c r="E94">
        <v>4</v>
      </c>
      <c r="F94" t="s">
        <v>1760</v>
      </c>
      <c r="G94" t="s">
        <v>1728</v>
      </c>
    </row>
    <row r="95" spans="1:7" x14ac:dyDescent="0.25">
      <c r="A95" s="16" t="str">
        <f>HYPERLINK("http://amigo.geneontology.org/amigo/term/GO:0010135","GO:0010135")</f>
        <v>GO:0010135</v>
      </c>
      <c r="B95" t="s">
        <v>1364</v>
      </c>
      <c r="C95">
        <v>0.02</v>
      </c>
      <c r="D95">
        <v>0.03</v>
      </c>
      <c r="E95">
        <v>4</v>
      </c>
      <c r="F95" t="s">
        <v>1760</v>
      </c>
      <c r="G95" t="s">
        <v>1728</v>
      </c>
    </row>
    <row r="96" spans="1:7" x14ac:dyDescent="0.25">
      <c r="A96" s="16" t="str">
        <f>HYPERLINK("http://amigo.geneontology.org/amigo/term/GO:0010136","GO:0010136")</f>
        <v>GO:0010136</v>
      </c>
      <c r="B96" t="s">
        <v>1365</v>
      </c>
      <c r="C96">
        <v>0.02</v>
      </c>
      <c r="D96">
        <v>0.03</v>
      </c>
      <c r="E96">
        <v>4</v>
      </c>
      <c r="F96" t="s">
        <v>1760</v>
      </c>
      <c r="G96" t="s">
        <v>1728</v>
      </c>
    </row>
    <row r="97" spans="1:7" x14ac:dyDescent="0.25">
      <c r="A97" s="16" t="str">
        <f>HYPERLINK("http://amigo.geneontology.org/amigo/term/GO:0036503","GO:0036503")</f>
        <v>GO:0036503</v>
      </c>
      <c r="B97" t="s">
        <v>1366</v>
      </c>
      <c r="C97">
        <v>0.02</v>
      </c>
      <c r="D97">
        <v>0.03</v>
      </c>
      <c r="E97">
        <v>38</v>
      </c>
      <c r="F97" t="s">
        <v>1759</v>
      </c>
      <c r="G97" t="s">
        <v>1757</v>
      </c>
    </row>
    <row r="98" spans="1:7" x14ac:dyDescent="0.25">
      <c r="A98" s="16" t="str">
        <f>HYPERLINK("http://amigo.geneontology.org/amigo/term/GO:0035966","GO:0035966")</f>
        <v>GO:0035966</v>
      </c>
      <c r="B98" t="s">
        <v>1367</v>
      </c>
      <c r="C98">
        <v>0.02</v>
      </c>
      <c r="D98">
        <v>0.02</v>
      </c>
      <c r="E98">
        <v>33</v>
      </c>
      <c r="F98" t="s">
        <v>1758</v>
      </c>
      <c r="G98" t="s">
        <v>1757</v>
      </c>
    </row>
    <row r="99" spans="1:7" x14ac:dyDescent="0.25">
      <c r="A99" s="16" t="str">
        <f>HYPERLINK("http://amigo.geneontology.org/amigo/term/GO:0035967","GO:0035967")</f>
        <v>GO:0035967</v>
      </c>
      <c r="B99" t="s">
        <v>1368</v>
      </c>
      <c r="C99">
        <v>0.02</v>
      </c>
      <c r="D99">
        <v>0.02</v>
      </c>
      <c r="E99">
        <v>33</v>
      </c>
      <c r="F99" t="s">
        <v>1758</v>
      </c>
      <c r="G99" t="s">
        <v>1757</v>
      </c>
    </row>
    <row r="100" spans="1:7" x14ac:dyDescent="0.25">
      <c r="A100" s="16" t="str">
        <f>HYPERLINK("http://amigo.geneontology.org/amigo/term/GO:0009312","GO:0009312")</f>
        <v>GO:0009312</v>
      </c>
      <c r="B100" t="s">
        <v>1369</v>
      </c>
      <c r="C100">
        <v>0.02</v>
      </c>
      <c r="D100">
        <v>0.03</v>
      </c>
      <c r="E100">
        <v>99</v>
      </c>
      <c r="F100" t="s">
        <v>1756</v>
      </c>
      <c r="G100" t="s">
        <v>1702</v>
      </c>
    </row>
    <row r="101" spans="1:7" x14ac:dyDescent="0.25">
      <c r="A101" s="16" t="str">
        <f>HYPERLINK("http://amigo.geneontology.org/amigo/term/GO:0007167","GO:0007167")</f>
        <v>GO:0007167</v>
      </c>
      <c r="B101" t="s">
        <v>1062</v>
      </c>
      <c r="C101">
        <v>0.02</v>
      </c>
      <c r="D101">
        <v>0.03</v>
      </c>
      <c r="E101">
        <v>39</v>
      </c>
      <c r="F101" t="s">
        <v>1750</v>
      </c>
      <c r="G101" t="s">
        <v>1726</v>
      </c>
    </row>
    <row r="102" spans="1:7" x14ac:dyDescent="0.25">
      <c r="A102" s="16" t="str">
        <f>HYPERLINK("http://amigo.geneontology.org/amigo/term/GO:0007178","GO:0007178")</f>
        <v>GO:0007178</v>
      </c>
      <c r="B102" t="s">
        <v>1063</v>
      </c>
      <c r="C102">
        <v>0.02</v>
      </c>
      <c r="D102">
        <v>0.03</v>
      </c>
      <c r="E102">
        <v>39</v>
      </c>
      <c r="F102" t="s">
        <v>1750</v>
      </c>
      <c r="G102" t="s">
        <v>1726</v>
      </c>
    </row>
    <row r="103" spans="1:7" x14ac:dyDescent="0.25">
      <c r="A103" s="16" t="str">
        <f>HYPERLINK("http://amigo.geneontology.org/amigo/term/GO:0006688","GO:0006688")</f>
        <v>GO:0006688</v>
      </c>
      <c r="B103" t="s">
        <v>1370</v>
      </c>
      <c r="C103">
        <v>0.02</v>
      </c>
      <c r="D103">
        <v>0.02</v>
      </c>
      <c r="E103">
        <v>3</v>
      </c>
      <c r="F103" t="s">
        <v>603</v>
      </c>
      <c r="G103" t="s">
        <v>1701</v>
      </c>
    </row>
    <row r="104" spans="1:7" x14ac:dyDescent="0.25">
      <c r="A104" s="16" t="str">
        <f>HYPERLINK("http://amigo.geneontology.org/amigo/term/GO:0046476","GO:0046476")</f>
        <v>GO:0046476</v>
      </c>
      <c r="B104" t="s">
        <v>1371</v>
      </c>
      <c r="C104">
        <v>0.02</v>
      </c>
      <c r="D104">
        <v>0.02</v>
      </c>
      <c r="E104">
        <v>3</v>
      </c>
      <c r="F104" t="s">
        <v>603</v>
      </c>
      <c r="G104" t="s">
        <v>1701</v>
      </c>
    </row>
    <row r="105" spans="1:7" x14ac:dyDescent="0.25">
      <c r="A105" s="16" t="str">
        <f>HYPERLINK("http://amigo.geneontology.org/amigo/term/GO:0006679","GO:0006679")</f>
        <v>GO:0006679</v>
      </c>
      <c r="B105" t="s">
        <v>1372</v>
      </c>
      <c r="C105">
        <v>0.02</v>
      </c>
      <c r="D105">
        <v>0.02</v>
      </c>
      <c r="E105">
        <v>3</v>
      </c>
      <c r="F105" t="s">
        <v>603</v>
      </c>
      <c r="G105" t="s">
        <v>1701</v>
      </c>
    </row>
    <row r="106" spans="1:7" x14ac:dyDescent="0.25">
      <c r="A106" s="16" t="str">
        <f>HYPERLINK("http://amigo.geneontology.org/amigo/term/GO:0040008","GO:0040008")</f>
        <v>GO:0040008</v>
      </c>
      <c r="B106" t="s">
        <v>883</v>
      </c>
      <c r="C106">
        <v>0.02</v>
      </c>
      <c r="D106">
        <v>0.02</v>
      </c>
      <c r="E106">
        <v>171</v>
      </c>
      <c r="F106" t="s">
        <v>1755</v>
      </c>
      <c r="G106" t="s">
        <v>1754</v>
      </c>
    </row>
    <row r="107" spans="1:7" x14ac:dyDescent="0.25">
      <c r="A107" s="16" t="str">
        <f>HYPERLINK("http://amigo.geneontology.org/amigo/term/GO:0006814","GO:0006814")</f>
        <v>GO:0006814</v>
      </c>
      <c r="B107" t="s">
        <v>1373</v>
      </c>
      <c r="C107">
        <v>0.02</v>
      </c>
      <c r="D107">
        <v>0.02</v>
      </c>
      <c r="E107">
        <v>34</v>
      </c>
      <c r="F107" t="s">
        <v>1748</v>
      </c>
      <c r="G107" t="s">
        <v>1753</v>
      </c>
    </row>
    <row r="108" spans="1:7" x14ac:dyDescent="0.25">
      <c r="A108" s="16" t="str">
        <f>HYPERLINK("http://amigo.geneontology.org/amigo/term/GO:0044242","GO:0044242")</f>
        <v>GO:0044242</v>
      </c>
      <c r="B108" t="s">
        <v>1374</v>
      </c>
      <c r="C108">
        <v>0.02</v>
      </c>
      <c r="D108">
        <v>0.02</v>
      </c>
      <c r="E108">
        <v>90</v>
      </c>
      <c r="F108" t="s">
        <v>1752</v>
      </c>
      <c r="G108" t="s">
        <v>1751</v>
      </c>
    </row>
    <row r="109" spans="1:7" x14ac:dyDescent="0.25">
      <c r="A109" s="16" t="str">
        <f>HYPERLINK("http://amigo.geneontology.org/amigo/term/GO:0009062","GO:0009062")</f>
        <v>GO:0009062</v>
      </c>
      <c r="B109" t="s">
        <v>1375</v>
      </c>
      <c r="C109">
        <v>0.02</v>
      </c>
      <c r="D109">
        <v>0.02</v>
      </c>
      <c r="E109">
        <v>35</v>
      </c>
      <c r="F109" t="s">
        <v>1749</v>
      </c>
      <c r="G109" t="s">
        <v>1721</v>
      </c>
    </row>
    <row r="110" spans="1:7" x14ac:dyDescent="0.25">
      <c r="A110" s="16" t="str">
        <f>HYPERLINK("http://amigo.geneontology.org/amigo/term/GO:0034440","GO:0034440")</f>
        <v>GO:0034440</v>
      </c>
      <c r="B110" t="s">
        <v>1376</v>
      </c>
      <c r="C110">
        <v>0.02</v>
      </c>
      <c r="D110">
        <v>0.03</v>
      </c>
      <c r="E110">
        <v>39</v>
      </c>
      <c r="F110" t="s">
        <v>1750</v>
      </c>
      <c r="G110" t="s">
        <v>1721</v>
      </c>
    </row>
    <row r="111" spans="1:7" x14ac:dyDescent="0.25">
      <c r="A111" s="16" t="str">
        <f>HYPERLINK("http://amigo.geneontology.org/amigo/term/GO:0019395","GO:0019395")</f>
        <v>GO:0019395</v>
      </c>
      <c r="B111" t="s">
        <v>1377</v>
      </c>
      <c r="C111">
        <v>0.02</v>
      </c>
      <c r="D111">
        <v>0.02</v>
      </c>
      <c r="E111">
        <v>35</v>
      </c>
      <c r="F111" t="s">
        <v>1749</v>
      </c>
      <c r="G111" t="s">
        <v>1721</v>
      </c>
    </row>
    <row r="112" spans="1:7" x14ac:dyDescent="0.25">
      <c r="A112" s="16" t="str">
        <f>HYPERLINK("http://amigo.geneontology.org/amigo/term/GO:0006635","GO:0006635")</f>
        <v>GO:0006635</v>
      </c>
      <c r="B112" t="s">
        <v>1378</v>
      </c>
      <c r="C112">
        <v>0.02</v>
      </c>
      <c r="D112">
        <v>0.02</v>
      </c>
      <c r="E112">
        <v>34</v>
      </c>
      <c r="F112" t="s">
        <v>1748</v>
      </c>
      <c r="G112" t="s">
        <v>1721</v>
      </c>
    </row>
    <row r="113" spans="1:7" x14ac:dyDescent="0.25">
      <c r="A113" s="16" t="str">
        <f>HYPERLINK("http://amigo.geneontology.org/amigo/term/GO:0048871","GO:0048871")</f>
        <v>GO:0048871</v>
      </c>
      <c r="B113" t="s">
        <v>1379</v>
      </c>
      <c r="C113">
        <v>0.02</v>
      </c>
      <c r="D113">
        <v>0.02</v>
      </c>
      <c r="E113">
        <v>3</v>
      </c>
      <c r="F113" t="s">
        <v>603</v>
      </c>
      <c r="G113" t="s">
        <v>1747</v>
      </c>
    </row>
    <row r="114" spans="1:7" x14ac:dyDescent="0.25">
      <c r="A114" s="16" t="str">
        <f>HYPERLINK("http://amigo.geneontology.org/amigo/term/GO:0097009","GO:0097009")</f>
        <v>GO:0097009</v>
      </c>
      <c r="B114" t="s">
        <v>1380</v>
      </c>
      <c r="C114">
        <v>0.02</v>
      </c>
      <c r="D114">
        <v>0.02</v>
      </c>
      <c r="E114">
        <v>3</v>
      </c>
      <c r="F114" t="s">
        <v>603</v>
      </c>
      <c r="G114" t="s">
        <v>1747</v>
      </c>
    </row>
    <row r="115" spans="1:7" x14ac:dyDescent="0.25">
      <c r="A115" s="16" t="str">
        <f>HYPERLINK("http://amigo.geneontology.org/amigo/term/GO:0051716","GO:0051716")</f>
        <v>GO:0051716</v>
      </c>
      <c r="B115" t="s">
        <v>1381</v>
      </c>
      <c r="C115">
        <v>0.03</v>
      </c>
      <c r="D115">
        <v>0.03</v>
      </c>
      <c r="E115">
        <v>2283</v>
      </c>
      <c r="F115" t="s">
        <v>1746</v>
      </c>
      <c r="G115" t="s">
        <v>1745</v>
      </c>
    </row>
    <row r="116" spans="1:7" x14ac:dyDescent="0.25">
      <c r="A116" s="16" t="str">
        <f>HYPERLINK("http://amigo.geneontology.org/amigo/term/GO:0007165","GO:0007165")</f>
        <v>GO:0007165</v>
      </c>
      <c r="B116" t="s">
        <v>974</v>
      </c>
      <c r="C116">
        <v>0.03</v>
      </c>
      <c r="D116">
        <v>0.03</v>
      </c>
      <c r="E116">
        <v>1278</v>
      </c>
      <c r="F116" t="s">
        <v>1744</v>
      </c>
      <c r="G116" t="s">
        <v>1743</v>
      </c>
    </row>
    <row r="117" spans="1:7" x14ac:dyDescent="0.25">
      <c r="A117" s="16" t="str">
        <f>HYPERLINK("http://amigo.geneontology.org/amigo/term/GO:0010033","GO:0010033")</f>
        <v>GO:0010033</v>
      </c>
      <c r="B117" t="s">
        <v>792</v>
      </c>
      <c r="C117">
        <v>0.03</v>
      </c>
      <c r="D117">
        <v>0.03</v>
      </c>
      <c r="E117">
        <v>1169</v>
      </c>
      <c r="F117" t="s">
        <v>1742</v>
      </c>
      <c r="G117" t="s">
        <v>1741</v>
      </c>
    </row>
    <row r="118" spans="1:7" x14ac:dyDescent="0.25">
      <c r="A118" s="16" t="str">
        <f>HYPERLINK("http://amigo.geneontology.org/amigo/term/GO:0044070","GO:0044070")</f>
        <v>GO:0044070</v>
      </c>
      <c r="B118" t="s">
        <v>1382</v>
      </c>
      <c r="C118">
        <v>0.03</v>
      </c>
      <c r="D118">
        <v>0.03</v>
      </c>
      <c r="E118">
        <v>5</v>
      </c>
      <c r="F118" t="s">
        <v>1732</v>
      </c>
      <c r="G118" t="s">
        <v>1714</v>
      </c>
    </row>
    <row r="119" spans="1:7" x14ac:dyDescent="0.25">
      <c r="A119" s="16" t="str">
        <f>HYPERLINK("http://amigo.geneontology.org/amigo/term/GO:1901605","GO:1901605")</f>
        <v>GO:1901605</v>
      </c>
      <c r="B119" t="s">
        <v>81</v>
      </c>
      <c r="C119">
        <v>0.03</v>
      </c>
      <c r="D119">
        <v>0.03</v>
      </c>
      <c r="E119">
        <v>575</v>
      </c>
      <c r="F119" t="s">
        <v>1740</v>
      </c>
      <c r="G119" t="s">
        <v>1739</v>
      </c>
    </row>
    <row r="120" spans="1:7" x14ac:dyDescent="0.25">
      <c r="A120" s="16" t="str">
        <f>HYPERLINK("http://amigo.geneontology.org/amigo/term/GO:0007010","GO:0007010")</f>
        <v>GO:0007010</v>
      </c>
      <c r="B120" t="s">
        <v>1383</v>
      </c>
      <c r="C120">
        <v>0.03</v>
      </c>
      <c r="D120">
        <v>0.03</v>
      </c>
      <c r="E120">
        <v>365</v>
      </c>
      <c r="F120" t="s">
        <v>1738</v>
      </c>
      <c r="G120" t="s">
        <v>1737</v>
      </c>
    </row>
    <row r="121" spans="1:7" x14ac:dyDescent="0.25">
      <c r="A121" s="16" t="str">
        <f>HYPERLINK("http://amigo.geneontology.org/amigo/term/GO:0070588","GO:0070588")</f>
        <v>GO:0070588</v>
      </c>
      <c r="B121" t="s">
        <v>1384</v>
      </c>
      <c r="C121">
        <v>0.03</v>
      </c>
      <c r="D121">
        <v>0.04</v>
      </c>
      <c r="E121">
        <v>47</v>
      </c>
      <c r="F121" t="s">
        <v>1736</v>
      </c>
      <c r="G121" t="s">
        <v>1735</v>
      </c>
    </row>
    <row r="122" spans="1:7" x14ac:dyDescent="0.25">
      <c r="A122" s="16" t="str">
        <f>HYPERLINK("http://amigo.geneontology.org/amigo/term/GO:0000255","GO:0000255")</f>
        <v>GO:0000255</v>
      </c>
      <c r="B122" t="s">
        <v>1385</v>
      </c>
      <c r="C122">
        <v>0.03</v>
      </c>
      <c r="D122">
        <v>0.03</v>
      </c>
      <c r="E122">
        <v>5</v>
      </c>
      <c r="F122" t="s">
        <v>1732</v>
      </c>
      <c r="G122" t="s">
        <v>1728</v>
      </c>
    </row>
    <row r="123" spans="1:7" x14ac:dyDescent="0.25">
      <c r="A123" s="16" t="str">
        <f>HYPERLINK("http://amigo.geneontology.org/amigo/term/GO:0010322","GO:0010322")</f>
        <v>GO:0010322</v>
      </c>
      <c r="B123" t="s">
        <v>1386</v>
      </c>
      <c r="C123">
        <v>0.03</v>
      </c>
      <c r="D123">
        <v>0.03</v>
      </c>
      <c r="E123">
        <v>5</v>
      </c>
      <c r="F123" t="s">
        <v>1732</v>
      </c>
      <c r="G123" t="s">
        <v>1704</v>
      </c>
    </row>
    <row r="124" spans="1:7" x14ac:dyDescent="0.25">
      <c r="A124" s="16" t="str">
        <f>HYPERLINK("http://amigo.geneontology.org/amigo/term/GO:0071805","GO:0071805")</f>
        <v>GO:0071805</v>
      </c>
      <c r="B124" t="s">
        <v>876</v>
      </c>
      <c r="C124">
        <v>0.03</v>
      </c>
      <c r="D124">
        <v>0.04</v>
      </c>
      <c r="E124">
        <v>115</v>
      </c>
      <c r="F124" t="s">
        <v>1734</v>
      </c>
      <c r="G124" t="s">
        <v>1733</v>
      </c>
    </row>
    <row r="125" spans="1:7" x14ac:dyDescent="0.25">
      <c r="A125" s="16" t="str">
        <f>HYPERLINK("http://amigo.geneontology.org/amigo/term/GO:0019408","GO:0019408")</f>
        <v>GO:0019408</v>
      </c>
      <c r="B125" t="s">
        <v>1387</v>
      </c>
      <c r="C125">
        <v>0.03</v>
      </c>
      <c r="D125">
        <v>0.03</v>
      </c>
      <c r="E125">
        <v>5</v>
      </c>
      <c r="F125" t="s">
        <v>1732</v>
      </c>
      <c r="G125" t="s">
        <v>1699</v>
      </c>
    </row>
    <row r="126" spans="1:7" x14ac:dyDescent="0.25">
      <c r="A126" s="16" t="str">
        <f>HYPERLINK("http://amigo.geneontology.org/amigo/term/GO:1901575","GO:1901575")</f>
        <v>GO:1901575</v>
      </c>
      <c r="B126" t="s">
        <v>1388</v>
      </c>
      <c r="C126">
        <v>0.04</v>
      </c>
      <c r="D126">
        <v>0.05</v>
      </c>
      <c r="E126">
        <v>2138</v>
      </c>
      <c r="F126" t="s">
        <v>1731</v>
      </c>
      <c r="G126" t="s">
        <v>1730</v>
      </c>
    </row>
    <row r="127" spans="1:7" x14ac:dyDescent="0.25">
      <c r="A127" s="16" t="str">
        <f>HYPERLINK("http://amigo.geneontology.org/amigo/term/GO:0046395","GO:0046395")</f>
        <v>GO:0046395</v>
      </c>
      <c r="B127" t="s">
        <v>210</v>
      </c>
      <c r="C127">
        <v>0.04</v>
      </c>
      <c r="D127">
        <v>0.04</v>
      </c>
      <c r="E127">
        <v>203</v>
      </c>
      <c r="F127" t="s">
        <v>1729</v>
      </c>
      <c r="G127" t="s">
        <v>1708</v>
      </c>
    </row>
    <row r="128" spans="1:7" x14ac:dyDescent="0.25">
      <c r="A128" s="16" t="str">
        <f>HYPERLINK("http://amigo.geneontology.org/amigo/term/GO:0043605","GO:0043605")</f>
        <v>GO:0043605</v>
      </c>
      <c r="B128" t="s">
        <v>1389</v>
      </c>
      <c r="C128">
        <v>0.04</v>
      </c>
      <c r="D128">
        <v>0.04</v>
      </c>
      <c r="E128">
        <v>6</v>
      </c>
      <c r="F128" t="s">
        <v>1720</v>
      </c>
      <c r="G128" t="s">
        <v>1728</v>
      </c>
    </row>
    <row r="129" spans="1:7" x14ac:dyDescent="0.25">
      <c r="A129" s="16" t="str">
        <f>HYPERLINK("http://amigo.geneontology.org/amigo/term/GO:0046113","GO:0046113")</f>
        <v>GO:0046113</v>
      </c>
      <c r="B129" t="s">
        <v>1390</v>
      </c>
      <c r="C129">
        <v>0.04</v>
      </c>
      <c r="D129">
        <v>0.05</v>
      </c>
      <c r="E129">
        <v>7</v>
      </c>
      <c r="F129" t="s">
        <v>1725</v>
      </c>
      <c r="G129" t="s">
        <v>1728</v>
      </c>
    </row>
    <row r="130" spans="1:7" x14ac:dyDescent="0.25">
      <c r="A130" s="16" t="str">
        <f>HYPERLINK("http://amigo.geneontology.org/amigo/term/GO:0002239","GO:0002239")</f>
        <v>GO:0002239</v>
      </c>
      <c r="B130" t="s">
        <v>870</v>
      </c>
      <c r="C130">
        <v>0.04</v>
      </c>
      <c r="D130">
        <v>0.04</v>
      </c>
      <c r="E130">
        <v>50</v>
      </c>
      <c r="F130" t="s">
        <v>1727</v>
      </c>
      <c r="G130" t="s">
        <v>1726</v>
      </c>
    </row>
    <row r="131" spans="1:7" x14ac:dyDescent="0.25">
      <c r="A131" s="16" t="str">
        <f>HYPERLINK("http://amigo.geneontology.org/amigo/term/GO:0002229","GO:0002229")</f>
        <v>GO:0002229</v>
      </c>
      <c r="B131" t="s">
        <v>871</v>
      </c>
      <c r="C131">
        <v>0.04</v>
      </c>
      <c r="D131">
        <v>0.04</v>
      </c>
      <c r="E131">
        <v>50</v>
      </c>
      <c r="F131" t="s">
        <v>1727</v>
      </c>
      <c r="G131" t="s">
        <v>1726</v>
      </c>
    </row>
    <row r="132" spans="1:7" x14ac:dyDescent="0.25">
      <c r="A132" s="16" t="str">
        <f>HYPERLINK("http://amigo.geneontology.org/amigo/term/GO:0016094","GO:0016094")</f>
        <v>GO:0016094</v>
      </c>
      <c r="B132" t="s">
        <v>1391</v>
      </c>
      <c r="C132">
        <v>0.04</v>
      </c>
      <c r="D132">
        <v>0.05</v>
      </c>
      <c r="E132">
        <v>7</v>
      </c>
      <c r="F132" t="s">
        <v>1725</v>
      </c>
      <c r="G132" t="s">
        <v>1699</v>
      </c>
    </row>
    <row r="133" spans="1:7" x14ac:dyDescent="0.25">
      <c r="A133" s="16" t="str">
        <f>HYPERLINK("http://amigo.geneontology.org/amigo/term/GO:0030258","GO:0030258")</f>
        <v>GO:0030258</v>
      </c>
      <c r="B133" t="s">
        <v>1392</v>
      </c>
      <c r="C133">
        <v>0.04</v>
      </c>
      <c r="D133">
        <v>0.05</v>
      </c>
      <c r="E133">
        <v>125</v>
      </c>
      <c r="F133" t="s">
        <v>1724</v>
      </c>
      <c r="G133" t="s">
        <v>1723</v>
      </c>
    </row>
    <row r="134" spans="1:7" x14ac:dyDescent="0.25">
      <c r="A134" s="16" t="str">
        <f>HYPERLINK("http://amigo.geneontology.org/amigo/term/GO:0072329","GO:0072329")</f>
        <v>GO:0072329</v>
      </c>
      <c r="B134" t="s">
        <v>1393</v>
      </c>
      <c r="C134">
        <v>0.04</v>
      </c>
      <c r="D134">
        <v>0.04</v>
      </c>
      <c r="E134">
        <v>48</v>
      </c>
      <c r="F134" t="s">
        <v>1722</v>
      </c>
      <c r="G134" t="s">
        <v>1721</v>
      </c>
    </row>
    <row r="135" spans="1:7" x14ac:dyDescent="0.25">
      <c r="A135" s="16" t="str">
        <f>HYPERLINK("http://amigo.geneontology.org/amigo/term/GO:0033517","GO:0033517")</f>
        <v>GO:0033517</v>
      </c>
      <c r="B135" t="s">
        <v>1394</v>
      </c>
      <c r="C135">
        <v>0.04</v>
      </c>
      <c r="D135">
        <v>0.04</v>
      </c>
      <c r="E135">
        <v>6</v>
      </c>
      <c r="F135" t="s">
        <v>1720</v>
      </c>
      <c r="G135" t="s">
        <v>1719</v>
      </c>
    </row>
    <row r="136" spans="1:7" x14ac:dyDescent="0.25">
      <c r="A136" s="16" t="str">
        <f>HYPERLINK("http://amigo.geneontology.org/amigo/term/GO:0010264","GO:0010264")</f>
        <v>GO:0010264</v>
      </c>
      <c r="B136" t="s">
        <v>1395</v>
      </c>
      <c r="C136">
        <v>0.04</v>
      </c>
      <c r="D136">
        <v>0.04</v>
      </c>
      <c r="E136">
        <v>6</v>
      </c>
      <c r="F136" t="s">
        <v>1720</v>
      </c>
      <c r="G136" t="s">
        <v>1719</v>
      </c>
    </row>
    <row r="137" spans="1:7" x14ac:dyDescent="0.25">
      <c r="A137" s="16" t="str">
        <f>HYPERLINK("http://amigo.geneontology.org/amigo/term/GO:0009225","GO:0009225")</f>
        <v>GO:0009225</v>
      </c>
      <c r="B137" t="s">
        <v>1396</v>
      </c>
      <c r="C137">
        <v>0.05</v>
      </c>
      <c r="D137">
        <v>0.05</v>
      </c>
      <c r="E137">
        <v>56</v>
      </c>
      <c r="F137" t="s">
        <v>1718</v>
      </c>
      <c r="G137" t="s">
        <v>1717</v>
      </c>
    </row>
    <row r="138" spans="1:7" x14ac:dyDescent="0.25">
      <c r="A138" s="16" t="str">
        <f>HYPERLINK("http://amigo.geneontology.org/amigo/term/GO:0009056","GO:0009056")</f>
        <v>GO:0009056</v>
      </c>
      <c r="B138" t="s">
        <v>1397</v>
      </c>
      <c r="C138">
        <v>0.05</v>
      </c>
      <c r="D138">
        <v>0.05</v>
      </c>
      <c r="E138">
        <v>2844</v>
      </c>
      <c r="F138" t="s">
        <v>1716</v>
      </c>
      <c r="G138" t="s">
        <v>1715</v>
      </c>
    </row>
    <row r="139" spans="1:7" x14ac:dyDescent="0.25">
      <c r="A139" s="16" t="str">
        <f>HYPERLINK("http://amigo.geneontology.org/amigo/term/GO:0055081","GO:0055081")</f>
        <v>GO:0055081</v>
      </c>
      <c r="B139" t="s">
        <v>1398</v>
      </c>
      <c r="C139">
        <v>0.05</v>
      </c>
      <c r="D139">
        <v>0.05</v>
      </c>
      <c r="E139">
        <v>8</v>
      </c>
      <c r="F139" t="s">
        <v>1700</v>
      </c>
      <c r="G139" t="s">
        <v>1714</v>
      </c>
    </row>
    <row r="140" spans="1:7" x14ac:dyDescent="0.25">
      <c r="A140" s="16" t="str">
        <f>HYPERLINK("http://amigo.geneontology.org/amigo/term/GO:0072506","GO:0072506")</f>
        <v>GO:0072506</v>
      </c>
      <c r="B140" t="s">
        <v>1399</v>
      </c>
      <c r="C140">
        <v>0.05</v>
      </c>
      <c r="D140">
        <v>0.05</v>
      </c>
      <c r="E140">
        <v>8</v>
      </c>
      <c r="F140" t="s">
        <v>1700</v>
      </c>
      <c r="G140" t="s">
        <v>1714</v>
      </c>
    </row>
    <row r="141" spans="1:7" x14ac:dyDescent="0.25">
      <c r="A141" s="16" t="str">
        <f>HYPERLINK("http://amigo.geneontology.org/amigo/term/GO:0055062","GO:0055062")</f>
        <v>GO:0055062</v>
      </c>
      <c r="B141" t="s">
        <v>1400</v>
      </c>
      <c r="C141">
        <v>0.05</v>
      </c>
      <c r="D141">
        <v>0.05</v>
      </c>
      <c r="E141">
        <v>8</v>
      </c>
      <c r="F141" t="s">
        <v>1700</v>
      </c>
      <c r="G141" t="s">
        <v>1714</v>
      </c>
    </row>
    <row r="142" spans="1:7" x14ac:dyDescent="0.25">
      <c r="A142" s="16" t="str">
        <f>HYPERLINK("http://amigo.geneontology.org/amigo/term/GO:0034762","GO:0034762")</f>
        <v>GO:0034762</v>
      </c>
      <c r="B142" t="s">
        <v>1401</v>
      </c>
      <c r="C142">
        <v>0.05</v>
      </c>
      <c r="D142">
        <v>0.05</v>
      </c>
      <c r="E142">
        <v>57</v>
      </c>
      <c r="F142" t="s">
        <v>1713</v>
      </c>
      <c r="G142" t="s">
        <v>1712</v>
      </c>
    </row>
    <row r="143" spans="1:7" x14ac:dyDescent="0.25">
      <c r="A143" s="16" t="str">
        <f>HYPERLINK("http://amigo.geneontology.org/amigo/term/GO:0009081","GO:0009081")</f>
        <v>GO:0009081</v>
      </c>
      <c r="B143" t="s">
        <v>1402</v>
      </c>
      <c r="C143">
        <v>0.05</v>
      </c>
      <c r="D143">
        <v>0.05</v>
      </c>
      <c r="E143">
        <v>58</v>
      </c>
      <c r="F143" t="s">
        <v>1711</v>
      </c>
      <c r="G143" t="s">
        <v>1710</v>
      </c>
    </row>
    <row r="144" spans="1:7" x14ac:dyDescent="0.25">
      <c r="A144" s="16" t="str">
        <f>HYPERLINK("http://amigo.geneontology.org/amigo/term/GO:0016054","GO:0016054")</f>
        <v>GO:0016054</v>
      </c>
      <c r="B144" t="s">
        <v>241</v>
      </c>
      <c r="C144">
        <v>0.05</v>
      </c>
      <c r="D144">
        <v>0.05</v>
      </c>
      <c r="E144">
        <v>217</v>
      </c>
      <c r="F144" t="s">
        <v>1709</v>
      </c>
      <c r="G144" t="s">
        <v>1708</v>
      </c>
    </row>
    <row r="145" spans="1:7" x14ac:dyDescent="0.25">
      <c r="A145" s="16" t="str">
        <f>HYPERLINK("http://amigo.geneontology.org/amigo/term/GO:0010393","GO:0010393")</f>
        <v>GO:0010393</v>
      </c>
      <c r="B145" t="s">
        <v>1403</v>
      </c>
      <c r="C145">
        <v>0.05</v>
      </c>
      <c r="D145">
        <v>0.05</v>
      </c>
      <c r="E145">
        <v>132</v>
      </c>
      <c r="F145" t="s">
        <v>1707</v>
      </c>
      <c r="G145" t="s">
        <v>1706</v>
      </c>
    </row>
    <row r="146" spans="1:7" x14ac:dyDescent="0.25">
      <c r="A146" s="16" t="str">
        <f>HYPERLINK("http://amigo.geneontology.org/amigo/term/GO:0045488","GO:0045488")</f>
        <v>GO:0045488</v>
      </c>
      <c r="B146" t="s">
        <v>1404</v>
      </c>
      <c r="C146">
        <v>0.05</v>
      </c>
      <c r="D146">
        <v>0.05</v>
      </c>
      <c r="E146">
        <v>132</v>
      </c>
      <c r="F146" t="s">
        <v>1707</v>
      </c>
      <c r="G146" t="s">
        <v>1706</v>
      </c>
    </row>
    <row r="147" spans="1:7" x14ac:dyDescent="0.25">
      <c r="A147" s="16" t="str">
        <f>HYPERLINK("http://amigo.geneontology.org/amigo/term/GO:0051788","GO:0051788")</f>
        <v>GO:0051788</v>
      </c>
      <c r="B147" t="s">
        <v>1405</v>
      </c>
      <c r="C147">
        <v>0.05</v>
      </c>
      <c r="D147">
        <v>0.05</v>
      </c>
      <c r="E147">
        <v>8</v>
      </c>
      <c r="F147" t="s">
        <v>1700</v>
      </c>
      <c r="G147" t="s">
        <v>1705</v>
      </c>
    </row>
    <row r="148" spans="1:7" x14ac:dyDescent="0.25">
      <c r="A148" s="16" t="str">
        <f>HYPERLINK("http://amigo.geneontology.org/amigo/term/GO:0071218","GO:0071218")</f>
        <v>GO:0071218</v>
      </c>
      <c r="B148" t="s">
        <v>1406</v>
      </c>
      <c r="C148">
        <v>0.05</v>
      </c>
      <c r="D148">
        <v>0.05</v>
      </c>
      <c r="E148">
        <v>8</v>
      </c>
      <c r="F148" t="s">
        <v>1700</v>
      </c>
      <c r="G148" t="s">
        <v>1705</v>
      </c>
    </row>
    <row r="149" spans="1:7" x14ac:dyDescent="0.25">
      <c r="A149" s="16" t="str">
        <f>HYPERLINK("http://amigo.geneontology.org/amigo/term/GO:0071712","GO:0071712")</f>
        <v>GO:0071712</v>
      </c>
      <c r="B149" t="s">
        <v>1407</v>
      </c>
      <c r="C149">
        <v>0.05</v>
      </c>
      <c r="D149">
        <v>0.05</v>
      </c>
      <c r="E149">
        <v>8</v>
      </c>
      <c r="F149" t="s">
        <v>1700</v>
      </c>
      <c r="G149" t="s">
        <v>1705</v>
      </c>
    </row>
    <row r="150" spans="1:7" x14ac:dyDescent="0.25">
      <c r="A150" s="16" t="str">
        <f>HYPERLINK("http://amigo.geneontology.org/amigo/term/GO:1903725","GO:1903725")</f>
        <v>GO:1903725</v>
      </c>
      <c r="B150" t="s">
        <v>1408</v>
      </c>
      <c r="C150">
        <v>0.05</v>
      </c>
      <c r="D150">
        <v>0.05</v>
      </c>
      <c r="E150">
        <v>8</v>
      </c>
      <c r="F150" t="s">
        <v>1700</v>
      </c>
      <c r="G150" t="s">
        <v>1704</v>
      </c>
    </row>
    <row r="151" spans="1:7" x14ac:dyDescent="0.25">
      <c r="A151" s="16" t="str">
        <f>HYPERLINK("http://amigo.geneontology.org/amigo/term/GO:0071071","GO:0071071")</f>
        <v>GO:0071071</v>
      </c>
      <c r="B151" t="s">
        <v>1409</v>
      </c>
      <c r="C151">
        <v>0.05</v>
      </c>
      <c r="D151">
        <v>0.05</v>
      </c>
      <c r="E151">
        <v>8</v>
      </c>
      <c r="F151" t="s">
        <v>1700</v>
      </c>
      <c r="G151" t="s">
        <v>1704</v>
      </c>
    </row>
    <row r="152" spans="1:7" x14ac:dyDescent="0.25">
      <c r="A152" s="16" t="str">
        <f>HYPERLINK("http://amigo.geneontology.org/amigo/term/GO:0005984","GO:0005984")</f>
        <v>GO:0005984</v>
      </c>
      <c r="B152" t="s">
        <v>1234</v>
      </c>
      <c r="C152">
        <v>0.05</v>
      </c>
      <c r="D152">
        <v>0.05</v>
      </c>
      <c r="E152">
        <v>130</v>
      </c>
      <c r="F152" t="s">
        <v>1703</v>
      </c>
      <c r="G152" t="s">
        <v>1702</v>
      </c>
    </row>
    <row r="153" spans="1:7" x14ac:dyDescent="0.25">
      <c r="A153" s="16" t="str">
        <f>HYPERLINK("http://amigo.geneontology.org/amigo/term/GO:0046513","GO:0046513")</f>
        <v>GO:0046513</v>
      </c>
      <c r="B153" t="s">
        <v>1410</v>
      </c>
      <c r="C153">
        <v>0.05</v>
      </c>
      <c r="D153">
        <v>0.05</v>
      </c>
      <c r="E153">
        <v>8</v>
      </c>
      <c r="F153" t="s">
        <v>1700</v>
      </c>
      <c r="G153" t="s">
        <v>1701</v>
      </c>
    </row>
    <row r="154" spans="1:7" x14ac:dyDescent="0.25">
      <c r="A154" s="16" t="str">
        <f>HYPERLINK("http://amigo.geneontology.org/amigo/term/GO:0019348","GO:0019348")</f>
        <v>GO:0019348</v>
      </c>
      <c r="B154" t="s">
        <v>1411</v>
      </c>
      <c r="C154">
        <v>0.05</v>
      </c>
      <c r="D154">
        <v>0.05</v>
      </c>
      <c r="E154">
        <v>8</v>
      </c>
      <c r="F154" t="s">
        <v>1700</v>
      </c>
      <c r="G154" t="s">
        <v>1699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workbookViewId="0">
      <pane xSplit="2" ySplit="10" topLeftCell="C355" activePane="bottomRight" state="frozen"/>
      <selection pane="topRight" activeCell="C1" sqref="C1"/>
      <selection pane="bottomLeft" activeCell="A11" sqref="A11"/>
      <selection pane="bottomRight" activeCell="A11" sqref="A11:A381"/>
    </sheetView>
  </sheetViews>
  <sheetFormatPr defaultRowHeight="15" x14ac:dyDescent="0.25"/>
  <sheetData>
    <row r="1" spans="1:7" x14ac:dyDescent="0.25">
      <c r="A1" t="s">
        <v>0</v>
      </c>
      <c r="B1">
        <v>1587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HYPERLINK("http://amigo.geneontology.org/amigo/term/GO:0006468","GO:0006468")</f>
        <v>GO:0006468</v>
      </c>
      <c r="B11" t="s">
        <v>712</v>
      </c>
      <c r="C11" s="1">
        <v>4.3129999999999996E-71</v>
      </c>
      <c r="D11" s="1">
        <v>5.0810000000000001E-71</v>
      </c>
      <c r="E11">
        <v>5255</v>
      </c>
      <c r="F11" t="s">
        <v>2223</v>
      </c>
      <c r="G11" t="s">
        <v>2222</v>
      </c>
    </row>
    <row r="12" spans="1:7" x14ac:dyDescent="0.25">
      <c r="A12" s="16" t="str">
        <f>HYPERLINK("http://amigo.geneontology.org/amigo/term/GO:0016310","GO:0016310")</f>
        <v>GO:0016310</v>
      </c>
      <c r="B12" t="s">
        <v>713</v>
      </c>
      <c r="C12" s="1">
        <v>4.1539999999999998E-67</v>
      </c>
      <c r="D12" s="1">
        <v>4.8930000000000002E-67</v>
      </c>
      <c r="E12">
        <v>5575</v>
      </c>
      <c r="F12" t="s">
        <v>2221</v>
      </c>
      <c r="G12" t="s">
        <v>2220</v>
      </c>
    </row>
    <row r="13" spans="1:7" x14ac:dyDescent="0.25">
      <c r="A13" s="16" t="str">
        <f>HYPERLINK("http://amigo.geneontology.org/amigo/term/GO:0036211","GO:0036211")</f>
        <v>GO:0036211</v>
      </c>
      <c r="B13" t="s">
        <v>714</v>
      </c>
      <c r="C13" s="1">
        <v>6.985E-54</v>
      </c>
      <c r="D13" s="1">
        <v>8.2240000000000005E-54</v>
      </c>
      <c r="E13">
        <v>7436</v>
      </c>
      <c r="F13" t="s">
        <v>2219</v>
      </c>
      <c r="G13" t="s">
        <v>2214</v>
      </c>
    </row>
    <row r="14" spans="1:7" x14ac:dyDescent="0.25">
      <c r="A14" s="16" t="str">
        <f>HYPERLINK("http://amigo.geneontology.org/amigo/term/GO:0006464","GO:0006464")</f>
        <v>GO:0006464</v>
      </c>
      <c r="B14" t="s">
        <v>715</v>
      </c>
      <c r="C14" s="1">
        <v>6.985E-54</v>
      </c>
      <c r="D14" s="1">
        <v>8.2240000000000005E-54</v>
      </c>
      <c r="E14">
        <v>7436</v>
      </c>
      <c r="F14" t="s">
        <v>2219</v>
      </c>
      <c r="G14" t="s">
        <v>2214</v>
      </c>
    </row>
    <row r="15" spans="1:7" x14ac:dyDescent="0.25">
      <c r="A15" s="16" t="str">
        <f>HYPERLINK("http://amigo.geneontology.org/amigo/term/GO:0006796","GO:0006796")</f>
        <v>GO:0006796</v>
      </c>
      <c r="B15" t="s">
        <v>716</v>
      </c>
      <c r="C15" s="1">
        <v>4.8270000000000001E-52</v>
      </c>
      <c r="D15" s="1">
        <v>5.6820000000000002E-52</v>
      </c>
      <c r="E15">
        <v>6989</v>
      </c>
      <c r="F15" t="s">
        <v>2218</v>
      </c>
      <c r="G15" t="s">
        <v>2216</v>
      </c>
    </row>
    <row r="16" spans="1:7" x14ac:dyDescent="0.25">
      <c r="A16" s="16" t="str">
        <f>HYPERLINK("http://amigo.geneontology.org/amigo/term/GO:0006793","GO:0006793")</f>
        <v>GO:0006793</v>
      </c>
      <c r="B16" t="s">
        <v>717</v>
      </c>
      <c r="C16" s="1">
        <v>9.551E-52</v>
      </c>
      <c r="D16" s="1">
        <v>1.124E-51</v>
      </c>
      <c r="E16">
        <v>7010</v>
      </c>
      <c r="F16" t="s">
        <v>2217</v>
      </c>
      <c r="G16" t="s">
        <v>2216</v>
      </c>
    </row>
    <row r="17" spans="1:7" x14ac:dyDescent="0.25">
      <c r="A17" s="16" t="str">
        <f>HYPERLINK("http://amigo.geneontology.org/amigo/term/GO:0043412","GO:0043412")</f>
        <v>GO:0043412</v>
      </c>
      <c r="B17" t="s">
        <v>718</v>
      </c>
      <c r="C17" s="1">
        <v>1.3229999999999999E-48</v>
      </c>
      <c r="D17" s="1">
        <v>1.5559999999999999E-48</v>
      </c>
      <c r="E17">
        <v>7831</v>
      </c>
      <c r="F17" t="s">
        <v>2215</v>
      </c>
      <c r="G17" t="s">
        <v>2214</v>
      </c>
    </row>
    <row r="18" spans="1:7" x14ac:dyDescent="0.25">
      <c r="A18" s="16" t="str">
        <f>HYPERLINK("http://amigo.geneontology.org/amigo/term/GO:0044267","GO:0044267")</f>
        <v>GO:0044267</v>
      </c>
      <c r="B18" t="s">
        <v>719</v>
      </c>
      <c r="C18" s="1">
        <v>1.577E-29</v>
      </c>
      <c r="D18" s="1">
        <v>1.854E-29</v>
      </c>
      <c r="E18">
        <v>9710</v>
      </c>
      <c r="F18" t="s">
        <v>2213</v>
      </c>
      <c r="G18" t="s">
        <v>2212</v>
      </c>
    </row>
    <row r="19" spans="1:7" x14ac:dyDescent="0.25">
      <c r="A19" s="16" t="str">
        <f>HYPERLINK("http://amigo.geneontology.org/amigo/term/GO:0019538","GO:0019538")</f>
        <v>GO:0019538</v>
      </c>
      <c r="B19" t="s">
        <v>720</v>
      </c>
      <c r="C19" s="1">
        <v>4.0480000000000002E-26</v>
      </c>
      <c r="D19" s="1">
        <v>4.7610000000000002E-26</v>
      </c>
      <c r="E19">
        <v>11500</v>
      </c>
      <c r="F19" t="s">
        <v>2211</v>
      </c>
      <c r="G19" t="s">
        <v>2210</v>
      </c>
    </row>
    <row r="20" spans="1:7" x14ac:dyDescent="0.25">
      <c r="A20" s="16" t="str">
        <f>HYPERLINK("http://amigo.geneontology.org/amigo/term/GO:1901564","GO:1901564")</f>
        <v>GO:1901564</v>
      </c>
      <c r="B20" t="s">
        <v>721</v>
      </c>
      <c r="C20" s="1">
        <v>8.6010000000000002E-26</v>
      </c>
      <c r="D20" s="1">
        <v>1.011E-25</v>
      </c>
      <c r="E20">
        <v>14105</v>
      </c>
      <c r="F20" t="s">
        <v>2209</v>
      </c>
      <c r="G20" t="s">
        <v>2208</v>
      </c>
    </row>
    <row r="21" spans="1:7" x14ac:dyDescent="0.25">
      <c r="A21" s="16" t="str">
        <f>HYPERLINK("http://amigo.geneontology.org/amigo/term/GO:0031347","GO:0031347")</f>
        <v>GO:0031347</v>
      </c>
      <c r="B21" t="s">
        <v>722</v>
      </c>
      <c r="C21" s="1">
        <v>6.0129999999999995E-23</v>
      </c>
      <c r="D21" s="1">
        <v>7.0669999999999996E-23</v>
      </c>
      <c r="E21">
        <v>138</v>
      </c>
      <c r="F21" t="s">
        <v>2207</v>
      </c>
      <c r="G21" t="s">
        <v>2206</v>
      </c>
    </row>
    <row r="22" spans="1:7" x14ac:dyDescent="0.25">
      <c r="A22" s="16" t="str">
        <f>HYPERLINK("http://amigo.geneontology.org/amigo/term/GO:0002831","GO:0002831")</f>
        <v>GO:0002831</v>
      </c>
      <c r="B22" t="s">
        <v>723</v>
      </c>
      <c r="C22" s="1">
        <v>9.5079999999999997E-23</v>
      </c>
      <c r="D22" s="1">
        <v>1.1169999999999999E-22</v>
      </c>
      <c r="E22">
        <v>118</v>
      </c>
      <c r="F22" t="s">
        <v>2205</v>
      </c>
      <c r="G22" t="s">
        <v>2203</v>
      </c>
    </row>
    <row r="23" spans="1:7" x14ac:dyDescent="0.25">
      <c r="A23" s="16" t="str">
        <f>HYPERLINK("http://amigo.geneontology.org/amigo/term/GO:0032101","GO:0032101")</f>
        <v>GO:0032101</v>
      </c>
      <c r="B23" t="s">
        <v>724</v>
      </c>
      <c r="C23" s="1">
        <v>3.3840000000000002E-22</v>
      </c>
      <c r="D23" s="1">
        <v>3.9760000000000001E-22</v>
      </c>
      <c r="E23">
        <v>123</v>
      </c>
      <c r="F23" t="s">
        <v>2204</v>
      </c>
      <c r="G23" t="s">
        <v>2203</v>
      </c>
    </row>
    <row r="24" spans="1:7" x14ac:dyDescent="0.25">
      <c r="A24" s="16" t="str">
        <f>HYPERLINK("http://amigo.geneontology.org/amigo/term/GO:0080134","GO:0080134")</f>
        <v>GO:0080134</v>
      </c>
      <c r="B24" t="s">
        <v>725</v>
      </c>
      <c r="C24" s="1">
        <v>8.0629999999999995E-21</v>
      </c>
      <c r="D24" s="1">
        <v>9.4700000000000005E-21</v>
      </c>
      <c r="E24">
        <v>215</v>
      </c>
      <c r="F24" t="s">
        <v>2202</v>
      </c>
      <c r="G24" t="s">
        <v>2201</v>
      </c>
    </row>
    <row r="25" spans="1:7" x14ac:dyDescent="0.25">
      <c r="A25" s="16" t="str">
        <f>HYPERLINK("http://amigo.geneontology.org/amigo/term/GO:0048583","GO:0048583")</f>
        <v>GO:0048583</v>
      </c>
      <c r="B25" t="s">
        <v>726</v>
      </c>
      <c r="C25" s="1">
        <v>3.7950000000000002E-18</v>
      </c>
      <c r="D25" s="1">
        <v>4.456E-18</v>
      </c>
      <c r="E25">
        <v>438</v>
      </c>
      <c r="F25" t="s">
        <v>2200</v>
      </c>
      <c r="G25" t="s">
        <v>2199</v>
      </c>
    </row>
    <row r="26" spans="1:7" x14ac:dyDescent="0.25">
      <c r="A26" s="16" t="str">
        <f>HYPERLINK("http://amigo.geneontology.org/amigo/term/GO:0044260","GO:0044260")</f>
        <v>GO:0044260</v>
      </c>
      <c r="B26" t="s">
        <v>727</v>
      </c>
      <c r="C26" s="1">
        <v>9.3500000000000001E-16</v>
      </c>
      <c r="D26" s="1">
        <v>1.0980000000000001E-15</v>
      </c>
      <c r="E26">
        <v>12995</v>
      </c>
      <c r="F26" t="s">
        <v>2198</v>
      </c>
      <c r="G26" t="s">
        <v>2197</v>
      </c>
    </row>
    <row r="27" spans="1:7" x14ac:dyDescent="0.25">
      <c r="A27" s="16" t="str">
        <f>HYPERLINK("http://amigo.geneontology.org/amigo/term/GO:0010112","GO:0010112")</f>
        <v>GO:0010112</v>
      </c>
      <c r="B27" t="s">
        <v>728</v>
      </c>
      <c r="C27" s="1">
        <v>1.5349999999999999E-14</v>
      </c>
      <c r="D27" s="1">
        <v>1.8019999999999999E-14</v>
      </c>
      <c r="E27">
        <v>24</v>
      </c>
      <c r="F27" t="s">
        <v>2196</v>
      </c>
      <c r="G27" t="s">
        <v>2195</v>
      </c>
    </row>
    <row r="28" spans="1:7" x14ac:dyDescent="0.25">
      <c r="A28" s="16" t="str">
        <f>HYPERLINK("http://amigo.geneontology.org/amigo/term/GO:0009751","GO:0009751")</f>
        <v>GO:0009751</v>
      </c>
      <c r="B28" t="s">
        <v>729</v>
      </c>
      <c r="C28" s="1">
        <v>4.6209999999999998E-12</v>
      </c>
      <c r="D28" s="1">
        <v>5.4220000000000001E-12</v>
      </c>
      <c r="E28">
        <v>54</v>
      </c>
      <c r="F28" t="s">
        <v>2194</v>
      </c>
      <c r="G28" t="s">
        <v>2193</v>
      </c>
    </row>
    <row r="29" spans="1:7" x14ac:dyDescent="0.25">
      <c r="A29" s="16" t="str">
        <f>HYPERLINK("http://amigo.geneontology.org/amigo/term/GO:0043207","GO:0043207")</f>
        <v>GO:0043207</v>
      </c>
      <c r="B29" t="s">
        <v>730</v>
      </c>
      <c r="C29" s="1">
        <v>5.0060000000000003E-12</v>
      </c>
      <c r="D29" s="1">
        <v>5.872E-12</v>
      </c>
      <c r="E29">
        <v>348</v>
      </c>
      <c r="F29" t="s">
        <v>2192</v>
      </c>
      <c r="G29" t="s">
        <v>2178</v>
      </c>
    </row>
    <row r="30" spans="1:7" x14ac:dyDescent="0.25">
      <c r="A30" s="16" t="str">
        <f>HYPERLINK("http://amigo.geneontology.org/amigo/term/GO:0051707","GO:0051707")</f>
        <v>GO:0051707</v>
      </c>
      <c r="B30" t="s">
        <v>731</v>
      </c>
      <c r="C30" s="1">
        <v>5.0060000000000003E-12</v>
      </c>
      <c r="D30" s="1">
        <v>5.872E-12</v>
      </c>
      <c r="E30">
        <v>348</v>
      </c>
      <c r="F30" t="s">
        <v>2192</v>
      </c>
      <c r="G30" t="s">
        <v>2178</v>
      </c>
    </row>
    <row r="31" spans="1:7" x14ac:dyDescent="0.25">
      <c r="A31" s="16" t="str">
        <f>HYPERLINK("http://amigo.geneontology.org/amigo/term/GO:0014070","GO:0014070")</f>
        <v>GO:0014070</v>
      </c>
      <c r="B31" t="s">
        <v>732</v>
      </c>
      <c r="C31" s="1">
        <v>6.0110000000000001E-12</v>
      </c>
      <c r="D31" s="1">
        <v>7.0490000000000004E-12</v>
      </c>
      <c r="E31">
        <v>117</v>
      </c>
      <c r="F31" t="s">
        <v>2191</v>
      </c>
      <c r="G31" t="s">
        <v>2190</v>
      </c>
    </row>
    <row r="32" spans="1:7" x14ac:dyDescent="0.25">
      <c r="A32" s="16" t="str">
        <f>HYPERLINK("http://amigo.geneontology.org/amigo/term/GO:1900424","GO:1900424")</f>
        <v>GO:1900424</v>
      </c>
      <c r="B32" t="s">
        <v>733</v>
      </c>
      <c r="C32" s="1">
        <v>4.4000000000000003E-11</v>
      </c>
      <c r="D32" s="1">
        <v>5.1579999999999998E-11</v>
      </c>
      <c r="E32">
        <v>13</v>
      </c>
      <c r="F32" t="s">
        <v>2189</v>
      </c>
      <c r="G32" t="s">
        <v>2188</v>
      </c>
    </row>
    <row r="33" spans="1:7" x14ac:dyDescent="0.25">
      <c r="A33" s="16" t="str">
        <f>HYPERLINK("http://amigo.geneontology.org/amigo/term/GO:0009625","GO:0009625")</f>
        <v>GO:0009625</v>
      </c>
      <c r="B33" t="s">
        <v>734</v>
      </c>
      <c r="C33" s="1">
        <v>6.2220000000000006E-11</v>
      </c>
      <c r="D33" s="1">
        <v>7.293E-11</v>
      </c>
      <c r="E33">
        <v>9</v>
      </c>
      <c r="F33" t="s">
        <v>2187</v>
      </c>
      <c r="G33" t="s">
        <v>2186</v>
      </c>
    </row>
    <row r="34" spans="1:7" x14ac:dyDescent="0.25">
      <c r="A34" s="16" t="str">
        <f>HYPERLINK("http://amigo.geneontology.org/amigo/term/GO:2000068","GO:2000068")</f>
        <v>GO:2000068</v>
      </c>
      <c r="B34" t="s">
        <v>735</v>
      </c>
      <c r="C34" s="1">
        <v>6.2220000000000006E-11</v>
      </c>
      <c r="D34" s="1">
        <v>7.293E-11</v>
      </c>
      <c r="E34">
        <v>9</v>
      </c>
      <c r="F34" t="s">
        <v>2187</v>
      </c>
      <c r="G34" t="s">
        <v>2186</v>
      </c>
    </row>
    <row r="35" spans="1:7" x14ac:dyDescent="0.25">
      <c r="A35" s="16" t="str">
        <f>HYPERLINK("http://amigo.geneontology.org/amigo/term/GO:0009617","GO:0009617")</f>
        <v>GO:0009617</v>
      </c>
      <c r="B35" t="s">
        <v>736</v>
      </c>
      <c r="C35" s="1">
        <v>2.148E-10</v>
      </c>
      <c r="D35" s="1">
        <v>2.5170000000000002E-10</v>
      </c>
      <c r="E35">
        <v>177</v>
      </c>
      <c r="F35" t="s">
        <v>2185</v>
      </c>
      <c r="G35" t="s">
        <v>2184</v>
      </c>
    </row>
    <row r="36" spans="1:7" x14ac:dyDescent="0.25">
      <c r="A36" s="16" t="str">
        <f>HYPERLINK("http://amigo.geneontology.org/amigo/term/GO:0006807","GO:0006807")</f>
        <v>GO:0006807</v>
      </c>
      <c r="B36" t="s">
        <v>737</v>
      </c>
      <c r="C36" s="1">
        <v>3.3190000000000001E-10</v>
      </c>
      <c r="D36" s="1">
        <v>3.8890000000000002E-10</v>
      </c>
      <c r="E36">
        <v>18195</v>
      </c>
      <c r="F36" t="s">
        <v>2183</v>
      </c>
      <c r="G36" t="s">
        <v>2182</v>
      </c>
    </row>
    <row r="37" spans="1:7" x14ac:dyDescent="0.25">
      <c r="A37" s="16" t="str">
        <f>HYPERLINK("http://amigo.geneontology.org/amigo/term/GO:0010337","GO:0010337")</f>
        <v>GO:0010337</v>
      </c>
      <c r="B37" t="s">
        <v>738</v>
      </c>
      <c r="C37" s="1">
        <v>4.1589999999999998E-10</v>
      </c>
      <c r="D37" s="1">
        <v>4.871E-10</v>
      </c>
      <c r="E37">
        <v>16</v>
      </c>
      <c r="F37" t="s">
        <v>2181</v>
      </c>
      <c r="G37" t="s">
        <v>2100</v>
      </c>
    </row>
    <row r="38" spans="1:7" x14ac:dyDescent="0.25">
      <c r="A38" s="16" t="str">
        <f>HYPERLINK("http://amigo.geneontology.org/amigo/term/GO:0002833","GO:0002833")</f>
        <v>GO:0002833</v>
      </c>
      <c r="B38" t="s">
        <v>739</v>
      </c>
      <c r="C38" s="1">
        <v>8.08E-10</v>
      </c>
      <c r="D38" s="1">
        <v>9.4610000000000007E-10</v>
      </c>
      <c r="E38">
        <v>42</v>
      </c>
      <c r="F38" t="s">
        <v>2180</v>
      </c>
      <c r="G38" t="s">
        <v>2170</v>
      </c>
    </row>
    <row r="39" spans="1:7" x14ac:dyDescent="0.25">
      <c r="A39" s="16" t="str">
        <f>HYPERLINK("http://amigo.geneontology.org/amigo/term/GO:0009607","GO:0009607")</f>
        <v>GO:0009607</v>
      </c>
      <c r="B39" t="s">
        <v>740</v>
      </c>
      <c r="C39" s="1">
        <v>9.4169999999999996E-10</v>
      </c>
      <c r="D39" s="1">
        <v>1.1019999999999999E-9</v>
      </c>
      <c r="E39">
        <v>427</v>
      </c>
      <c r="F39" t="s">
        <v>2179</v>
      </c>
      <c r="G39" t="s">
        <v>2178</v>
      </c>
    </row>
    <row r="40" spans="1:7" x14ac:dyDescent="0.25">
      <c r="A40" s="16" t="str">
        <f>HYPERLINK("http://amigo.geneontology.org/amigo/term/GO:0031349","GO:0031349")</f>
        <v>GO:0031349</v>
      </c>
      <c r="B40" t="s">
        <v>741</v>
      </c>
      <c r="C40" s="1">
        <v>1.0649999999999999E-9</v>
      </c>
      <c r="D40" s="1">
        <v>1.246E-9</v>
      </c>
      <c r="E40">
        <v>43</v>
      </c>
      <c r="F40" t="s">
        <v>2177</v>
      </c>
      <c r="G40" t="s">
        <v>2170</v>
      </c>
    </row>
    <row r="41" spans="1:7" x14ac:dyDescent="0.25">
      <c r="A41" s="16" t="str">
        <f>HYPERLINK("http://amigo.geneontology.org/amigo/term/GO:0010200","GO:0010200")</f>
        <v>GO:0010200</v>
      </c>
      <c r="B41" t="s">
        <v>742</v>
      </c>
      <c r="C41" s="1">
        <v>1.295E-9</v>
      </c>
      <c r="D41" s="1">
        <v>1.515E-9</v>
      </c>
      <c r="E41">
        <v>12</v>
      </c>
      <c r="F41" t="s">
        <v>2176</v>
      </c>
      <c r="G41" t="s">
        <v>2175</v>
      </c>
    </row>
    <row r="42" spans="1:7" x14ac:dyDescent="0.25">
      <c r="A42" s="16" t="str">
        <f>HYPERLINK("http://amigo.geneontology.org/amigo/term/GO:0030001","GO:0030001")</f>
        <v>GO:0030001</v>
      </c>
      <c r="B42" t="s">
        <v>743</v>
      </c>
      <c r="C42" s="1">
        <v>2.4159999999999999E-9</v>
      </c>
      <c r="D42" s="1">
        <v>2.826E-9</v>
      </c>
      <c r="E42">
        <v>729</v>
      </c>
      <c r="F42" t="s">
        <v>2174</v>
      </c>
      <c r="G42" t="s">
        <v>2173</v>
      </c>
    </row>
    <row r="43" spans="1:7" x14ac:dyDescent="0.25">
      <c r="A43" s="16" t="str">
        <f>HYPERLINK("http://amigo.geneontology.org/amigo/term/GO:0009862","GO:0009862")</f>
        <v>GO:0009862</v>
      </c>
      <c r="B43" t="s">
        <v>744</v>
      </c>
      <c r="C43" s="1">
        <v>2.7550000000000001E-9</v>
      </c>
      <c r="D43" s="1">
        <v>3.2219999999999998E-9</v>
      </c>
      <c r="E43">
        <v>13</v>
      </c>
      <c r="F43" t="s">
        <v>2172</v>
      </c>
      <c r="G43" t="s">
        <v>2153</v>
      </c>
    </row>
    <row r="44" spans="1:7" x14ac:dyDescent="0.25">
      <c r="A44" s="16" t="str">
        <f>HYPERLINK("http://amigo.geneontology.org/amigo/term/GO:0032103","GO:0032103")</f>
        <v>GO:0032103</v>
      </c>
      <c r="B44" t="s">
        <v>745</v>
      </c>
      <c r="C44" s="1">
        <v>2.9859999999999998E-9</v>
      </c>
      <c r="D44" s="1">
        <v>3.491E-9</v>
      </c>
      <c r="E44">
        <v>47</v>
      </c>
      <c r="F44" t="s">
        <v>2171</v>
      </c>
      <c r="G44" t="s">
        <v>2170</v>
      </c>
    </row>
    <row r="45" spans="1:7" x14ac:dyDescent="0.25">
      <c r="A45" s="16" t="str">
        <f>HYPERLINK("http://amigo.geneontology.org/amigo/term/GO:0071407","GO:0071407")</f>
        <v>GO:0071407</v>
      </c>
      <c r="B45" t="s">
        <v>746</v>
      </c>
      <c r="C45" s="1">
        <v>3.224E-9</v>
      </c>
      <c r="D45" s="1">
        <v>3.7689999999999997E-9</v>
      </c>
      <c r="E45">
        <v>59</v>
      </c>
      <c r="F45" t="s">
        <v>2169</v>
      </c>
      <c r="G45" t="s">
        <v>2168</v>
      </c>
    </row>
    <row r="46" spans="1:7" x14ac:dyDescent="0.25">
      <c r="A46" s="16" t="str">
        <f>HYPERLINK("http://amigo.geneontology.org/amigo/term/GO:0009863","GO:0009863")</f>
        <v>GO:0009863</v>
      </c>
      <c r="B46" t="s">
        <v>747</v>
      </c>
      <c r="C46" s="1">
        <v>5.4089999999999998E-9</v>
      </c>
      <c r="D46" s="1">
        <v>6.321E-9</v>
      </c>
      <c r="E46">
        <v>14</v>
      </c>
      <c r="F46" t="s">
        <v>2167</v>
      </c>
      <c r="G46" t="s">
        <v>2153</v>
      </c>
    </row>
    <row r="47" spans="1:7" x14ac:dyDescent="0.25">
      <c r="A47" s="16" t="str">
        <f>HYPERLINK("http://amigo.geneontology.org/amigo/term/GO:2000022","GO:2000022")</f>
        <v>GO:2000022</v>
      </c>
      <c r="B47" t="s">
        <v>748</v>
      </c>
      <c r="C47" s="1">
        <v>5.9879999999999996E-9</v>
      </c>
      <c r="D47" s="1">
        <v>6.9960000000000002E-9</v>
      </c>
      <c r="E47">
        <v>21</v>
      </c>
      <c r="F47" t="s">
        <v>2166</v>
      </c>
      <c r="G47" t="s">
        <v>2165</v>
      </c>
    </row>
    <row r="48" spans="1:7" x14ac:dyDescent="0.25">
      <c r="A48" s="16" t="str">
        <f>HYPERLINK("http://amigo.geneontology.org/amigo/term/GO:0043170","GO:0043170")</f>
        <v>GO:0043170</v>
      </c>
      <c r="B48" t="s">
        <v>749</v>
      </c>
      <c r="C48" s="1">
        <v>6.0339999999999996E-9</v>
      </c>
      <c r="D48" s="1">
        <v>7.049E-9</v>
      </c>
      <c r="E48">
        <v>16199</v>
      </c>
      <c r="F48" t="s">
        <v>2164</v>
      </c>
      <c r="G48" t="s">
        <v>2163</v>
      </c>
    </row>
    <row r="49" spans="1:7" x14ac:dyDescent="0.25">
      <c r="A49" s="16" t="str">
        <f>HYPERLINK("http://amigo.geneontology.org/amigo/term/GO:2000031","GO:2000031")</f>
        <v>GO:2000031</v>
      </c>
      <c r="B49" t="s">
        <v>750</v>
      </c>
      <c r="C49" s="1">
        <v>9.9559999999999999E-9</v>
      </c>
      <c r="D49" s="1">
        <v>1.1630000000000001E-8</v>
      </c>
      <c r="E49">
        <v>15</v>
      </c>
      <c r="F49" t="s">
        <v>2162</v>
      </c>
      <c r="G49" t="s">
        <v>2153</v>
      </c>
    </row>
    <row r="50" spans="1:7" x14ac:dyDescent="0.25">
      <c r="A50" s="16" t="str">
        <f>HYPERLINK("http://amigo.geneontology.org/amigo/term/GO:0009605","GO:0009605")</f>
        <v>GO:0009605</v>
      </c>
      <c r="B50" t="s">
        <v>751</v>
      </c>
      <c r="C50" s="1">
        <v>1.301E-8</v>
      </c>
      <c r="D50" s="1">
        <v>1.5180000000000001E-8</v>
      </c>
      <c r="E50">
        <v>580</v>
      </c>
      <c r="F50" t="s">
        <v>2161</v>
      </c>
      <c r="G50" t="s">
        <v>2160</v>
      </c>
    </row>
    <row r="51" spans="1:7" x14ac:dyDescent="0.25">
      <c r="A51" s="16" t="str">
        <f>HYPERLINK("http://amigo.geneontology.org/amigo/term/GO:0080142","GO:0080142")</f>
        <v>GO:0080142</v>
      </c>
      <c r="B51" t="s">
        <v>752</v>
      </c>
      <c r="C51" s="1">
        <v>1.672E-8</v>
      </c>
      <c r="D51" s="1">
        <v>1.9519999999999999E-8</v>
      </c>
      <c r="E51">
        <v>10</v>
      </c>
      <c r="F51" t="s">
        <v>2159</v>
      </c>
      <c r="G51" t="s">
        <v>2151</v>
      </c>
    </row>
    <row r="52" spans="1:7" x14ac:dyDescent="0.25">
      <c r="A52" s="16" t="str">
        <f>HYPERLINK("http://amigo.geneontology.org/amigo/term/GO:0048584","GO:0048584")</f>
        <v>GO:0048584</v>
      </c>
      <c r="B52" t="s">
        <v>753</v>
      </c>
      <c r="C52" s="1">
        <v>1.7949999999999999E-8</v>
      </c>
      <c r="D52" s="1">
        <v>2.0940000000000001E-8</v>
      </c>
      <c r="E52">
        <v>148</v>
      </c>
      <c r="F52" t="s">
        <v>2158</v>
      </c>
      <c r="G52" t="s">
        <v>2157</v>
      </c>
    </row>
    <row r="53" spans="1:7" x14ac:dyDescent="0.25">
      <c r="A53" s="16" t="str">
        <f>HYPERLINK("http://amigo.geneontology.org/amigo/term/GO:1900367","GO:1900367")</f>
        <v>GO:1900367</v>
      </c>
      <c r="B53" t="s">
        <v>754</v>
      </c>
      <c r="C53" s="1">
        <v>2.4080000000000001E-8</v>
      </c>
      <c r="D53" s="1">
        <v>2.8089999999999999E-8</v>
      </c>
      <c r="E53">
        <v>6</v>
      </c>
      <c r="F53" t="s">
        <v>2156</v>
      </c>
      <c r="G53" t="s">
        <v>2155</v>
      </c>
    </row>
    <row r="54" spans="1:7" x14ac:dyDescent="0.25">
      <c r="A54" s="16" t="str">
        <f>HYPERLINK("http://amigo.geneontology.org/amigo/term/GO:0071446","GO:0071446")</f>
        <v>GO:0071446</v>
      </c>
      <c r="B54" t="s">
        <v>755</v>
      </c>
      <c r="C54" s="1">
        <v>2.9000000000000002E-8</v>
      </c>
      <c r="D54" s="1">
        <v>3.3820000000000001E-8</v>
      </c>
      <c r="E54">
        <v>17</v>
      </c>
      <c r="F54" t="s">
        <v>2154</v>
      </c>
      <c r="G54" t="s">
        <v>2153</v>
      </c>
    </row>
    <row r="55" spans="1:7" x14ac:dyDescent="0.25">
      <c r="A55" s="16" t="str">
        <f>HYPERLINK("http://amigo.geneontology.org/amigo/term/GO:1900426","GO:1900426")</f>
        <v>GO:1900426</v>
      </c>
      <c r="B55" t="s">
        <v>756</v>
      </c>
      <c r="C55" s="1">
        <v>3.613E-8</v>
      </c>
      <c r="D55" s="1">
        <v>4.2130000000000001E-8</v>
      </c>
      <c r="E55">
        <v>11</v>
      </c>
      <c r="F55" t="s">
        <v>2152</v>
      </c>
      <c r="G55" t="s">
        <v>2151</v>
      </c>
    </row>
    <row r="56" spans="1:7" x14ac:dyDescent="0.25">
      <c r="A56" s="16" t="str">
        <f>HYPERLINK("http://amigo.geneontology.org/amigo/term/GO:0042742","GO:0042742")</f>
        <v>GO:0042742</v>
      </c>
      <c r="B56" t="s">
        <v>757</v>
      </c>
      <c r="C56" s="1">
        <v>4.7689999999999999E-8</v>
      </c>
      <c r="D56" s="1">
        <v>5.5600000000000002E-8</v>
      </c>
      <c r="E56">
        <v>158</v>
      </c>
      <c r="F56" t="s">
        <v>2150</v>
      </c>
      <c r="G56" t="s">
        <v>2149</v>
      </c>
    </row>
    <row r="57" spans="1:7" x14ac:dyDescent="0.25">
      <c r="A57" s="16" t="str">
        <f>HYPERLINK("http://amigo.geneontology.org/amigo/term/GO:0098542","GO:0098542")</f>
        <v>GO:0098542</v>
      </c>
      <c r="B57" t="s">
        <v>758</v>
      </c>
      <c r="C57" s="1">
        <v>5.7930000000000003E-8</v>
      </c>
      <c r="D57" s="1">
        <v>6.7519999999999998E-8</v>
      </c>
      <c r="E57">
        <v>309</v>
      </c>
      <c r="F57" t="s">
        <v>2148</v>
      </c>
      <c r="G57" t="s">
        <v>2147</v>
      </c>
    </row>
    <row r="58" spans="1:7" x14ac:dyDescent="0.25">
      <c r="A58" s="16" t="str">
        <f>HYPERLINK("http://amigo.geneontology.org/amigo/term/GO:0044238","GO:0044238")</f>
        <v>GO:0044238</v>
      </c>
      <c r="B58" t="s">
        <v>759</v>
      </c>
      <c r="C58" s="1">
        <v>1.321E-7</v>
      </c>
      <c r="D58" s="1">
        <v>1.539E-7</v>
      </c>
      <c r="E58">
        <v>21331</v>
      </c>
      <c r="F58" t="s">
        <v>2146</v>
      </c>
      <c r="G58" t="s">
        <v>2145</v>
      </c>
    </row>
    <row r="59" spans="1:7" x14ac:dyDescent="0.25">
      <c r="A59" s="16" t="str">
        <f>HYPERLINK("http://amigo.geneontology.org/amigo/term/GO:1901698","GO:1901698")</f>
        <v>GO:1901698</v>
      </c>
      <c r="B59" t="s">
        <v>760</v>
      </c>
      <c r="C59" s="1">
        <v>2.614E-7</v>
      </c>
      <c r="D59" s="1">
        <v>3.0450000000000001E-7</v>
      </c>
      <c r="E59">
        <v>86</v>
      </c>
      <c r="F59" t="s">
        <v>2144</v>
      </c>
      <c r="G59" t="s">
        <v>2143</v>
      </c>
    </row>
    <row r="60" spans="1:7" x14ac:dyDescent="0.25">
      <c r="A60" s="16" t="str">
        <f>HYPERLINK("http://amigo.geneontology.org/amigo/term/GO:0071704","GO:0071704")</f>
        <v>GO:0071704</v>
      </c>
      <c r="B60" t="s">
        <v>454</v>
      </c>
      <c r="C60" s="1">
        <v>6.4819999999999999E-7</v>
      </c>
      <c r="D60" s="1">
        <v>7.5499999999999997E-7</v>
      </c>
      <c r="E60">
        <v>22718</v>
      </c>
      <c r="F60" t="s">
        <v>2142</v>
      </c>
      <c r="G60" t="s">
        <v>2141</v>
      </c>
    </row>
    <row r="61" spans="1:7" x14ac:dyDescent="0.25">
      <c r="A61" s="16" t="str">
        <f>HYPERLINK("http://amigo.geneontology.org/amigo/term/GO:0007584","GO:0007584")</f>
        <v>GO:0007584</v>
      </c>
      <c r="B61" t="s">
        <v>761</v>
      </c>
      <c r="C61" s="1">
        <v>9.5729999999999992E-7</v>
      </c>
      <c r="D61" s="1">
        <v>1.1149999999999999E-6</v>
      </c>
      <c r="E61">
        <v>5</v>
      </c>
      <c r="F61" t="s">
        <v>2140</v>
      </c>
      <c r="G61" t="s">
        <v>2139</v>
      </c>
    </row>
    <row r="62" spans="1:7" x14ac:dyDescent="0.25">
      <c r="A62" s="16" t="str">
        <f>HYPERLINK("http://amigo.geneontology.org/amigo/term/GO:1900150","GO:1900150")</f>
        <v>GO:1900150</v>
      </c>
      <c r="B62" t="s">
        <v>762</v>
      </c>
      <c r="C62" s="1">
        <v>1.587E-6</v>
      </c>
      <c r="D62" s="1">
        <v>1.8470000000000001E-6</v>
      </c>
      <c r="E62">
        <v>40</v>
      </c>
      <c r="F62" t="s">
        <v>2137</v>
      </c>
      <c r="G62" t="s">
        <v>2138</v>
      </c>
    </row>
    <row r="63" spans="1:7" x14ac:dyDescent="0.25">
      <c r="A63" s="16" t="str">
        <f>HYPERLINK("http://amigo.geneontology.org/amigo/term/GO:0010565","GO:0010565")</f>
        <v>GO:0010565</v>
      </c>
      <c r="B63" t="s">
        <v>763</v>
      </c>
      <c r="C63" s="1">
        <v>1.587E-6</v>
      </c>
      <c r="D63" s="1">
        <v>1.8470000000000001E-6</v>
      </c>
      <c r="E63">
        <v>40</v>
      </c>
      <c r="F63" t="s">
        <v>2137</v>
      </c>
      <c r="G63" t="s">
        <v>2100</v>
      </c>
    </row>
    <row r="64" spans="1:7" x14ac:dyDescent="0.25">
      <c r="A64" s="16" t="str">
        <f>HYPERLINK("http://amigo.geneontology.org/amigo/term/GO:1901700","GO:1901700")</f>
        <v>GO:1901700</v>
      </c>
      <c r="B64" t="s">
        <v>183</v>
      </c>
      <c r="C64" s="1">
        <v>2.9009999999999998E-6</v>
      </c>
      <c r="D64" s="1">
        <v>3.3759999999999999E-6</v>
      </c>
      <c r="E64">
        <v>819</v>
      </c>
      <c r="F64" t="s">
        <v>2136</v>
      </c>
      <c r="G64" t="s">
        <v>2135</v>
      </c>
    </row>
    <row r="65" spans="1:7" x14ac:dyDescent="0.25">
      <c r="A65" s="16" t="str">
        <f>HYPERLINK("http://amigo.geneontology.org/amigo/term/GO:0009620","GO:0009620")</f>
        <v>GO:0009620</v>
      </c>
      <c r="B65" t="s">
        <v>764</v>
      </c>
      <c r="C65" s="1">
        <v>3.1E-6</v>
      </c>
      <c r="D65" s="1">
        <v>3.6069999999999999E-6</v>
      </c>
      <c r="E65">
        <v>127</v>
      </c>
      <c r="F65" t="s">
        <v>2134</v>
      </c>
      <c r="G65" t="s">
        <v>2133</v>
      </c>
    </row>
    <row r="66" spans="1:7" x14ac:dyDescent="0.25">
      <c r="A66" s="16" t="str">
        <f>HYPERLINK("http://amigo.geneontology.org/amigo/term/GO:0023051","GO:0023051")</f>
        <v>GO:0023051</v>
      </c>
      <c r="B66" t="s">
        <v>765</v>
      </c>
      <c r="C66" s="1">
        <v>3.642E-6</v>
      </c>
      <c r="D66" s="1">
        <v>4.2370000000000003E-6</v>
      </c>
      <c r="E66">
        <v>192</v>
      </c>
      <c r="F66" t="s">
        <v>2132</v>
      </c>
      <c r="G66" t="s">
        <v>2126</v>
      </c>
    </row>
    <row r="67" spans="1:7" x14ac:dyDescent="0.25">
      <c r="A67" s="16" t="str">
        <f>HYPERLINK("http://amigo.geneontology.org/amigo/term/GO:0009966","GO:0009966")</f>
        <v>GO:0009966</v>
      </c>
      <c r="B67" t="s">
        <v>766</v>
      </c>
      <c r="C67" s="1">
        <v>3.642E-6</v>
      </c>
      <c r="D67" s="1">
        <v>4.2370000000000003E-6</v>
      </c>
      <c r="E67">
        <v>192</v>
      </c>
      <c r="F67" t="s">
        <v>2132</v>
      </c>
      <c r="G67" t="s">
        <v>2126</v>
      </c>
    </row>
    <row r="68" spans="1:7" x14ac:dyDescent="0.25">
      <c r="A68" s="16" t="str">
        <f>HYPERLINK("http://amigo.geneontology.org/amigo/term/GO:0010243","GO:0010243")</f>
        <v>GO:0010243</v>
      </c>
      <c r="B68" t="s">
        <v>767</v>
      </c>
      <c r="C68" s="1">
        <v>4.4279999999999998E-6</v>
      </c>
      <c r="D68" s="1">
        <v>5.1499999999999998E-6</v>
      </c>
      <c r="E68">
        <v>60</v>
      </c>
      <c r="F68" t="s">
        <v>2131</v>
      </c>
      <c r="G68" t="s">
        <v>2130</v>
      </c>
    </row>
    <row r="69" spans="1:7" x14ac:dyDescent="0.25">
      <c r="A69" s="16" t="str">
        <f>HYPERLINK("http://amigo.geneontology.org/amigo/term/GO:0120254","GO:0120254")</f>
        <v>GO:0120254</v>
      </c>
      <c r="B69" t="s">
        <v>768</v>
      </c>
      <c r="C69" s="1">
        <v>4.8160000000000001E-6</v>
      </c>
      <c r="D69" s="1">
        <v>5.5990000000000001E-6</v>
      </c>
      <c r="E69">
        <v>46</v>
      </c>
      <c r="F69" t="s">
        <v>2129</v>
      </c>
      <c r="G69" t="s">
        <v>2128</v>
      </c>
    </row>
    <row r="70" spans="1:7" x14ac:dyDescent="0.25">
      <c r="A70" s="16" t="str">
        <f>HYPERLINK("http://amigo.geneontology.org/amigo/term/GO:0010646","GO:0010646")</f>
        <v>GO:0010646</v>
      </c>
      <c r="B70" t="s">
        <v>769</v>
      </c>
      <c r="C70" s="1">
        <v>5.0679999999999996E-6</v>
      </c>
      <c r="D70" s="1">
        <v>5.891E-6</v>
      </c>
      <c r="E70">
        <v>197</v>
      </c>
      <c r="F70" t="s">
        <v>2127</v>
      </c>
      <c r="G70" t="s">
        <v>2126</v>
      </c>
    </row>
    <row r="71" spans="1:7" x14ac:dyDescent="0.25">
      <c r="A71" s="16" t="str">
        <f>HYPERLINK("http://amigo.geneontology.org/amigo/term/GO:0009411","GO:0009411")</f>
        <v>GO:0009411</v>
      </c>
      <c r="B71" t="s">
        <v>770</v>
      </c>
      <c r="C71" s="1">
        <v>5.852E-6</v>
      </c>
      <c r="D71" s="1">
        <v>6.8009999999999998E-6</v>
      </c>
      <c r="E71">
        <v>62</v>
      </c>
      <c r="F71" t="s">
        <v>2125</v>
      </c>
      <c r="G71" t="s">
        <v>2124</v>
      </c>
    </row>
    <row r="72" spans="1:7" x14ac:dyDescent="0.25">
      <c r="A72" s="16" t="str">
        <f>HYPERLINK("http://amigo.geneontology.org/amigo/term/GO:0044706","GO:0044706")</f>
        <v>GO:0044706</v>
      </c>
      <c r="B72" t="s">
        <v>771</v>
      </c>
      <c r="C72" s="1">
        <v>6.7549999999999997E-6</v>
      </c>
      <c r="D72" s="1">
        <v>7.8480000000000001E-6</v>
      </c>
      <c r="E72">
        <v>516</v>
      </c>
      <c r="F72" t="s">
        <v>2123</v>
      </c>
      <c r="G72" t="s">
        <v>2122</v>
      </c>
    </row>
    <row r="73" spans="1:7" x14ac:dyDescent="0.25">
      <c r="A73" s="16" t="str">
        <f>HYPERLINK("http://amigo.geneontology.org/amigo/term/GO:0009856","GO:0009856")</f>
        <v>GO:0009856</v>
      </c>
      <c r="B73" t="s">
        <v>772</v>
      </c>
      <c r="C73" s="1">
        <v>6.7549999999999997E-6</v>
      </c>
      <c r="D73" s="1">
        <v>7.8480000000000001E-6</v>
      </c>
      <c r="E73">
        <v>516</v>
      </c>
      <c r="F73" t="s">
        <v>2123</v>
      </c>
      <c r="G73" t="s">
        <v>2122</v>
      </c>
    </row>
    <row r="74" spans="1:7" x14ac:dyDescent="0.25">
      <c r="A74" s="16" t="str">
        <f>HYPERLINK("http://amigo.geneontology.org/amigo/term/GO:1901701","GO:1901701")</f>
        <v>GO:1901701</v>
      </c>
      <c r="B74" t="s">
        <v>773</v>
      </c>
      <c r="C74" s="1">
        <v>6.8669999999999996E-6</v>
      </c>
      <c r="D74" s="1">
        <v>7.9759999999999995E-6</v>
      </c>
      <c r="E74">
        <v>249</v>
      </c>
      <c r="F74" t="s">
        <v>2121</v>
      </c>
      <c r="G74" t="s">
        <v>2120</v>
      </c>
    </row>
    <row r="75" spans="1:7" x14ac:dyDescent="0.25">
      <c r="A75" s="16" t="str">
        <f>HYPERLINK("http://amigo.geneontology.org/amigo/term/GO:0010310","GO:0010310")</f>
        <v>GO:0010310</v>
      </c>
      <c r="B75" t="s">
        <v>774</v>
      </c>
      <c r="C75" s="1">
        <v>6.9800000000000001E-6</v>
      </c>
      <c r="D75" s="1">
        <v>8.1049999999999995E-6</v>
      </c>
      <c r="E75">
        <v>14</v>
      </c>
      <c r="F75" t="s">
        <v>2119</v>
      </c>
      <c r="G75" t="s">
        <v>2071</v>
      </c>
    </row>
    <row r="76" spans="1:7" x14ac:dyDescent="0.25">
      <c r="A76" s="16" t="str">
        <f>HYPERLINK("http://amigo.geneontology.org/amigo/term/GO:0010262","GO:0010262")</f>
        <v>GO:0010262</v>
      </c>
      <c r="B76" t="s">
        <v>775</v>
      </c>
      <c r="C76" s="1">
        <v>9.2790000000000004E-6</v>
      </c>
      <c r="D76" s="1">
        <v>1.077E-5</v>
      </c>
      <c r="E76">
        <v>3</v>
      </c>
      <c r="F76" t="s">
        <v>2118</v>
      </c>
      <c r="G76" t="s">
        <v>2060</v>
      </c>
    </row>
    <row r="77" spans="1:7" x14ac:dyDescent="0.25">
      <c r="A77" s="16" t="str">
        <f>HYPERLINK("http://amigo.geneontology.org/amigo/term/GO:0045041","GO:0045041")</f>
        <v>GO:0045041</v>
      </c>
      <c r="B77" t="s">
        <v>776</v>
      </c>
      <c r="C77" s="1">
        <v>9.2790000000000004E-6</v>
      </c>
      <c r="D77" s="1">
        <v>1.077E-5</v>
      </c>
      <c r="E77">
        <v>3</v>
      </c>
      <c r="F77" t="s">
        <v>2118</v>
      </c>
      <c r="G77" t="s">
        <v>1861</v>
      </c>
    </row>
    <row r="78" spans="1:7" x14ac:dyDescent="0.25">
      <c r="A78" s="16" t="str">
        <f>HYPERLINK("http://amigo.geneontology.org/amigo/term/GO:0010618","GO:0010618")</f>
        <v>GO:0010618</v>
      </c>
      <c r="B78" t="s">
        <v>777</v>
      </c>
      <c r="C78" s="1">
        <v>9.2790000000000004E-6</v>
      </c>
      <c r="D78" s="1">
        <v>1.077E-5</v>
      </c>
      <c r="E78">
        <v>3</v>
      </c>
      <c r="F78" t="s">
        <v>2118</v>
      </c>
      <c r="G78" t="s">
        <v>1998</v>
      </c>
    </row>
    <row r="79" spans="1:7" x14ac:dyDescent="0.25">
      <c r="A79" s="16" t="str">
        <f>HYPERLINK("http://amigo.geneontology.org/amigo/term/GO:0050829","GO:0050829")</f>
        <v>GO:0050829</v>
      </c>
      <c r="B79" t="s">
        <v>778</v>
      </c>
      <c r="C79" s="1">
        <v>9.2790000000000004E-6</v>
      </c>
      <c r="D79" s="1">
        <v>1.077E-5</v>
      </c>
      <c r="E79">
        <v>3</v>
      </c>
      <c r="F79" t="s">
        <v>2118</v>
      </c>
      <c r="G79" t="s">
        <v>1998</v>
      </c>
    </row>
    <row r="80" spans="1:7" x14ac:dyDescent="0.25">
      <c r="A80" s="16" t="str">
        <f>HYPERLINK("http://amigo.geneontology.org/amigo/term/GO:0060866","GO:0060866")</f>
        <v>GO:0060866</v>
      </c>
      <c r="B80" t="s">
        <v>779</v>
      </c>
      <c r="C80" s="1">
        <v>9.2790000000000004E-6</v>
      </c>
      <c r="D80" s="1">
        <v>1.077E-5</v>
      </c>
      <c r="E80">
        <v>3</v>
      </c>
      <c r="F80" t="s">
        <v>2118</v>
      </c>
      <c r="G80" t="s">
        <v>1998</v>
      </c>
    </row>
    <row r="81" spans="1:7" x14ac:dyDescent="0.25">
      <c r="A81" s="16" t="str">
        <f>HYPERLINK("http://amigo.geneontology.org/amigo/term/GO:0071327","GO:0071327")</f>
        <v>GO:0071327</v>
      </c>
      <c r="B81" t="s">
        <v>780</v>
      </c>
      <c r="C81" s="1">
        <v>9.2790000000000004E-6</v>
      </c>
      <c r="D81" s="1">
        <v>1.077E-5</v>
      </c>
      <c r="E81">
        <v>3</v>
      </c>
      <c r="F81" t="s">
        <v>2118</v>
      </c>
      <c r="G81" t="s">
        <v>1998</v>
      </c>
    </row>
    <row r="82" spans="1:7" x14ac:dyDescent="0.25">
      <c r="A82" s="16" t="str">
        <f>HYPERLINK("http://amigo.geneontology.org/amigo/term/GO:0080151","GO:0080151")</f>
        <v>GO:0080151</v>
      </c>
      <c r="B82" t="s">
        <v>781</v>
      </c>
      <c r="C82" s="1">
        <v>9.2790000000000004E-6</v>
      </c>
      <c r="D82" s="1">
        <v>1.077E-5</v>
      </c>
      <c r="E82">
        <v>3</v>
      </c>
      <c r="F82" t="s">
        <v>2118</v>
      </c>
      <c r="G82" t="s">
        <v>1998</v>
      </c>
    </row>
    <row r="83" spans="1:7" x14ac:dyDescent="0.25">
      <c r="A83" s="16" t="str">
        <f>HYPERLINK("http://amigo.geneontology.org/amigo/term/GO:0052318","GO:0052318")</f>
        <v>GO:0052318</v>
      </c>
      <c r="B83" t="s">
        <v>782</v>
      </c>
      <c r="C83" s="1">
        <v>9.2790000000000004E-6</v>
      </c>
      <c r="D83" s="1">
        <v>1.077E-5</v>
      </c>
      <c r="E83">
        <v>3</v>
      </c>
      <c r="F83" t="s">
        <v>2118</v>
      </c>
      <c r="G83" t="s">
        <v>1998</v>
      </c>
    </row>
    <row r="84" spans="1:7" x14ac:dyDescent="0.25">
      <c r="A84" s="16" t="str">
        <f>HYPERLINK("http://amigo.geneontology.org/amigo/term/GO:0052319","GO:0052319")</f>
        <v>GO:0052319</v>
      </c>
      <c r="B84" t="s">
        <v>783</v>
      </c>
      <c r="C84" s="1">
        <v>9.2790000000000004E-6</v>
      </c>
      <c r="D84" s="1">
        <v>1.077E-5</v>
      </c>
      <c r="E84">
        <v>3</v>
      </c>
      <c r="F84" t="s">
        <v>2118</v>
      </c>
      <c r="G84" t="s">
        <v>1998</v>
      </c>
    </row>
    <row r="85" spans="1:7" x14ac:dyDescent="0.25">
      <c r="A85" s="16" t="str">
        <f>HYPERLINK("http://amigo.geneontology.org/amigo/term/GO:0052320","GO:0052320")</f>
        <v>GO:0052320</v>
      </c>
      <c r="B85" t="s">
        <v>784</v>
      </c>
      <c r="C85" s="1">
        <v>9.2790000000000004E-6</v>
      </c>
      <c r="D85" s="1">
        <v>1.077E-5</v>
      </c>
      <c r="E85">
        <v>3</v>
      </c>
      <c r="F85" t="s">
        <v>2118</v>
      </c>
      <c r="G85" t="s">
        <v>1998</v>
      </c>
    </row>
    <row r="86" spans="1:7" x14ac:dyDescent="0.25">
      <c r="A86" s="16" t="str">
        <f>HYPERLINK("http://amigo.geneontology.org/amigo/term/GO:1900378","GO:1900378")</f>
        <v>GO:1900378</v>
      </c>
      <c r="B86" t="s">
        <v>785</v>
      </c>
      <c r="C86" s="1">
        <v>9.2790000000000004E-6</v>
      </c>
      <c r="D86" s="1">
        <v>1.077E-5</v>
      </c>
      <c r="E86">
        <v>3</v>
      </c>
      <c r="F86" t="s">
        <v>2118</v>
      </c>
      <c r="G86" t="s">
        <v>1998</v>
      </c>
    </row>
    <row r="87" spans="1:7" x14ac:dyDescent="0.25">
      <c r="A87" s="16" t="str">
        <f>HYPERLINK("http://amigo.geneontology.org/amigo/term/GO:0052322","GO:0052322")</f>
        <v>GO:0052322</v>
      </c>
      <c r="B87" t="s">
        <v>786</v>
      </c>
      <c r="C87" s="1">
        <v>9.2790000000000004E-6</v>
      </c>
      <c r="D87" s="1">
        <v>1.077E-5</v>
      </c>
      <c r="E87">
        <v>3</v>
      </c>
      <c r="F87" t="s">
        <v>2118</v>
      </c>
      <c r="G87" t="s">
        <v>1998</v>
      </c>
    </row>
    <row r="88" spans="1:7" x14ac:dyDescent="0.25">
      <c r="A88" s="16" t="str">
        <f>HYPERLINK("http://amigo.geneontology.org/amigo/term/GO:1901182","GO:1901182")</f>
        <v>GO:1901182</v>
      </c>
      <c r="B88" t="s">
        <v>787</v>
      </c>
      <c r="C88" s="1">
        <v>9.2790000000000004E-6</v>
      </c>
      <c r="D88" s="1">
        <v>1.077E-5</v>
      </c>
      <c r="E88">
        <v>3</v>
      </c>
      <c r="F88" t="s">
        <v>2118</v>
      </c>
      <c r="G88" t="s">
        <v>1998</v>
      </c>
    </row>
    <row r="89" spans="1:7" x14ac:dyDescent="0.25">
      <c r="A89" s="16" t="str">
        <f>HYPERLINK("http://amigo.geneontology.org/amigo/term/GO:1901183","GO:1901183")</f>
        <v>GO:1901183</v>
      </c>
      <c r="B89" t="s">
        <v>788</v>
      </c>
      <c r="C89" s="1">
        <v>9.2790000000000004E-6</v>
      </c>
      <c r="D89" s="1">
        <v>1.077E-5</v>
      </c>
      <c r="E89">
        <v>3</v>
      </c>
      <c r="F89" t="s">
        <v>2118</v>
      </c>
      <c r="G89" t="s">
        <v>1998</v>
      </c>
    </row>
    <row r="90" spans="1:7" x14ac:dyDescent="0.25">
      <c r="A90" s="16" t="str">
        <f>HYPERLINK("http://amigo.geneontology.org/amigo/term/GO:0008037","GO:0008037")</f>
        <v>GO:0008037</v>
      </c>
      <c r="B90" t="s">
        <v>789</v>
      </c>
      <c r="C90" s="1">
        <v>9.8609999999999993E-6</v>
      </c>
      <c r="D90" s="1">
        <v>1.145E-5</v>
      </c>
      <c r="E90">
        <v>441</v>
      </c>
      <c r="F90" t="s">
        <v>2117</v>
      </c>
      <c r="G90" t="s">
        <v>2111</v>
      </c>
    </row>
    <row r="91" spans="1:7" x14ac:dyDescent="0.25">
      <c r="A91" s="16" t="str">
        <f>HYPERLINK("http://amigo.geneontology.org/amigo/term/GO:0048544","GO:0048544")</f>
        <v>GO:0048544</v>
      </c>
      <c r="B91" t="s">
        <v>790</v>
      </c>
      <c r="C91" s="1">
        <v>9.8609999999999993E-6</v>
      </c>
      <c r="D91" s="1">
        <v>1.145E-5</v>
      </c>
      <c r="E91">
        <v>441</v>
      </c>
      <c r="F91" t="s">
        <v>2117</v>
      </c>
      <c r="G91" t="s">
        <v>2111</v>
      </c>
    </row>
    <row r="92" spans="1:7" x14ac:dyDescent="0.25">
      <c r="A92" s="16" t="str">
        <f>HYPERLINK("http://amigo.geneontology.org/amigo/term/GO:0007154","GO:0007154")</f>
        <v>GO:0007154</v>
      </c>
      <c r="B92" t="s">
        <v>791</v>
      </c>
      <c r="C92" s="1">
        <v>1.102E-5</v>
      </c>
      <c r="D92" s="1">
        <v>1.279E-5</v>
      </c>
      <c r="E92">
        <v>1826</v>
      </c>
      <c r="F92" t="s">
        <v>2116</v>
      </c>
      <c r="G92" t="s">
        <v>2115</v>
      </c>
    </row>
    <row r="93" spans="1:7" x14ac:dyDescent="0.25">
      <c r="A93" s="16" t="str">
        <f>HYPERLINK("http://amigo.geneontology.org/amigo/term/GO:0010033","GO:0010033")</f>
        <v>GO:0010033</v>
      </c>
      <c r="B93" t="s">
        <v>792</v>
      </c>
      <c r="C93" s="1">
        <v>1.234E-5</v>
      </c>
      <c r="D93" s="1">
        <v>1.432E-5</v>
      </c>
      <c r="E93">
        <v>1169</v>
      </c>
      <c r="F93" t="s">
        <v>2114</v>
      </c>
      <c r="G93" t="s">
        <v>2113</v>
      </c>
    </row>
    <row r="94" spans="1:7" x14ac:dyDescent="0.25">
      <c r="A94" s="16" t="str">
        <f>HYPERLINK("http://amigo.geneontology.org/amigo/term/GO:0009875","GO:0009875")</f>
        <v>GO:0009875</v>
      </c>
      <c r="B94" t="s">
        <v>793</v>
      </c>
      <c r="C94" s="1">
        <v>1.3349999999999999E-5</v>
      </c>
      <c r="D94" s="1">
        <v>1.5489999999999999E-5</v>
      </c>
      <c r="E94">
        <v>449</v>
      </c>
      <c r="F94" t="s">
        <v>2112</v>
      </c>
      <c r="G94" t="s">
        <v>2111</v>
      </c>
    </row>
    <row r="95" spans="1:7" x14ac:dyDescent="0.25">
      <c r="A95" s="16" t="str">
        <f>HYPERLINK("http://amigo.geneontology.org/amigo/term/GO:0006810","GO:0006810")</f>
        <v>GO:0006810</v>
      </c>
      <c r="B95" t="s">
        <v>794</v>
      </c>
      <c r="C95" s="1">
        <v>1.825E-5</v>
      </c>
      <c r="D95" s="1">
        <v>2.1160000000000001E-5</v>
      </c>
      <c r="E95">
        <v>5601</v>
      </c>
      <c r="F95" t="s">
        <v>2110</v>
      </c>
      <c r="G95" t="s">
        <v>2098</v>
      </c>
    </row>
    <row r="96" spans="1:7" x14ac:dyDescent="0.25">
      <c r="A96" s="16" t="str">
        <f>HYPERLINK("http://amigo.geneontology.org/amigo/term/GO:0050789","GO:0050789")</f>
        <v>GO:0050789</v>
      </c>
      <c r="B96" t="s">
        <v>795</v>
      </c>
      <c r="C96" s="1">
        <v>1.8729999999999999E-5</v>
      </c>
      <c r="D96" s="1">
        <v>2.1719999999999999E-5</v>
      </c>
      <c r="E96">
        <v>7510</v>
      </c>
      <c r="F96" t="s">
        <v>2109</v>
      </c>
      <c r="G96" t="s">
        <v>2108</v>
      </c>
    </row>
    <row r="97" spans="1:7" x14ac:dyDescent="0.25">
      <c r="A97" s="16" t="str">
        <f>HYPERLINK("http://amigo.geneontology.org/amigo/term/GO:0010648","GO:0010648")</f>
        <v>GO:0010648</v>
      </c>
      <c r="B97" t="s">
        <v>796</v>
      </c>
      <c r="C97" s="1">
        <v>1.9009999999999999E-5</v>
      </c>
      <c r="D97" s="1">
        <v>2.2030000000000001E-5</v>
      </c>
      <c r="E97">
        <v>55</v>
      </c>
      <c r="F97" t="s">
        <v>2107</v>
      </c>
      <c r="G97" t="s">
        <v>2106</v>
      </c>
    </row>
    <row r="98" spans="1:7" x14ac:dyDescent="0.25">
      <c r="A98" s="16" t="str">
        <f>HYPERLINK("http://amigo.geneontology.org/amigo/term/GO:0023057","GO:0023057")</f>
        <v>GO:0023057</v>
      </c>
      <c r="B98" t="s">
        <v>797</v>
      </c>
      <c r="C98" s="1">
        <v>1.9009999999999999E-5</v>
      </c>
      <c r="D98" s="1">
        <v>2.2030000000000001E-5</v>
      </c>
      <c r="E98">
        <v>55</v>
      </c>
      <c r="F98" t="s">
        <v>2107</v>
      </c>
      <c r="G98" t="s">
        <v>2106</v>
      </c>
    </row>
    <row r="99" spans="1:7" x14ac:dyDescent="0.25">
      <c r="A99" s="16" t="str">
        <f>HYPERLINK("http://amigo.geneontology.org/amigo/term/GO:0009968","GO:0009968")</f>
        <v>GO:0009968</v>
      </c>
      <c r="B99" t="s">
        <v>798</v>
      </c>
      <c r="C99" s="1">
        <v>1.9009999999999999E-5</v>
      </c>
      <c r="D99" s="1">
        <v>2.2030000000000001E-5</v>
      </c>
      <c r="E99">
        <v>55</v>
      </c>
      <c r="F99" t="s">
        <v>2107</v>
      </c>
      <c r="G99" t="s">
        <v>2106</v>
      </c>
    </row>
    <row r="100" spans="1:7" x14ac:dyDescent="0.25">
      <c r="A100" s="16" t="str">
        <f>HYPERLINK("http://amigo.geneontology.org/amigo/term/GO:0006812","GO:0006812")</f>
        <v>GO:0006812</v>
      </c>
      <c r="B100" t="s">
        <v>799</v>
      </c>
      <c r="C100" s="1">
        <v>1.9700000000000001E-5</v>
      </c>
      <c r="D100" s="1">
        <v>2.283E-5</v>
      </c>
      <c r="E100">
        <v>1225</v>
      </c>
      <c r="F100" t="s">
        <v>2105</v>
      </c>
      <c r="G100" t="s">
        <v>2104</v>
      </c>
    </row>
    <row r="101" spans="1:7" x14ac:dyDescent="0.25">
      <c r="A101" s="16" t="str">
        <f>HYPERLINK("http://amigo.geneontology.org/amigo/term/GO:0009838","GO:0009838")</f>
        <v>GO:0009838</v>
      </c>
      <c r="B101" t="s">
        <v>800</v>
      </c>
      <c r="C101" s="1">
        <v>2.2549999999999999E-5</v>
      </c>
      <c r="D101" s="1">
        <v>2.6120000000000001E-5</v>
      </c>
      <c r="E101">
        <v>9</v>
      </c>
      <c r="F101" t="s">
        <v>2102</v>
      </c>
      <c r="G101" t="s">
        <v>2103</v>
      </c>
    </row>
    <row r="102" spans="1:7" x14ac:dyDescent="0.25">
      <c r="A102" s="16" t="str">
        <f>HYPERLINK("http://amigo.geneontology.org/amigo/term/GO:0009938","GO:0009938")</f>
        <v>GO:0009938</v>
      </c>
      <c r="B102" t="s">
        <v>801</v>
      </c>
      <c r="C102" s="1">
        <v>2.2549999999999999E-5</v>
      </c>
      <c r="D102" s="1">
        <v>2.6120000000000001E-5</v>
      </c>
      <c r="E102">
        <v>9</v>
      </c>
      <c r="F102" t="s">
        <v>2102</v>
      </c>
      <c r="G102" t="s">
        <v>1944</v>
      </c>
    </row>
    <row r="103" spans="1:7" x14ac:dyDescent="0.25">
      <c r="A103" s="16" t="str">
        <f>HYPERLINK("http://amigo.geneontology.org/amigo/term/GO:0062012","GO:0062012")</f>
        <v>GO:0062012</v>
      </c>
      <c r="B103" t="s">
        <v>802</v>
      </c>
      <c r="C103" s="1">
        <v>2.4859999999999999E-5</v>
      </c>
      <c r="D103" s="1">
        <v>2.879E-5</v>
      </c>
      <c r="E103">
        <v>57</v>
      </c>
      <c r="F103" t="s">
        <v>2101</v>
      </c>
      <c r="G103" t="s">
        <v>2100</v>
      </c>
    </row>
    <row r="104" spans="1:7" x14ac:dyDescent="0.25">
      <c r="A104" s="16" t="str">
        <f>HYPERLINK("http://amigo.geneontology.org/amigo/term/GO:0051234","GO:0051234")</f>
        <v>GO:0051234</v>
      </c>
      <c r="B104" t="s">
        <v>803</v>
      </c>
      <c r="C104" s="1">
        <v>2.499E-5</v>
      </c>
      <c r="D104" s="1">
        <v>2.8940000000000001E-5</v>
      </c>
      <c r="E104">
        <v>5635</v>
      </c>
      <c r="F104" t="s">
        <v>2099</v>
      </c>
      <c r="G104" t="s">
        <v>2098</v>
      </c>
    </row>
    <row r="105" spans="1:7" x14ac:dyDescent="0.25">
      <c r="A105" s="16" t="str">
        <f>HYPERLINK("http://amigo.geneontology.org/amigo/term/GO:0009627","GO:0009627")</f>
        <v>GO:0009627</v>
      </c>
      <c r="B105" t="s">
        <v>804</v>
      </c>
      <c r="C105" s="1">
        <v>3.2150000000000002E-5</v>
      </c>
      <c r="D105" s="1">
        <v>3.7209999999999998E-5</v>
      </c>
      <c r="E105">
        <v>59</v>
      </c>
      <c r="F105" t="s">
        <v>2097</v>
      </c>
      <c r="G105" t="s">
        <v>2096</v>
      </c>
    </row>
    <row r="106" spans="1:7" x14ac:dyDescent="0.25">
      <c r="A106" s="16" t="str">
        <f>HYPERLINK("http://amigo.geneontology.org/amigo/term/GO:0051176","GO:0051176")</f>
        <v>GO:0051176</v>
      </c>
      <c r="B106" t="s">
        <v>805</v>
      </c>
      <c r="C106" s="1">
        <v>3.6529999999999998E-5</v>
      </c>
      <c r="D106" s="1">
        <v>4.2280000000000002E-5</v>
      </c>
      <c r="E106">
        <v>4</v>
      </c>
      <c r="F106" t="s">
        <v>2095</v>
      </c>
      <c r="G106" t="s">
        <v>1998</v>
      </c>
    </row>
    <row r="107" spans="1:7" x14ac:dyDescent="0.25">
      <c r="A107" s="16" t="str">
        <f>HYPERLINK("http://amigo.geneontology.org/amigo/term/GO:0044237","GO:0044237")</f>
        <v>GO:0044237</v>
      </c>
      <c r="B107" t="s">
        <v>806</v>
      </c>
      <c r="C107" s="1">
        <v>3.888E-5</v>
      </c>
      <c r="D107" s="1">
        <v>4.498E-5</v>
      </c>
      <c r="E107">
        <v>20463</v>
      </c>
      <c r="F107" t="s">
        <v>2094</v>
      </c>
      <c r="G107" t="s">
        <v>2093</v>
      </c>
    </row>
    <row r="108" spans="1:7" x14ac:dyDescent="0.25">
      <c r="A108" s="16" t="str">
        <f>HYPERLINK("http://amigo.geneontology.org/amigo/term/GO:0009753","GO:0009753")</f>
        <v>GO:0009753</v>
      </c>
      <c r="B108" t="s">
        <v>807</v>
      </c>
      <c r="C108" s="1">
        <v>4.1140000000000003E-5</v>
      </c>
      <c r="D108" s="1">
        <v>4.7580000000000002E-5</v>
      </c>
      <c r="E108">
        <v>61</v>
      </c>
      <c r="F108" t="s">
        <v>2092</v>
      </c>
      <c r="G108" t="s">
        <v>2090</v>
      </c>
    </row>
    <row r="109" spans="1:7" x14ac:dyDescent="0.25">
      <c r="A109" s="16" t="str">
        <f>HYPERLINK("http://amigo.geneontology.org/amigo/term/GO:0070542","GO:0070542")</f>
        <v>GO:0070542</v>
      </c>
      <c r="B109" t="s">
        <v>808</v>
      </c>
      <c r="C109" s="1">
        <v>4.6360000000000003E-5</v>
      </c>
      <c r="D109" s="1">
        <v>5.3619999999999998E-5</v>
      </c>
      <c r="E109">
        <v>62</v>
      </c>
      <c r="F109" t="s">
        <v>2091</v>
      </c>
      <c r="G109" t="s">
        <v>2090</v>
      </c>
    </row>
    <row r="110" spans="1:7" x14ac:dyDescent="0.25">
      <c r="A110" s="16" t="str">
        <f>HYPERLINK("http://amigo.geneontology.org/amigo/term/GO:0071577","GO:0071577")</f>
        <v>GO:0071577</v>
      </c>
      <c r="B110" t="s">
        <v>809</v>
      </c>
      <c r="C110" s="1">
        <v>4.6869999999999997E-5</v>
      </c>
      <c r="D110" s="1">
        <v>5.4190000000000001E-5</v>
      </c>
      <c r="E110">
        <v>46</v>
      </c>
      <c r="F110" t="s">
        <v>2089</v>
      </c>
      <c r="G110" t="s">
        <v>2082</v>
      </c>
    </row>
    <row r="111" spans="1:7" x14ac:dyDescent="0.25">
      <c r="A111" s="16" t="str">
        <f>HYPERLINK("http://amigo.geneontology.org/amigo/term/GO:0033993","GO:0033993")</f>
        <v>GO:0033993</v>
      </c>
      <c r="B111" t="s">
        <v>810</v>
      </c>
      <c r="C111" s="1">
        <v>4.9459999999999997E-5</v>
      </c>
      <c r="D111" s="1">
        <v>5.7170000000000003E-5</v>
      </c>
      <c r="E111">
        <v>399</v>
      </c>
      <c r="F111" t="s">
        <v>2088</v>
      </c>
      <c r="G111" t="s">
        <v>2087</v>
      </c>
    </row>
    <row r="112" spans="1:7" x14ac:dyDescent="0.25">
      <c r="A112" s="16" t="str">
        <f>HYPERLINK("http://amigo.geneontology.org/amigo/term/GO:0006355","GO:0006355")</f>
        <v>GO:0006355</v>
      </c>
      <c r="B112" t="s">
        <v>811</v>
      </c>
      <c r="C112" s="1">
        <v>5.0760000000000002E-5</v>
      </c>
      <c r="D112" s="1">
        <v>5.8659999999999997E-5</v>
      </c>
      <c r="E112">
        <v>4287</v>
      </c>
      <c r="F112" t="s">
        <v>2086</v>
      </c>
      <c r="G112" t="s">
        <v>2084</v>
      </c>
    </row>
    <row r="113" spans="1:7" x14ac:dyDescent="0.25">
      <c r="A113" s="16" t="str">
        <f>HYPERLINK("http://amigo.geneontology.org/amigo/term/GO:2001141","GO:2001141")</f>
        <v>GO:2001141</v>
      </c>
      <c r="B113" t="s">
        <v>812</v>
      </c>
      <c r="C113" s="1">
        <v>5.2320000000000001E-5</v>
      </c>
      <c r="D113" s="1">
        <v>6.0439999999999997E-5</v>
      </c>
      <c r="E113">
        <v>4290</v>
      </c>
      <c r="F113" t="s">
        <v>2085</v>
      </c>
      <c r="G113" t="s">
        <v>2084</v>
      </c>
    </row>
    <row r="114" spans="1:7" x14ac:dyDescent="0.25">
      <c r="A114" s="16" t="str">
        <f>HYPERLINK("http://amigo.geneontology.org/amigo/term/GO:1903506","GO:1903506")</f>
        <v>GO:1903506</v>
      </c>
      <c r="B114" t="s">
        <v>813</v>
      </c>
      <c r="C114" s="1">
        <v>5.2320000000000001E-5</v>
      </c>
      <c r="D114" s="1">
        <v>6.0439999999999997E-5</v>
      </c>
      <c r="E114">
        <v>4290</v>
      </c>
      <c r="F114" t="s">
        <v>2085</v>
      </c>
      <c r="G114" t="s">
        <v>2084</v>
      </c>
    </row>
    <row r="115" spans="1:7" x14ac:dyDescent="0.25">
      <c r="A115" s="16" t="str">
        <f>HYPERLINK("http://amigo.geneontology.org/amigo/term/GO:0006829","GO:0006829")</f>
        <v>GO:0006829</v>
      </c>
      <c r="B115" t="s">
        <v>814</v>
      </c>
      <c r="C115" s="1">
        <v>5.4070000000000002E-5</v>
      </c>
      <c r="D115" s="1">
        <v>6.2459999999999995E-5</v>
      </c>
      <c r="E115">
        <v>47</v>
      </c>
      <c r="F115" t="s">
        <v>2083</v>
      </c>
      <c r="G115" t="s">
        <v>2082</v>
      </c>
    </row>
    <row r="116" spans="1:7" x14ac:dyDescent="0.25">
      <c r="A116" s="16" t="str">
        <f>HYPERLINK("http://amigo.geneontology.org/amigo/term/GO:0002237","GO:0002237")</f>
        <v>GO:0002237</v>
      </c>
      <c r="B116" t="s">
        <v>815</v>
      </c>
      <c r="C116" s="1">
        <v>5.7099999999999999E-5</v>
      </c>
      <c r="D116" s="1">
        <v>6.5930000000000001E-5</v>
      </c>
      <c r="E116">
        <v>11</v>
      </c>
      <c r="F116" t="s">
        <v>2081</v>
      </c>
      <c r="G116" t="s">
        <v>2080</v>
      </c>
    </row>
    <row r="117" spans="1:7" x14ac:dyDescent="0.25">
      <c r="A117" s="16" t="str">
        <f>HYPERLINK("http://amigo.geneontology.org/amigo/term/GO:0051252","GO:0051252")</f>
        <v>GO:0051252</v>
      </c>
      <c r="B117" t="s">
        <v>816</v>
      </c>
      <c r="C117" s="1">
        <v>6.1589999999999998E-5</v>
      </c>
      <c r="D117" s="1">
        <v>7.1099999999999994E-5</v>
      </c>
      <c r="E117">
        <v>4387</v>
      </c>
      <c r="F117" t="s">
        <v>2079</v>
      </c>
      <c r="G117" t="s">
        <v>2073</v>
      </c>
    </row>
    <row r="118" spans="1:7" x14ac:dyDescent="0.25">
      <c r="A118" s="16" t="str">
        <f>HYPERLINK("http://amigo.geneontology.org/amigo/term/GO:0042762","GO:0042762")</f>
        <v>GO:0042762</v>
      </c>
      <c r="B118" t="s">
        <v>817</v>
      </c>
      <c r="C118" s="1">
        <v>6.2760000000000002E-5</v>
      </c>
      <c r="D118" s="1">
        <v>7.2440000000000004E-5</v>
      </c>
      <c r="E118">
        <v>21</v>
      </c>
      <c r="F118" t="s">
        <v>2078</v>
      </c>
      <c r="G118" t="s">
        <v>2071</v>
      </c>
    </row>
    <row r="119" spans="1:7" x14ac:dyDescent="0.25">
      <c r="A119" s="16" t="str">
        <f>HYPERLINK("http://amigo.geneontology.org/amigo/term/GO:0009937","GO:0009937")</f>
        <v>GO:0009937</v>
      </c>
      <c r="B119" t="s">
        <v>818</v>
      </c>
      <c r="C119" s="1">
        <v>7.9809999999999997E-5</v>
      </c>
      <c r="D119" s="1">
        <v>9.2100000000000003E-5</v>
      </c>
      <c r="E119">
        <v>22</v>
      </c>
      <c r="F119" t="s">
        <v>2077</v>
      </c>
      <c r="G119" t="s">
        <v>2076</v>
      </c>
    </row>
    <row r="120" spans="1:7" x14ac:dyDescent="0.25">
      <c r="A120" s="16" t="str">
        <f>HYPERLINK("http://amigo.geneontology.org/amigo/term/GO:0071216","GO:0071216")</f>
        <v>GO:0071216</v>
      </c>
      <c r="B120" t="s">
        <v>819</v>
      </c>
      <c r="C120" s="1">
        <v>8.9889999999999995E-5</v>
      </c>
      <c r="D120" s="1">
        <v>1.037E-4</v>
      </c>
      <c r="E120">
        <v>5</v>
      </c>
      <c r="F120" t="s">
        <v>97</v>
      </c>
      <c r="G120" t="s">
        <v>2075</v>
      </c>
    </row>
    <row r="121" spans="1:7" x14ac:dyDescent="0.25">
      <c r="A121" s="16" t="str">
        <f>HYPERLINK("http://amigo.geneontology.org/amigo/term/GO:0071219","GO:0071219")</f>
        <v>GO:0071219</v>
      </c>
      <c r="B121" t="s">
        <v>820</v>
      </c>
      <c r="C121" s="1">
        <v>8.9889999999999995E-5</v>
      </c>
      <c r="D121" s="1">
        <v>1.037E-4</v>
      </c>
      <c r="E121">
        <v>5</v>
      </c>
      <c r="F121" t="s">
        <v>97</v>
      </c>
      <c r="G121" t="s">
        <v>2075</v>
      </c>
    </row>
    <row r="122" spans="1:7" x14ac:dyDescent="0.25">
      <c r="A122" s="16" t="str">
        <f>HYPERLINK("http://amigo.geneontology.org/amigo/term/GO:0019219","GO:0019219")</f>
        <v>GO:0019219</v>
      </c>
      <c r="B122" t="s">
        <v>821</v>
      </c>
      <c r="C122" s="1">
        <v>9.6180000000000004E-5</v>
      </c>
      <c r="D122" s="1">
        <v>1.109E-4</v>
      </c>
      <c r="E122">
        <v>4433</v>
      </c>
      <c r="F122" t="s">
        <v>2074</v>
      </c>
      <c r="G122" t="s">
        <v>2073</v>
      </c>
    </row>
    <row r="123" spans="1:7" x14ac:dyDescent="0.25">
      <c r="A123" s="16" t="str">
        <f>HYPERLINK("http://amigo.geneontology.org/amigo/term/GO:0031326","GO:0031326")</f>
        <v>GO:0031326</v>
      </c>
      <c r="B123" t="s">
        <v>822</v>
      </c>
      <c r="C123" s="1">
        <v>9.925E-5</v>
      </c>
      <c r="D123" s="1">
        <v>1.144E-4</v>
      </c>
      <c r="E123">
        <v>4599</v>
      </c>
      <c r="F123" t="s">
        <v>2070</v>
      </c>
      <c r="G123" t="s">
        <v>2069</v>
      </c>
    </row>
    <row r="124" spans="1:7" x14ac:dyDescent="0.25">
      <c r="A124" s="16" t="str">
        <f>HYPERLINK("http://amigo.geneontology.org/amigo/term/GO:2000377","GO:2000377")</f>
        <v>GO:2000377</v>
      </c>
      <c r="B124" t="s">
        <v>823</v>
      </c>
      <c r="C124" s="1">
        <v>1.002E-4</v>
      </c>
      <c r="D124" s="1">
        <v>1.155E-4</v>
      </c>
      <c r="E124">
        <v>23</v>
      </c>
      <c r="F124" t="s">
        <v>2072</v>
      </c>
      <c r="G124" t="s">
        <v>2071</v>
      </c>
    </row>
    <row r="125" spans="1:7" x14ac:dyDescent="0.25">
      <c r="A125" s="16" t="str">
        <f>HYPERLINK("http://amigo.geneontology.org/amigo/term/GO:0009889","GO:0009889")</f>
        <v>GO:0009889</v>
      </c>
      <c r="B125" t="s">
        <v>824</v>
      </c>
      <c r="C125" s="1">
        <v>1.05E-4</v>
      </c>
      <c r="D125" s="1">
        <v>1.21E-4</v>
      </c>
      <c r="E125">
        <v>4605</v>
      </c>
      <c r="F125" t="s">
        <v>2070</v>
      </c>
      <c r="G125" t="s">
        <v>2069</v>
      </c>
    </row>
    <row r="126" spans="1:7" x14ac:dyDescent="0.25">
      <c r="A126" s="16" t="str">
        <f>HYPERLINK("http://amigo.geneontology.org/amigo/term/GO:0006811","GO:0006811")</f>
        <v>GO:0006811</v>
      </c>
      <c r="B126" t="s">
        <v>825</v>
      </c>
      <c r="C126" s="1">
        <v>1.0620000000000001E-4</v>
      </c>
      <c r="D126" s="1">
        <v>1.2229999999999999E-4</v>
      </c>
      <c r="E126">
        <v>1564</v>
      </c>
      <c r="F126" t="s">
        <v>2068</v>
      </c>
      <c r="G126" t="s">
        <v>2067</v>
      </c>
    </row>
    <row r="127" spans="1:7" x14ac:dyDescent="0.25">
      <c r="A127" s="16" t="str">
        <f>HYPERLINK("http://amigo.geneontology.org/amigo/term/GO:0010224","GO:0010224")</f>
        <v>GO:0010224</v>
      </c>
      <c r="B127" t="s">
        <v>826</v>
      </c>
      <c r="C127" s="1">
        <v>1.139E-4</v>
      </c>
      <c r="D127" s="1">
        <v>1.3119999999999999E-4</v>
      </c>
      <c r="E127">
        <v>37</v>
      </c>
      <c r="F127" t="s">
        <v>79</v>
      </c>
      <c r="G127" t="s">
        <v>2066</v>
      </c>
    </row>
    <row r="128" spans="1:7" x14ac:dyDescent="0.25">
      <c r="A128" s="16" t="str">
        <f>HYPERLINK("http://amigo.geneontology.org/amigo/term/GO:0048585","GO:0048585")</f>
        <v>GO:0048585</v>
      </c>
      <c r="B128" t="s">
        <v>827</v>
      </c>
      <c r="C128" s="1">
        <v>1.5469999999999999E-4</v>
      </c>
      <c r="D128" s="1">
        <v>1.7819999999999999E-4</v>
      </c>
      <c r="E128">
        <v>114</v>
      </c>
      <c r="F128" t="s">
        <v>2065</v>
      </c>
      <c r="G128" t="s">
        <v>2064</v>
      </c>
    </row>
    <row r="129" spans="1:7" x14ac:dyDescent="0.25">
      <c r="A129" s="16" t="str">
        <f>HYPERLINK("http://amigo.geneontology.org/amigo/term/GO:0050832","GO:0050832")</f>
        <v>GO:0050832</v>
      </c>
      <c r="B129" t="s">
        <v>828</v>
      </c>
      <c r="C129" s="1">
        <v>1.663E-4</v>
      </c>
      <c r="D129" s="1">
        <v>1.9149999999999999E-4</v>
      </c>
      <c r="E129">
        <v>115</v>
      </c>
      <c r="F129" t="s">
        <v>2063</v>
      </c>
      <c r="G129" t="s">
        <v>2062</v>
      </c>
    </row>
    <row r="130" spans="1:7" x14ac:dyDescent="0.25">
      <c r="A130" s="16" t="str">
        <f>HYPERLINK("http://amigo.geneontology.org/amigo/term/GO:0044550","GO:0044550")</f>
        <v>GO:0044550</v>
      </c>
      <c r="B130" t="s">
        <v>709</v>
      </c>
      <c r="C130" s="1">
        <v>1.685E-4</v>
      </c>
      <c r="D130" s="1">
        <v>1.94E-4</v>
      </c>
      <c r="E130">
        <v>94</v>
      </c>
      <c r="F130" t="s">
        <v>2061</v>
      </c>
      <c r="G130" t="s">
        <v>1914</v>
      </c>
    </row>
    <row r="131" spans="1:7" x14ac:dyDescent="0.25">
      <c r="A131" s="16" t="str">
        <f>HYPERLINK("http://amigo.geneontology.org/amigo/term/GO:0031099","GO:0031099")</f>
        <v>GO:0031099</v>
      </c>
      <c r="B131" t="s">
        <v>829</v>
      </c>
      <c r="C131" s="1">
        <v>1.7699999999999999E-4</v>
      </c>
      <c r="D131" s="1">
        <v>2.0359999999999999E-4</v>
      </c>
      <c r="E131">
        <v>6</v>
      </c>
      <c r="F131" t="s">
        <v>2059</v>
      </c>
      <c r="G131" t="s">
        <v>2060</v>
      </c>
    </row>
    <row r="132" spans="1:7" x14ac:dyDescent="0.25">
      <c r="A132" s="16" t="str">
        <f>HYPERLINK("http://amigo.geneontology.org/amigo/term/GO:0009404","GO:0009404")</f>
        <v>GO:0009404</v>
      </c>
      <c r="B132" t="s">
        <v>830</v>
      </c>
      <c r="C132" s="1">
        <v>1.7699999999999999E-4</v>
      </c>
      <c r="D132" s="1">
        <v>2.0359999999999999E-4</v>
      </c>
      <c r="E132">
        <v>6</v>
      </c>
      <c r="F132" t="s">
        <v>2059</v>
      </c>
      <c r="G132" t="s">
        <v>1876</v>
      </c>
    </row>
    <row r="133" spans="1:7" x14ac:dyDescent="0.25">
      <c r="A133" s="16" t="str">
        <f>HYPERLINK("http://amigo.geneontology.org/amigo/term/GO:0052314","GO:0052314")</f>
        <v>GO:0052314</v>
      </c>
      <c r="B133" t="s">
        <v>831</v>
      </c>
      <c r="C133" s="1">
        <v>1.7699999999999999E-4</v>
      </c>
      <c r="D133" s="1">
        <v>2.0359999999999999E-4</v>
      </c>
      <c r="E133">
        <v>6</v>
      </c>
      <c r="F133" t="s">
        <v>2059</v>
      </c>
      <c r="G133" t="s">
        <v>1876</v>
      </c>
    </row>
    <row r="134" spans="1:7" x14ac:dyDescent="0.25">
      <c r="A134" s="16" t="str">
        <f>HYPERLINK("http://amigo.geneontology.org/amigo/term/GO:0046217","GO:0046217")</f>
        <v>GO:0046217</v>
      </c>
      <c r="B134" t="s">
        <v>832</v>
      </c>
      <c r="C134" s="1">
        <v>1.7699999999999999E-4</v>
      </c>
      <c r="D134" s="1">
        <v>2.0359999999999999E-4</v>
      </c>
      <c r="E134">
        <v>6</v>
      </c>
      <c r="F134" t="s">
        <v>2059</v>
      </c>
      <c r="G134" t="s">
        <v>1876</v>
      </c>
    </row>
    <row r="135" spans="1:7" x14ac:dyDescent="0.25">
      <c r="A135" s="16" t="str">
        <f>HYPERLINK("http://amigo.geneontology.org/amigo/term/GO:0009403","GO:0009403")</f>
        <v>GO:0009403</v>
      </c>
      <c r="B135" t="s">
        <v>833</v>
      </c>
      <c r="C135" s="1">
        <v>1.7699999999999999E-4</v>
      </c>
      <c r="D135" s="1">
        <v>2.0359999999999999E-4</v>
      </c>
      <c r="E135">
        <v>6</v>
      </c>
      <c r="F135" t="s">
        <v>2059</v>
      </c>
      <c r="G135" t="s">
        <v>1876</v>
      </c>
    </row>
    <row r="136" spans="1:7" x14ac:dyDescent="0.25">
      <c r="A136" s="16" t="str">
        <f>HYPERLINK("http://amigo.geneontology.org/amigo/term/GO:0052315","GO:0052315")</f>
        <v>GO:0052315</v>
      </c>
      <c r="B136" t="s">
        <v>834</v>
      </c>
      <c r="C136" s="1">
        <v>1.7699999999999999E-4</v>
      </c>
      <c r="D136" s="1">
        <v>2.0359999999999999E-4</v>
      </c>
      <c r="E136">
        <v>6</v>
      </c>
      <c r="F136" t="s">
        <v>2059</v>
      </c>
      <c r="G136" t="s">
        <v>1876</v>
      </c>
    </row>
    <row r="137" spans="1:7" x14ac:dyDescent="0.25">
      <c r="A137" s="16" t="str">
        <f>HYPERLINK("http://amigo.geneontology.org/amigo/term/GO:0009700","GO:0009700")</f>
        <v>GO:0009700</v>
      </c>
      <c r="B137" t="s">
        <v>835</v>
      </c>
      <c r="C137" s="1">
        <v>1.7699999999999999E-4</v>
      </c>
      <c r="D137" s="1">
        <v>2.0359999999999999E-4</v>
      </c>
      <c r="E137">
        <v>6</v>
      </c>
      <c r="F137" t="s">
        <v>2059</v>
      </c>
      <c r="G137" t="s">
        <v>1876</v>
      </c>
    </row>
    <row r="138" spans="1:7" x14ac:dyDescent="0.25">
      <c r="A138" s="16" t="str">
        <f>HYPERLINK("http://amigo.geneontology.org/amigo/term/GO:0052317","GO:0052317")</f>
        <v>GO:0052317</v>
      </c>
      <c r="B138" t="s">
        <v>836</v>
      </c>
      <c r="C138" s="1">
        <v>1.7699999999999999E-4</v>
      </c>
      <c r="D138" s="1">
        <v>2.0359999999999999E-4</v>
      </c>
      <c r="E138">
        <v>6</v>
      </c>
      <c r="F138" t="s">
        <v>2059</v>
      </c>
      <c r="G138" t="s">
        <v>1876</v>
      </c>
    </row>
    <row r="139" spans="1:7" x14ac:dyDescent="0.25">
      <c r="A139" s="16" t="str">
        <f>HYPERLINK("http://amigo.geneontology.org/amigo/term/GO:0010120","GO:0010120")</f>
        <v>GO:0010120</v>
      </c>
      <c r="B139" t="s">
        <v>837</v>
      </c>
      <c r="C139" s="1">
        <v>1.7699999999999999E-4</v>
      </c>
      <c r="D139" s="1">
        <v>2.0359999999999999E-4</v>
      </c>
      <c r="E139">
        <v>6</v>
      </c>
      <c r="F139" t="s">
        <v>2059</v>
      </c>
      <c r="G139" t="s">
        <v>1876</v>
      </c>
    </row>
    <row r="140" spans="1:7" x14ac:dyDescent="0.25">
      <c r="A140" s="16" t="str">
        <f>HYPERLINK("http://amigo.geneontology.org/amigo/term/GO:0080136","GO:0080136")</f>
        <v>GO:0080136</v>
      </c>
      <c r="B140" t="s">
        <v>838</v>
      </c>
      <c r="C140" s="1">
        <v>1.7699999999999999E-4</v>
      </c>
      <c r="D140" s="1">
        <v>2.0359999999999999E-4</v>
      </c>
      <c r="E140">
        <v>6</v>
      </c>
      <c r="F140" t="s">
        <v>2059</v>
      </c>
      <c r="G140" t="s">
        <v>1876</v>
      </c>
    </row>
    <row r="141" spans="1:7" x14ac:dyDescent="0.25">
      <c r="A141" s="16" t="str">
        <f>HYPERLINK("http://amigo.geneontology.org/amigo/term/GO:1902065","GO:1902065")</f>
        <v>GO:1902065</v>
      </c>
      <c r="B141" t="s">
        <v>839</v>
      </c>
      <c r="C141" s="1">
        <v>1.7699999999999999E-4</v>
      </c>
      <c r="D141" s="1">
        <v>2.0359999999999999E-4</v>
      </c>
      <c r="E141">
        <v>6</v>
      </c>
      <c r="F141" t="s">
        <v>2059</v>
      </c>
      <c r="G141" t="s">
        <v>1876</v>
      </c>
    </row>
    <row r="142" spans="1:7" x14ac:dyDescent="0.25">
      <c r="A142" s="16" t="str">
        <f>HYPERLINK("http://amigo.geneontology.org/amigo/term/GO:0010353","GO:0010353")</f>
        <v>GO:0010353</v>
      </c>
      <c r="B142" t="s">
        <v>840</v>
      </c>
      <c r="C142" s="1">
        <v>1.7699999999999999E-4</v>
      </c>
      <c r="D142" s="1">
        <v>2.0359999999999999E-4</v>
      </c>
      <c r="E142">
        <v>6</v>
      </c>
      <c r="F142" t="s">
        <v>2059</v>
      </c>
      <c r="G142" t="s">
        <v>1998</v>
      </c>
    </row>
    <row r="143" spans="1:7" x14ac:dyDescent="0.25">
      <c r="A143" s="16" t="str">
        <f>HYPERLINK("http://amigo.geneontology.org/amigo/term/GO:0070574","GO:0070574")</f>
        <v>GO:0070574</v>
      </c>
      <c r="B143" t="s">
        <v>841</v>
      </c>
      <c r="C143" s="1">
        <v>1.7699999999999999E-4</v>
      </c>
      <c r="D143" s="1">
        <v>2.0359999999999999E-4</v>
      </c>
      <c r="E143">
        <v>6</v>
      </c>
      <c r="F143" t="s">
        <v>2059</v>
      </c>
      <c r="G143" t="s">
        <v>2048</v>
      </c>
    </row>
    <row r="144" spans="1:7" x14ac:dyDescent="0.25">
      <c r="A144" s="16" t="str">
        <f>HYPERLINK("http://amigo.geneontology.org/amigo/term/GO:0034975","GO:0034975")</f>
        <v>GO:0034975</v>
      </c>
      <c r="B144" t="s">
        <v>842</v>
      </c>
      <c r="C144" s="1">
        <v>1.7699999999999999E-4</v>
      </c>
      <c r="D144" s="1">
        <v>2.0359999999999999E-4</v>
      </c>
      <c r="E144">
        <v>6</v>
      </c>
      <c r="F144" t="s">
        <v>2059</v>
      </c>
      <c r="G144" t="s">
        <v>2058</v>
      </c>
    </row>
    <row r="145" spans="1:7" x14ac:dyDescent="0.25">
      <c r="A145" s="16" t="str">
        <f>HYPERLINK("http://amigo.geneontology.org/amigo/term/GO:0010468","GO:0010468")</f>
        <v>GO:0010468</v>
      </c>
      <c r="B145" t="s">
        <v>843</v>
      </c>
      <c r="C145" s="1">
        <v>2.095E-4</v>
      </c>
      <c r="D145" s="1">
        <v>2.41E-4</v>
      </c>
      <c r="E145">
        <v>4846</v>
      </c>
      <c r="F145" t="s">
        <v>2057</v>
      </c>
      <c r="G145" t="s">
        <v>2056</v>
      </c>
    </row>
    <row r="146" spans="1:7" x14ac:dyDescent="0.25">
      <c r="A146" s="16" t="str">
        <f>HYPERLINK("http://amigo.geneontology.org/amigo/term/GO:0010118","GO:0010118")</f>
        <v>GO:0010118</v>
      </c>
      <c r="B146" t="s">
        <v>844</v>
      </c>
      <c r="C146" s="1">
        <v>2.208E-4</v>
      </c>
      <c r="D146" s="1">
        <v>2.5399999999999999E-4</v>
      </c>
      <c r="E146">
        <v>15</v>
      </c>
      <c r="F146" t="s">
        <v>112</v>
      </c>
      <c r="G146" t="s">
        <v>2055</v>
      </c>
    </row>
    <row r="147" spans="1:7" x14ac:dyDescent="0.25">
      <c r="A147" s="16" t="str">
        <f>HYPERLINK("http://amigo.geneontology.org/amigo/term/GO:0001666","GO:0001666")</f>
        <v>GO:0001666</v>
      </c>
      <c r="B147" t="s">
        <v>845</v>
      </c>
      <c r="C147" s="1">
        <v>2.208E-4</v>
      </c>
      <c r="D147" s="1">
        <v>2.5399999999999999E-4</v>
      </c>
      <c r="E147">
        <v>15</v>
      </c>
      <c r="F147" t="s">
        <v>112</v>
      </c>
      <c r="G147" t="s">
        <v>2015</v>
      </c>
    </row>
    <row r="148" spans="1:7" x14ac:dyDescent="0.25">
      <c r="A148" s="16" t="str">
        <f>HYPERLINK("http://amigo.geneontology.org/amigo/term/GO:0002684","GO:0002684")</f>
        <v>GO:0002684</v>
      </c>
      <c r="B148" t="s">
        <v>846</v>
      </c>
      <c r="C148" s="1">
        <v>2.242E-4</v>
      </c>
      <c r="D148" s="1">
        <v>2.5789999999999998E-4</v>
      </c>
      <c r="E148">
        <v>27</v>
      </c>
      <c r="F148" t="s">
        <v>2054</v>
      </c>
      <c r="G148" t="s">
        <v>2018</v>
      </c>
    </row>
    <row r="149" spans="1:7" x14ac:dyDescent="0.25">
      <c r="A149" s="16" t="str">
        <f>HYPERLINK("http://amigo.geneontology.org/amigo/term/GO:0050778","GO:0050778")</f>
        <v>GO:0050778</v>
      </c>
      <c r="B149" t="s">
        <v>847</v>
      </c>
      <c r="C149" s="1">
        <v>2.242E-4</v>
      </c>
      <c r="D149" s="1">
        <v>2.5789999999999998E-4</v>
      </c>
      <c r="E149">
        <v>27</v>
      </c>
      <c r="F149" t="s">
        <v>2054</v>
      </c>
      <c r="G149" t="s">
        <v>2018</v>
      </c>
    </row>
    <row r="150" spans="1:7" x14ac:dyDescent="0.25">
      <c r="A150" s="16" t="str">
        <f>HYPERLINK("http://amigo.geneontology.org/amigo/term/GO:0045089","GO:0045089")</f>
        <v>GO:0045089</v>
      </c>
      <c r="B150" t="s">
        <v>848</v>
      </c>
      <c r="C150" s="1">
        <v>2.242E-4</v>
      </c>
      <c r="D150" s="1">
        <v>2.5789999999999998E-4</v>
      </c>
      <c r="E150">
        <v>27</v>
      </c>
      <c r="F150" t="s">
        <v>2054</v>
      </c>
      <c r="G150" t="s">
        <v>2018</v>
      </c>
    </row>
    <row r="151" spans="1:7" x14ac:dyDescent="0.25">
      <c r="A151" s="16" t="str">
        <f>HYPERLINK("http://amigo.geneontology.org/amigo/term/GO:0031348","GO:0031348")</f>
        <v>GO:0031348</v>
      </c>
      <c r="B151" t="s">
        <v>849</v>
      </c>
      <c r="C151" s="1">
        <v>2.242E-4</v>
      </c>
      <c r="D151" s="1">
        <v>2.5789999999999998E-4</v>
      </c>
      <c r="E151">
        <v>27</v>
      </c>
      <c r="F151" t="s">
        <v>2054</v>
      </c>
      <c r="G151" t="s">
        <v>2053</v>
      </c>
    </row>
    <row r="152" spans="1:7" x14ac:dyDescent="0.25">
      <c r="A152" s="16" t="str">
        <f>HYPERLINK("http://amigo.geneontology.org/amigo/term/GO:0015914","GO:0015914")</f>
        <v>GO:0015914</v>
      </c>
      <c r="B152" t="s">
        <v>850</v>
      </c>
      <c r="C152" s="1">
        <v>2.3499999999999999E-4</v>
      </c>
      <c r="D152" s="1">
        <v>2.7010000000000001E-4</v>
      </c>
      <c r="E152">
        <v>42</v>
      </c>
      <c r="F152" t="s">
        <v>2052</v>
      </c>
      <c r="G152" t="s">
        <v>1979</v>
      </c>
    </row>
    <row r="153" spans="1:7" x14ac:dyDescent="0.25">
      <c r="A153" s="16" t="str">
        <f>HYPERLINK("http://amigo.geneontology.org/amigo/term/GO:0002682","GO:0002682")</f>
        <v>GO:0002682</v>
      </c>
      <c r="B153" t="s">
        <v>851</v>
      </c>
      <c r="C153" s="1">
        <v>2.6820000000000001E-4</v>
      </c>
      <c r="D153" s="1">
        <v>3.0830000000000001E-4</v>
      </c>
      <c r="E153">
        <v>43</v>
      </c>
      <c r="F153" t="s">
        <v>2051</v>
      </c>
      <c r="G153" t="s">
        <v>2050</v>
      </c>
    </row>
    <row r="154" spans="1:7" x14ac:dyDescent="0.25">
      <c r="A154" s="16" t="str">
        <f>HYPERLINK("http://amigo.geneontology.org/amigo/term/GO:0050776","GO:0050776")</f>
        <v>GO:0050776</v>
      </c>
      <c r="B154" t="s">
        <v>852</v>
      </c>
      <c r="C154" s="1">
        <v>2.6820000000000001E-4</v>
      </c>
      <c r="D154" s="1">
        <v>3.0830000000000001E-4</v>
      </c>
      <c r="E154">
        <v>43</v>
      </c>
      <c r="F154" t="s">
        <v>2051</v>
      </c>
      <c r="G154" t="s">
        <v>2050</v>
      </c>
    </row>
    <row r="155" spans="1:7" x14ac:dyDescent="0.25">
      <c r="A155" s="16" t="str">
        <f>HYPERLINK("http://amigo.geneontology.org/amigo/term/GO:0050826","GO:0050826")</f>
        <v>GO:0050826</v>
      </c>
      <c r="B155" t="s">
        <v>853</v>
      </c>
      <c r="C155" s="1">
        <v>3.0479999999999998E-4</v>
      </c>
      <c r="D155" s="1">
        <v>3.503E-4</v>
      </c>
      <c r="E155">
        <v>7</v>
      </c>
      <c r="F155" t="s">
        <v>2049</v>
      </c>
      <c r="G155" t="s">
        <v>1876</v>
      </c>
    </row>
    <row r="156" spans="1:7" x14ac:dyDescent="0.25">
      <c r="A156" s="16" t="str">
        <f>HYPERLINK("http://amigo.geneontology.org/amigo/term/GO:0043200","GO:0043200")</f>
        <v>GO:0043200</v>
      </c>
      <c r="B156" t="s">
        <v>854</v>
      </c>
      <c r="C156" s="1">
        <v>3.0479999999999998E-4</v>
      </c>
      <c r="D156" s="1">
        <v>3.503E-4</v>
      </c>
      <c r="E156">
        <v>7</v>
      </c>
      <c r="F156" t="s">
        <v>2049</v>
      </c>
      <c r="G156" t="s">
        <v>1876</v>
      </c>
    </row>
    <row r="157" spans="1:7" x14ac:dyDescent="0.25">
      <c r="A157" s="16" t="str">
        <f>HYPERLINK("http://amigo.geneontology.org/amigo/term/GO:0015691","GO:0015691")</f>
        <v>GO:0015691</v>
      </c>
      <c r="B157" t="s">
        <v>855</v>
      </c>
      <c r="C157" s="1">
        <v>3.0479999999999998E-4</v>
      </c>
      <c r="D157" s="1">
        <v>3.503E-4</v>
      </c>
      <c r="E157">
        <v>7</v>
      </c>
      <c r="F157" t="s">
        <v>2049</v>
      </c>
      <c r="G157" t="s">
        <v>2048</v>
      </c>
    </row>
    <row r="158" spans="1:7" x14ac:dyDescent="0.25">
      <c r="A158" s="16" t="str">
        <f>HYPERLINK("http://amigo.geneontology.org/amigo/term/GO:0071310","GO:0071310")</f>
        <v>GO:0071310</v>
      </c>
      <c r="B158" t="s">
        <v>856</v>
      </c>
      <c r="C158" s="1">
        <v>3.5790000000000003E-4</v>
      </c>
      <c r="D158" s="1">
        <v>4.1120000000000002E-4</v>
      </c>
      <c r="E158">
        <v>459</v>
      </c>
      <c r="F158" t="s">
        <v>2047</v>
      </c>
      <c r="G158" t="s">
        <v>2046</v>
      </c>
    </row>
    <row r="159" spans="1:7" x14ac:dyDescent="0.25">
      <c r="A159" s="16" t="str">
        <f>HYPERLINK("http://amigo.geneontology.org/amigo/term/GO:2000112","GO:2000112")</f>
        <v>GO:2000112</v>
      </c>
      <c r="B159" t="s">
        <v>857</v>
      </c>
      <c r="C159" s="1">
        <v>3.8640000000000001E-4</v>
      </c>
      <c r="D159" s="1">
        <v>4.438E-4</v>
      </c>
      <c r="E159">
        <v>4546</v>
      </c>
      <c r="F159" t="s">
        <v>2045</v>
      </c>
      <c r="G159" t="s">
        <v>2043</v>
      </c>
    </row>
    <row r="160" spans="1:7" x14ac:dyDescent="0.25">
      <c r="A160" s="16" t="str">
        <f>HYPERLINK("http://amigo.geneontology.org/amigo/term/GO:0010556","GO:0010556")</f>
        <v>GO:0010556</v>
      </c>
      <c r="B160" t="s">
        <v>858</v>
      </c>
      <c r="C160" s="1">
        <v>4.0329999999999999E-4</v>
      </c>
      <c r="D160" s="1">
        <v>4.6309999999999998E-4</v>
      </c>
      <c r="E160">
        <v>4551</v>
      </c>
      <c r="F160" t="s">
        <v>2044</v>
      </c>
      <c r="G160" t="s">
        <v>2043</v>
      </c>
    </row>
    <row r="161" spans="1:7" x14ac:dyDescent="0.25">
      <c r="A161" s="16" t="str">
        <f>HYPERLINK("http://amigo.geneontology.org/amigo/term/GO:1990573","GO:1990573")</f>
        <v>GO:1990573</v>
      </c>
      <c r="B161" t="s">
        <v>859</v>
      </c>
      <c r="C161" s="1">
        <v>4.4180000000000001E-4</v>
      </c>
      <c r="D161" s="1">
        <v>5.0719999999999997E-4</v>
      </c>
      <c r="E161">
        <v>2</v>
      </c>
      <c r="F161" t="s">
        <v>2042</v>
      </c>
      <c r="G161" t="s">
        <v>1933</v>
      </c>
    </row>
    <row r="162" spans="1:7" x14ac:dyDescent="0.25">
      <c r="A162" s="16" t="str">
        <f>HYPERLINK("http://amigo.geneontology.org/amigo/term/GO:1900425","GO:1900425")</f>
        <v>GO:1900425</v>
      </c>
      <c r="B162" t="s">
        <v>860</v>
      </c>
      <c r="C162" s="1">
        <v>4.4180000000000001E-4</v>
      </c>
      <c r="D162" s="1">
        <v>5.0719999999999997E-4</v>
      </c>
      <c r="E162">
        <v>2</v>
      </c>
      <c r="F162" t="s">
        <v>2042</v>
      </c>
      <c r="G162" t="s">
        <v>1854</v>
      </c>
    </row>
    <row r="163" spans="1:7" x14ac:dyDescent="0.25">
      <c r="A163" s="16" t="str">
        <f>HYPERLINK("http://amigo.geneontology.org/amigo/term/GO:0055085","GO:0055085")</f>
        <v>GO:0055085</v>
      </c>
      <c r="B163" t="s">
        <v>861</v>
      </c>
      <c r="C163" s="1">
        <v>4.6739999999999998E-4</v>
      </c>
      <c r="D163" s="1">
        <v>5.3649999999999998E-4</v>
      </c>
      <c r="E163">
        <v>3222</v>
      </c>
      <c r="F163" t="s">
        <v>2041</v>
      </c>
      <c r="G163" t="s">
        <v>2040</v>
      </c>
    </row>
    <row r="164" spans="1:7" x14ac:dyDescent="0.25">
      <c r="A164" s="16" t="str">
        <f>HYPERLINK("http://amigo.geneontology.org/amigo/term/GO:0051091","GO:0051091")</f>
        <v>GO:0051091</v>
      </c>
      <c r="B164" t="s">
        <v>862</v>
      </c>
      <c r="C164" s="1">
        <v>4.8010000000000001E-4</v>
      </c>
      <c r="D164" s="1">
        <v>5.509E-4</v>
      </c>
      <c r="E164">
        <v>8</v>
      </c>
      <c r="F164" t="s">
        <v>132</v>
      </c>
      <c r="G164" t="s">
        <v>2020</v>
      </c>
    </row>
    <row r="165" spans="1:7" x14ac:dyDescent="0.25">
      <c r="A165" s="16" t="str">
        <f>HYPERLINK("http://amigo.geneontology.org/amigo/term/GO:0002213","GO:0002213")</f>
        <v>GO:0002213</v>
      </c>
      <c r="B165" t="s">
        <v>863</v>
      </c>
      <c r="C165" s="1">
        <v>4.8010000000000001E-4</v>
      </c>
      <c r="D165" s="1">
        <v>5.509E-4</v>
      </c>
      <c r="E165">
        <v>8</v>
      </c>
      <c r="F165" t="s">
        <v>132</v>
      </c>
      <c r="G165" t="s">
        <v>1998</v>
      </c>
    </row>
    <row r="166" spans="1:7" x14ac:dyDescent="0.25">
      <c r="A166" s="16" t="str">
        <f>HYPERLINK("http://amigo.geneontology.org/amigo/term/GO:0010225","GO:0010225")</f>
        <v>GO:0010225</v>
      </c>
      <c r="B166" t="s">
        <v>864</v>
      </c>
      <c r="C166" s="1">
        <v>4.8010000000000001E-4</v>
      </c>
      <c r="D166" s="1">
        <v>5.509E-4</v>
      </c>
      <c r="E166">
        <v>8</v>
      </c>
      <c r="F166" t="s">
        <v>132</v>
      </c>
      <c r="G166" t="s">
        <v>1998</v>
      </c>
    </row>
    <row r="167" spans="1:7" x14ac:dyDescent="0.25">
      <c r="A167" s="16" t="str">
        <f>HYPERLINK("http://amigo.geneontology.org/amigo/term/GO:0010942","GO:0010942")</f>
        <v>GO:0010942</v>
      </c>
      <c r="B167" t="s">
        <v>865</v>
      </c>
      <c r="C167" s="1">
        <v>4.8010000000000001E-4</v>
      </c>
      <c r="D167" s="1">
        <v>5.509E-4</v>
      </c>
      <c r="E167">
        <v>8</v>
      </c>
      <c r="F167" t="s">
        <v>132</v>
      </c>
      <c r="G167" t="s">
        <v>1998</v>
      </c>
    </row>
    <row r="168" spans="1:7" x14ac:dyDescent="0.25">
      <c r="A168" s="16" t="str">
        <f>HYPERLINK("http://amigo.geneontology.org/amigo/term/GO:1900376","GO:1900376")</f>
        <v>GO:1900376</v>
      </c>
      <c r="B168" t="s">
        <v>866</v>
      </c>
      <c r="C168" s="1">
        <v>4.8010000000000001E-4</v>
      </c>
      <c r="D168" s="1">
        <v>5.509E-4</v>
      </c>
      <c r="E168">
        <v>8</v>
      </c>
      <c r="F168" t="s">
        <v>132</v>
      </c>
      <c r="G168" t="s">
        <v>1998</v>
      </c>
    </row>
    <row r="169" spans="1:7" x14ac:dyDescent="0.25">
      <c r="A169" s="16" t="str">
        <f>HYPERLINK("http://amigo.geneontology.org/amigo/term/GO:0007568","GO:0007568")</f>
        <v>GO:0007568</v>
      </c>
      <c r="B169" t="s">
        <v>867</v>
      </c>
      <c r="C169" s="1">
        <v>5.9389999999999996E-4</v>
      </c>
      <c r="D169" s="1">
        <v>6.8130000000000003E-4</v>
      </c>
      <c r="E169">
        <v>33</v>
      </c>
      <c r="F169" t="s">
        <v>2039</v>
      </c>
      <c r="G169" t="s">
        <v>1878</v>
      </c>
    </row>
    <row r="170" spans="1:7" x14ac:dyDescent="0.25">
      <c r="A170" s="16" t="str">
        <f>HYPERLINK("http://amigo.geneontology.org/amigo/term/GO:0090693","GO:0090693")</f>
        <v>GO:0090693</v>
      </c>
      <c r="B170" t="s">
        <v>868</v>
      </c>
      <c r="C170" s="1">
        <v>5.9389999999999996E-4</v>
      </c>
      <c r="D170" s="1">
        <v>6.8130000000000003E-4</v>
      </c>
      <c r="E170">
        <v>33</v>
      </c>
      <c r="F170" t="s">
        <v>2039</v>
      </c>
      <c r="G170" t="s">
        <v>1878</v>
      </c>
    </row>
    <row r="171" spans="1:7" x14ac:dyDescent="0.25">
      <c r="A171" s="16" t="str">
        <f>HYPERLINK("http://amigo.geneontology.org/amigo/term/GO:0010150","GO:0010150")</f>
        <v>GO:0010150</v>
      </c>
      <c r="B171" t="s">
        <v>869</v>
      </c>
      <c r="C171" s="1">
        <v>5.9389999999999996E-4</v>
      </c>
      <c r="D171" s="1">
        <v>6.8130000000000003E-4</v>
      </c>
      <c r="E171">
        <v>33</v>
      </c>
      <c r="F171" t="s">
        <v>2039</v>
      </c>
      <c r="G171" t="s">
        <v>1878</v>
      </c>
    </row>
    <row r="172" spans="1:7" x14ac:dyDescent="0.25">
      <c r="A172" s="16" t="str">
        <f>HYPERLINK("http://amigo.geneontology.org/amigo/term/GO:0002239","GO:0002239")</f>
        <v>GO:0002239</v>
      </c>
      <c r="B172" t="s">
        <v>870</v>
      </c>
      <c r="C172" s="1">
        <v>6.1709999999999998E-4</v>
      </c>
      <c r="D172" s="1">
        <v>7.0779999999999997E-4</v>
      </c>
      <c r="E172">
        <v>50</v>
      </c>
      <c r="F172" t="s">
        <v>2038</v>
      </c>
      <c r="G172" t="s">
        <v>2037</v>
      </c>
    </row>
    <row r="173" spans="1:7" x14ac:dyDescent="0.25">
      <c r="A173" s="16" t="str">
        <f>HYPERLINK("http://amigo.geneontology.org/amigo/term/GO:0002229","GO:0002229")</f>
        <v>GO:0002229</v>
      </c>
      <c r="B173" t="s">
        <v>871</v>
      </c>
      <c r="C173" s="1">
        <v>6.1709999999999998E-4</v>
      </c>
      <c r="D173" s="1">
        <v>7.0779999999999997E-4</v>
      </c>
      <c r="E173">
        <v>50</v>
      </c>
      <c r="F173" t="s">
        <v>2038</v>
      </c>
      <c r="G173" t="s">
        <v>2037</v>
      </c>
    </row>
    <row r="174" spans="1:7" x14ac:dyDescent="0.25">
      <c r="A174" s="16" t="str">
        <f>HYPERLINK("http://amigo.geneontology.org/amigo/term/GO:0071324","GO:0071324")</f>
        <v>GO:0071324</v>
      </c>
      <c r="B174" t="s">
        <v>872</v>
      </c>
      <c r="C174" s="1">
        <v>7.0879999999999999E-4</v>
      </c>
      <c r="D174" s="1">
        <v>8.1280000000000002E-4</v>
      </c>
      <c r="E174">
        <v>9</v>
      </c>
      <c r="F174" t="s">
        <v>148</v>
      </c>
      <c r="G174" t="s">
        <v>1998</v>
      </c>
    </row>
    <row r="175" spans="1:7" x14ac:dyDescent="0.25">
      <c r="A175" s="16" t="str">
        <f>HYPERLINK("http://amigo.geneontology.org/amigo/term/GO:0043288","GO:0043288")</f>
        <v>GO:0043288</v>
      </c>
      <c r="B175" t="s">
        <v>873</v>
      </c>
      <c r="C175" s="1">
        <v>7.0879999999999999E-4</v>
      </c>
      <c r="D175" s="1">
        <v>8.1280000000000002E-4</v>
      </c>
      <c r="E175">
        <v>9</v>
      </c>
      <c r="F175" t="s">
        <v>148</v>
      </c>
      <c r="G175" t="s">
        <v>1929</v>
      </c>
    </row>
    <row r="176" spans="1:7" x14ac:dyDescent="0.25">
      <c r="A176" s="16" t="str">
        <f>HYPERLINK("http://amigo.geneontology.org/amigo/term/GO:1902644","GO:1902644")</f>
        <v>GO:1902644</v>
      </c>
      <c r="B176" t="s">
        <v>874</v>
      </c>
      <c r="C176" s="1">
        <v>7.0879999999999999E-4</v>
      </c>
      <c r="D176" s="1">
        <v>8.1280000000000002E-4</v>
      </c>
      <c r="E176">
        <v>9</v>
      </c>
      <c r="F176" t="s">
        <v>148</v>
      </c>
      <c r="G176" t="s">
        <v>1929</v>
      </c>
    </row>
    <row r="177" spans="1:7" x14ac:dyDescent="0.25">
      <c r="A177" s="16" t="str">
        <f>HYPERLINK("http://amigo.geneontology.org/amigo/term/GO:0009687","GO:0009687")</f>
        <v>GO:0009687</v>
      </c>
      <c r="B177" t="s">
        <v>875</v>
      </c>
      <c r="C177" s="1">
        <v>7.0879999999999999E-4</v>
      </c>
      <c r="D177" s="1">
        <v>8.1280000000000002E-4</v>
      </c>
      <c r="E177">
        <v>9</v>
      </c>
      <c r="F177" t="s">
        <v>148</v>
      </c>
      <c r="G177" t="s">
        <v>1929</v>
      </c>
    </row>
    <row r="178" spans="1:7" x14ac:dyDescent="0.25">
      <c r="A178" s="16" t="str">
        <f>HYPERLINK("http://amigo.geneontology.org/amigo/term/GO:0042221","GO:0042221")</f>
        <v>GO:0042221</v>
      </c>
      <c r="B178" t="s">
        <v>413</v>
      </c>
      <c r="C178" s="1">
        <v>7.4330000000000002E-4</v>
      </c>
      <c r="D178" s="1">
        <v>8.5209999999999995E-4</v>
      </c>
      <c r="E178">
        <v>1733</v>
      </c>
      <c r="F178" t="s">
        <v>2036</v>
      </c>
      <c r="G178" t="s">
        <v>2035</v>
      </c>
    </row>
    <row r="179" spans="1:7" x14ac:dyDescent="0.25">
      <c r="A179" s="16" t="str">
        <f>HYPERLINK("http://amigo.geneontology.org/amigo/term/GO:0071805","GO:0071805")</f>
        <v>GO:0071805</v>
      </c>
      <c r="B179" t="s">
        <v>876</v>
      </c>
      <c r="C179" s="1">
        <v>7.5359999999999999E-4</v>
      </c>
      <c r="D179" s="1">
        <v>8.6370000000000001E-4</v>
      </c>
      <c r="E179">
        <v>115</v>
      </c>
      <c r="F179" t="s">
        <v>2034</v>
      </c>
      <c r="G179" t="s">
        <v>1957</v>
      </c>
    </row>
    <row r="180" spans="1:7" x14ac:dyDescent="0.25">
      <c r="A180" s="16" t="str">
        <f>HYPERLINK("http://amigo.geneontology.org/amigo/term/GO:0009803","GO:0009803")</f>
        <v>GO:0009803</v>
      </c>
      <c r="B180" t="s">
        <v>877</v>
      </c>
      <c r="C180" s="1">
        <v>7.8459999999999999E-4</v>
      </c>
      <c r="D180" s="1">
        <v>8.9899999999999995E-4</v>
      </c>
      <c r="E180">
        <v>35</v>
      </c>
      <c r="F180" t="s">
        <v>2033</v>
      </c>
      <c r="G180" t="s">
        <v>1912</v>
      </c>
    </row>
    <row r="181" spans="1:7" x14ac:dyDescent="0.25">
      <c r="A181" s="16" t="str">
        <f>HYPERLINK("http://amigo.geneontology.org/amigo/term/GO:0009800","GO:0009800")</f>
        <v>GO:0009800</v>
      </c>
      <c r="B181" t="s">
        <v>878</v>
      </c>
      <c r="C181" s="1">
        <v>7.8459999999999999E-4</v>
      </c>
      <c r="D181" s="1">
        <v>8.9899999999999995E-4</v>
      </c>
      <c r="E181">
        <v>35</v>
      </c>
      <c r="F181" t="s">
        <v>2033</v>
      </c>
      <c r="G181" t="s">
        <v>1912</v>
      </c>
    </row>
    <row r="182" spans="1:7" x14ac:dyDescent="0.25">
      <c r="A182" s="16" t="str">
        <f>HYPERLINK("http://amigo.geneontology.org/amigo/term/GO:0050794","GO:0050794")</f>
        <v>GO:0050794</v>
      </c>
      <c r="B182" t="s">
        <v>879</v>
      </c>
      <c r="C182" s="1">
        <v>9.5929999999999995E-4</v>
      </c>
      <c r="D182" s="1">
        <v>1.0989999999999999E-3</v>
      </c>
      <c r="E182">
        <v>6861</v>
      </c>
      <c r="F182" t="s">
        <v>2032</v>
      </c>
      <c r="G182" t="s">
        <v>2031</v>
      </c>
    </row>
    <row r="183" spans="1:7" x14ac:dyDescent="0.25">
      <c r="A183" s="16" t="str">
        <f>HYPERLINK("http://amigo.geneontology.org/amigo/term/GO:0006952","GO:0006952")</f>
        <v>GO:0006952</v>
      </c>
      <c r="B183" t="s">
        <v>619</v>
      </c>
      <c r="C183" s="1">
        <v>9.789E-4</v>
      </c>
      <c r="D183" s="1">
        <v>1.121E-3</v>
      </c>
      <c r="E183">
        <v>729</v>
      </c>
      <c r="F183" t="s">
        <v>2030</v>
      </c>
      <c r="G183" t="s">
        <v>2029</v>
      </c>
    </row>
    <row r="184" spans="1:7" x14ac:dyDescent="0.25">
      <c r="A184" s="16" t="str">
        <f>HYPERLINK("http://amigo.geneontology.org/amigo/term/GO:0070298","GO:0070298")</f>
        <v>GO:0070298</v>
      </c>
      <c r="B184" t="s">
        <v>880</v>
      </c>
      <c r="C184" s="1">
        <v>9.967000000000001E-4</v>
      </c>
      <c r="D184" s="1">
        <v>1.1410000000000001E-3</v>
      </c>
      <c r="E184">
        <v>10</v>
      </c>
      <c r="F184" t="s">
        <v>159</v>
      </c>
      <c r="G184" t="s">
        <v>1998</v>
      </c>
    </row>
    <row r="185" spans="1:7" x14ac:dyDescent="0.25">
      <c r="A185" s="16" t="str">
        <f>HYPERLINK("http://amigo.geneontology.org/amigo/term/GO:0010105","GO:0010105")</f>
        <v>GO:0010105</v>
      </c>
      <c r="B185" t="s">
        <v>881</v>
      </c>
      <c r="C185" s="1">
        <v>9.967000000000001E-4</v>
      </c>
      <c r="D185" s="1">
        <v>1.1410000000000001E-3</v>
      </c>
      <c r="E185">
        <v>10</v>
      </c>
      <c r="F185" t="s">
        <v>159</v>
      </c>
      <c r="G185" t="s">
        <v>1998</v>
      </c>
    </row>
    <row r="186" spans="1:7" x14ac:dyDescent="0.25">
      <c r="A186" s="16" t="str">
        <f>HYPERLINK("http://amigo.geneontology.org/amigo/term/GO:0009695","GO:0009695")</f>
        <v>GO:0009695</v>
      </c>
      <c r="B186" t="s">
        <v>882</v>
      </c>
      <c r="C186" s="1">
        <v>9.967000000000001E-4</v>
      </c>
      <c r="D186" s="1">
        <v>1.1410000000000001E-3</v>
      </c>
      <c r="E186">
        <v>10</v>
      </c>
      <c r="F186" t="s">
        <v>159</v>
      </c>
      <c r="G186" t="s">
        <v>1892</v>
      </c>
    </row>
    <row r="187" spans="1:7" x14ac:dyDescent="0.25">
      <c r="A187" s="16" t="str">
        <f>HYPERLINK("http://amigo.geneontology.org/amigo/term/GO:0040008","GO:0040008")</f>
        <v>GO:0040008</v>
      </c>
      <c r="B187" t="s">
        <v>883</v>
      </c>
      <c r="C187" s="1">
        <v>1.065E-3</v>
      </c>
      <c r="D187" s="1">
        <v>1.219E-3</v>
      </c>
      <c r="E187">
        <v>171</v>
      </c>
      <c r="F187" t="s">
        <v>2028</v>
      </c>
      <c r="G187" t="s">
        <v>2027</v>
      </c>
    </row>
    <row r="188" spans="1:7" x14ac:dyDescent="0.25">
      <c r="A188" s="16" t="str">
        <f>HYPERLINK("http://amigo.geneontology.org/amigo/term/GO:1902222","GO:1902222")</f>
        <v>GO:1902222</v>
      </c>
      <c r="B188" t="s">
        <v>884</v>
      </c>
      <c r="C188" s="1">
        <v>1.1329999999999999E-3</v>
      </c>
      <c r="D188" s="1">
        <v>1.297E-3</v>
      </c>
      <c r="E188">
        <v>56</v>
      </c>
      <c r="F188" t="s">
        <v>2026</v>
      </c>
      <c r="G188" t="s">
        <v>1951</v>
      </c>
    </row>
    <row r="189" spans="1:7" x14ac:dyDescent="0.25">
      <c r="A189" s="16" t="str">
        <f>HYPERLINK("http://amigo.geneontology.org/amigo/term/GO:0006559","GO:0006559")</f>
        <v>GO:0006559</v>
      </c>
      <c r="B189" t="s">
        <v>885</v>
      </c>
      <c r="C189" s="1">
        <v>1.1329999999999999E-3</v>
      </c>
      <c r="D189" s="1">
        <v>1.297E-3</v>
      </c>
      <c r="E189">
        <v>56</v>
      </c>
      <c r="F189" t="s">
        <v>2026</v>
      </c>
      <c r="G189" t="s">
        <v>1951</v>
      </c>
    </row>
    <row r="190" spans="1:7" x14ac:dyDescent="0.25">
      <c r="A190" s="16" t="str">
        <f>HYPERLINK("http://amigo.geneontology.org/amigo/term/GO:0023056","GO:0023056")</f>
        <v>GO:0023056</v>
      </c>
      <c r="B190" t="s">
        <v>886</v>
      </c>
      <c r="C190" s="1">
        <v>1.2440000000000001E-3</v>
      </c>
      <c r="D190" s="1">
        <v>1.4239999999999999E-3</v>
      </c>
      <c r="E190">
        <v>57</v>
      </c>
      <c r="F190" t="s">
        <v>2025</v>
      </c>
      <c r="G190" t="s">
        <v>2006</v>
      </c>
    </row>
    <row r="191" spans="1:7" x14ac:dyDescent="0.25">
      <c r="A191" s="16" t="str">
        <f>HYPERLINK("http://amigo.geneontology.org/amigo/term/GO:0009967","GO:0009967")</f>
        <v>GO:0009967</v>
      </c>
      <c r="B191" t="s">
        <v>887</v>
      </c>
      <c r="C191" s="1">
        <v>1.2440000000000001E-3</v>
      </c>
      <c r="D191" s="1">
        <v>1.4239999999999999E-3</v>
      </c>
      <c r="E191">
        <v>57</v>
      </c>
      <c r="F191" t="s">
        <v>2025</v>
      </c>
      <c r="G191" t="s">
        <v>2006</v>
      </c>
    </row>
    <row r="192" spans="1:7" x14ac:dyDescent="0.25">
      <c r="A192" s="16" t="str">
        <f>HYPERLINK("http://amigo.geneontology.org/amigo/term/GO:0043455","GO:0043455")</f>
        <v>GO:0043455</v>
      </c>
      <c r="B192" t="s">
        <v>888</v>
      </c>
      <c r="C192" s="1">
        <v>1.253E-3</v>
      </c>
      <c r="D192" s="1">
        <v>1.433E-3</v>
      </c>
      <c r="E192">
        <v>23</v>
      </c>
      <c r="F192" t="s">
        <v>2023</v>
      </c>
      <c r="G192" t="s">
        <v>2024</v>
      </c>
    </row>
    <row r="193" spans="1:7" x14ac:dyDescent="0.25">
      <c r="A193" s="16" t="str">
        <f>HYPERLINK("http://amigo.geneontology.org/amigo/term/GO:0036293","GO:0036293")</f>
        <v>GO:0036293</v>
      </c>
      <c r="B193" t="s">
        <v>889</v>
      </c>
      <c r="C193" s="1">
        <v>1.253E-3</v>
      </c>
      <c r="D193" s="1">
        <v>1.433E-3</v>
      </c>
      <c r="E193">
        <v>23</v>
      </c>
      <c r="F193" t="s">
        <v>2023</v>
      </c>
      <c r="G193" t="s">
        <v>2015</v>
      </c>
    </row>
    <row r="194" spans="1:7" x14ac:dyDescent="0.25">
      <c r="A194" s="16" t="str">
        <f>HYPERLINK("http://amigo.geneontology.org/amigo/term/GO:0048545","GO:0048545")</f>
        <v>GO:0048545</v>
      </c>
      <c r="B194" t="s">
        <v>890</v>
      </c>
      <c r="C194" s="1">
        <v>1.2979999999999999E-3</v>
      </c>
      <c r="D194" s="1">
        <v>1.485E-3</v>
      </c>
      <c r="E194">
        <v>39</v>
      </c>
      <c r="F194" t="s">
        <v>153</v>
      </c>
      <c r="G194" t="s">
        <v>1953</v>
      </c>
    </row>
    <row r="195" spans="1:7" x14ac:dyDescent="0.25">
      <c r="A195" s="16" t="str">
        <f>HYPERLINK("http://amigo.geneontology.org/amigo/term/GO:0071383","GO:0071383")</f>
        <v>GO:0071383</v>
      </c>
      <c r="B195" t="s">
        <v>891</v>
      </c>
      <c r="C195" s="1">
        <v>1.2979999999999999E-3</v>
      </c>
      <c r="D195" s="1">
        <v>1.485E-3</v>
      </c>
      <c r="E195">
        <v>39</v>
      </c>
      <c r="F195" t="s">
        <v>153</v>
      </c>
      <c r="G195" t="s">
        <v>1953</v>
      </c>
    </row>
    <row r="196" spans="1:7" x14ac:dyDescent="0.25">
      <c r="A196" s="16" t="str">
        <f>HYPERLINK("http://amigo.geneontology.org/amigo/term/GO:0043401","GO:0043401")</f>
        <v>GO:0043401</v>
      </c>
      <c r="B196" t="s">
        <v>892</v>
      </c>
      <c r="C196" s="1">
        <v>1.2979999999999999E-3</v>
      </c>
      <c r="D196" s="1">
        <v>1.485E-3</v>
      </c>
      <c r="E196">
        <v>39</v>
      </c>
      <c r="F196" t="s">
        <v>153</v>
      </c>
      <c r="G196" t="s">
        <v>1953</v>
      </c>
    </row>
    <row r="197" spans="1:7" x14ac:dyDescent="0.25">
      <c r="A197" s="16" t="str">
        <f>HYPERLINK("http://amigo.geneontology.org/amigo/term/GO:0009742","GO:0009742")</f>
        <v>GO:0009742</v>
      </c>
      <c r="B197" t="s">
        <v>893</v>
      </c>
      <c r="C197" s="1">
        <v>1.2979999999999999E-3</v>
      </c>
      <c r="D197" s="1">
        <v>1.485E-3</v>
      </c>
      <c r="E197">
        <v>39</v>
      </c>
      <c r="F197" t="s">
        <v>153</v>
      </c>
      <c r="G197" t="s">
        <v>1953</v>
      </c>
    </row>
    <row r="198" spans="1:7" x14ac:dyDescent="0.25">
      <c r="A198" s="16" t="str">
        <f>HYPERLINK("http://amigo.geneontology.org/amigo/term/GO:0019755","GO:0019755")</f>
        <v>GO:0019755</v>
      </c>
      <c r="B198" t="s">
        <v>894</v>
      </c>
      <c r="C198" s="1">
        <v>1.307E-3</v>
      </c>
      <c r="D198" s="1">
        <v>1.4940000000000001E-3</v>
      </c>
      <c r="E198">
        <v>3</v>
      </c>
      <c r="F198" t="s">
        <v>1840</v>
      </c>
      <c r="G198" t="s">
        <v>2022</v>
      </c>
    </row>
    <row r="199" spans="1:7" x14ac:dyDescent="0.25">
      <c r="A199" s="16" t="str">
        <f>HYPERLINK("http://amigo.geneontology.org/amigo/term/GO:0015840","GO:0015840")</f>
        <v>GO:0015840</v>
      </c>
      <c r="B199" t="s">
        <v>895</v>
      </c>
      <c r="C199" s="1">
        <v>1.307E-3</v>
      </c>
      <c r="D199" s="1">
        <v>1.4940000000000001E-3</v>
      </c>
      <c r="E199">
        <v>3</v>
      </c>
      <c r="F199" t="s">
        <v>1840</v>
      </c>
      <c r="G199" t="s">
        <v>2022</v>
      </c>
    </row>
    <row r="200" spans="1:7" x14ac:dyDescent="0.25">
      <c r="A200" s="16" t="str">
        <f>HYPERLINK("http://amigo.geneontology.org/amigo/term/GO:0071918","GO:0071918")</f>
        <v>GO:0071918</v>
      </c>
      <c r="B200" t="s">
        <v>896</v>
      </c>
      <c r="C200" s="1">
        <v>1.307E-3</v>
      </c>
      <c r="D200" s="1">
        <v>1.4940000000000001E-3</v>
      </c>
      <c r="E200">
        <v>3</v>
      </c>
      <c r="F200" t="s">
        <v>1840</v>
      </c>
      <c r="G200" t="s">
        <v>2022</v>
      </c>
    </row>
    <row r="201" spans="1:7" x14ac:dyDescent="0.25">
      <c r="A201" s="16" t="str">
        <f>HYPERLINK("http://amigo.geneontology.org/amigo/term/GO:0002215","GO:0002215")</f>
        <v>GO:0002215</v>
      </c>
      <c r="B201" t="s">
        <v>897</v>
      </c>
      <c r="C201" s="1">
        <v>1.307E-3</v>
      </c>
      <c r="D201" s="1">
        <v>1.4940000000000001E-3</v>
      </c>
      <c r="E201">
        <v>3</v>
      </c>
      <c r="F201" t="s">
        <v>1840</v>
      </c>
      <c r="G201" t="s">
        <v>1907</v>
      </c>
    </row>
    <row r="202" spans="1:7" x14ac:dyDescent="0.25">
      <c r="A202" s="16" t="str">
        <f>HYPERLINK("http://amigo.geneontology.org/amigo/term/GO:0010446","GO:0010446")</f>
        <v>GO:0010446</v>
      </c>
      <c r="B202" t="s">
        <v>898</v>
      </c>
      <c r="C202" s="1">
        <v>1.307E-3</v>
      </c>
      <c r="D202" s="1">
        <v>1.4940000000000001E-3</v>
      </c>
      <c r="E202">
        <v>3</v>
      </c>
      <c r="F202" t="s">
        <v>1840</v>
      </c>
      <c r="G202" t="s">
        <v>1968</v>
      </c>
    </row>
    <row r="203" spans="1:7" x14ac:dyDescent="0.25">
      <c r="A203" s="16" t="str">
        <f>HYPERLINK("http://amigo.geneontology.org/amigo/term/GO:1903426","GO:1903426")</f>
        <v>GO:1903426</v>
      </c>
      <c r="B203" t="s">
        <v>899</v>
      </c>
      <c r="C203" s="1">
        <v>1.307E-3</v>
      </c>
      <c r="D203" s="1">
        <v>1.4940000000000001E-3</v>
      </c>
      <c r="E203">
        <v>3</v>
      </c>
      <c r="F203" t="s">
        <v>1840</v>
      </c>
      <c r="G203" t="s">
        <v>1897</v>
      </c>
    </row>
    <row r="204" spans="1:7" x14ac:dyDescent="0.25">
      <c r="A204" s="16" t="str">
        <f>HYPERLINK("http://amigo.geneontology.org/amigo/term/GO:0010728","GO:0010728")</f>
        <v>GO:0010728</v>
      </c>
      <c r="B204" t="s">
        <v>900</v>
      </c>
      <c r="C204" s="1">
        <v>1.307E-3</v>
      </c>
      <c r="D204" s="1">
        <v>1.4940000000000001E-3</v>
      </c>
      <c r="E204">
        <v>3</v>
      </c>
      <c r="F204" t="s">
        <v>1840</v>
      </c>
      <c r="G204" t="s">
        <v>1897</v>
      </c>
    </row>
    <row r="205" spans="1:7" x14ac:dyDescent="0.25">
      <c r="A205" s="16" t="str">
        <f>HYPERLINK("http://amigo.geneontology.org/amigo/term/GO:0080027","GO:0080027")</f>
        <v>GO:0080027</v>
      </c>
      <c r="B205" t="s">
        <v>901</v>
      </c>
      <c r="C205" s="1">
        <v>1.307E-3</v>
      </c>
      <c r="D205" s="1">
        <v>1.4940000000000001E-3</v>
      </c>
      <c r="E205">
        <v>3</v>
      </c>
      <c r="F205" t="s">
        <v>1840</v>
      </c>
      <c r="G205" t="s">
        <v>1897</v>
      </c>
    </row>
    <row r="206" spans="1:7" x14ac:dyDescent="0.25">
      <c r="A206" s="16" t="str">
        <f>HYPERLINK("http://amigo.geneontology.org/amigo/term/GO:0080140","GO:0080140")</f>
        <v>GO:0080140</v>
      </c>
      <c r="B206" t="s">
        <v>902</v>
      </c>
      <c r="C206" s="1">
        <v>1.307E-3</v>
      </c>
      <c r="D206" s="1">
        <v>1.4940000000000001E-3</v>
      </c>
      <c r="E206">
        <v>3</v>
      </c>
      <c r="F206" t="s">
        <v>1840</v>
      </c>
      <c r="G206" t="s">
        <v>1897</v>
      </c>
    </row>
    <row r="207" spans="1:7" x14ac:dyDescent="0.25">
      <c r="A207" s="16" t="str">
        <f>HYPERLINK("http://amigo.geneontology.org/amigo/term/GO:0080141","GO:0080141")</f>
        <v>GO:0080141</v>
      </c>
      <c r="B207" t="s">
        <v>903</v>
      </c>
      <c r="C207" s="1">
        <v>1.307E-3</v>
      </c>
      <c r="D207" s="1">
        <v>1.4940000000000001E-3</v>
      </c>
      <c r="E207">
        <v>3</v>
      </c>
      <c r="F207" t="s">
        <v>1840</v>
      </c>
      <c r="G207" t="s">
        <v>1897</v>
      </c>
    </row>
    <row r="208" spans="1:7" x14ac:dyDescent="0.25">
      <c r="A208" s="16" t="str">
        <f>HYPERLINK("http://amigo.geneontology.org/amigo/term/GO:0090332","GO:0090332")</f>
        <v>GO:0090332</v>
      </c>
      <c r="B208" t="s">
        <v>904</v>
      </c>
      <c r="C208" s="1">
        <v>1.307E-3</v>
      </c>
      <c r="D208" s="1">
        <v>1.4940000000000001E-3</v>
      </c>
      <c r="E208">
        <v>3</v>
      </c>
      <c r="F208" t="s">
        <v>1840</v>
      </c>
      <c r="G208" t="s">
        <v>2021</v>
      </c>
    </row>
    <row r="209" spans="1:7" x14ac:dyDescent="0.25">
      <c r="A209" s="16" t="str">
        <f>HYPERLINK("http://amigo.geneontology.org/amigo/term/GO:0033273","GO:0033273")</f>
        <v>GO:0033273</v>
      </c>
      <c r="B209" t="s">
        <v>905</v>
      </c>
      <c r="C209" s="1">
        <v>1.307E-3</v>
      </c>
      <c r="D209" s="1">
        <v>1.4940000000000001E-3</v>
      </c>
      <c r="E209">
        <v>3</v>
      </c>
      <c r="F209" t="s">
        <v>1840</v>
      </c>
      <c r="G209" t="s">
        <v>1844</v>
      </c>
    </row>
    <row r="210" spans="1:7" x14ac:dyDescent="0.25">
      <c r="A210" s="16" t="str">
        <f>HYPERLINK("http://amigo.geneontology.org/amigo/term/GO:0033274","GO:0033274")</f>
        <v>GO:0033274</v>
      </c>
      <c r="B210" t="s">
        <v>906</v>
      </c>
      <c r="C210" s="1">
        <v>1.307E-3</v>
      </c>
      <c r="D210" s="1">
        <v>1.4940000000000001E-3</v>
      </c>
      <c r="E210">
        <v>3</v>
      </c>
      <c r="F210" t="s">
        <v>1840</v>
      </c>
      <c r="G210" t="s">
        <v>1844</v>
      </c>
    </row>
    <row r="211" spans="1:7" x14ac:dyDescent="0.25">
      <c r="A211" s="16" t="str">
        <f>HYPERLINK("http://amigo.geneontology.org/amigo/term/GO:0051090","GO:0051090")</f>
        <v>GO:0051090</v>
      </c>
      <c r="B211" t="s">
        <v>907</v>
      </c>
      <c r="C211" s="1">
        <v>1.3489999999999999E-3</v>
      </c>
      <c r="D211" s="1">
        <v>1.542E-3</v>
      </c>
      <c r="E211">
        <v>11</v>
      </c>
      <c r="F211" t="s">
        <v>177</v>
      </c>
      <c r="G211" t="s">
        <v>2020</v>
      </c>
    </row>
    <row r="212" spans="1:7" x14ac:dyDescent="0.25">
      <c r="A212" s="16" t="str">
        <f>HYPERLINK("http://amigo.geneontology.org/amigo/term/GO:0045088","GO:0045088")</f>
        <v>GO:0045088</v>
      </c>
      <c r="B212" t="s">
        <v>908</v>
      </c>
      <c r="C212" s="1">
        <v>1.4580000000000001E-3</v>
      </c>
      <c r="D212" s="1">
        <v>1.6670000000000001E-3</v>
      </c>
      <c r="E212">
        <v>40</v>
      </c>
      <c r="F212" t="s">
        <v>2019</v>
      </c>
      <c r="G212" t="s">
        <v>2018</v>
      </c>
    </row>
    <row r="213" spans="1:7" x14ac:dyDescent="0.25">
      <c r="A213" s="16" t="str">
        <f>HYPERLINK("http://amigo.geneontology.org/amigo/term/GO:0048367","GO:0048367")</f>
        <v>GO:0048367</v>
      </c>
      <c r="B213" t="s">
        <v>909</v>
      </c>
      <c r="C213" s="1">
        <v>1.4649999999999999E-3</v>
      </c>
      <c r="D213" s="1">
        <v>1.673E-3</v>
      </c>
      <c r="E213">
        <v>262</v>
      </c>
      <c r="F213" t="s">
        <v>2017</v>
      </c>
      <c r="G213" t="s">
        <v>2016</v>
      </c>
    </row>
    <row r="214" spans="1:7" x14ac:dyDescent="0.25">
      <c r="A214" s="16" t="str">
        <f>HYPERLINK("http://amigo.geneontology.org/amigo/term/GO:0070482","GO:0070482")</f>
        <v>GO:0070482</v>
      </c>
      <c r="B214" t="s">
        <v>910</v>
      </c>
      <c r="C214" s="1">
        <v>1.4790000000000001E-3</v>
      </c>
      <c r="D214" s="1">
        <v>1.689E-3</v>
      </c>
      <c r="E214">
        <v>24</v>
      </c>
      <c r="F214" t="s">
        <v>169</v>
      </c>
      <c r="G214" t="s">
        <v>2015</v>
      </c>
    </row>
    <row r="215" spans="1:7" x14ac:dyDescent="0.25">
      <c r="A215" s="16" t="str">
        <f>HYPERLINK("http://amigo.geneontology.org/amigo/term/GO:0046622","GO:0046622")</f>
        <v>GO:0046622</v>
      </c>
      <c r="B215" t="s">
        <v>911</v>
      </c>
      <c r="C215" s="1">
        <v>1.771E-3</v>
      </c>
      <c r="D215" s="1">
        <v>2.0219999999999999E-3</v>
      </c>
      <c r="E215">
        <v>12</v>
      </c>
      <c r="F215" t="s">
        <v>194</v>
      </c>
      <c r="G215" t="s">
        <v>1896</v>
      </c>
    </row>
    <row r="216" spans="1:7" x14ac:dyDescent="0.25">
      <c r="A216" s="16" t="str">
        <f>HYPERLINK("http://amigo.geneontology.org/amigo/term/GO:0070297","GO:0070297")</f>
        <v>GO:0070297</v>
      </c>
      <c r="B216" t="s">
        <v>912</v>
      </c>
      <c r="C216" s="1">
        <v>1.771E-3</v>
      </c>
      <c r="D216" s="1">
        <v>2.0219999999999999E-3</v>
      </c>
      <c r="E216">
        <v>12</v>
      </c>
      <c r="F216" t="s">
        <v>194</v>
      </c>
      <c r="G216" t="s">
        <v>1998</v>
      </c>
    </row>
    <row r="217" spans="1:7" x14ac:dyDescent="0.25">
      <c r="A217" s="16" t="str">
        <f>HYPERLINK("http://amigo.geneontology.org/amigo/term/GO:0010104","GO:0010104")</f>
        <v>GO:0010104</v>
      </c>
      <c r="B217" t="s">
        <v>913</v>
      </c>
      <c r="C217" s="1">
        <v>1.771E-3</v>
      </c>
      <c r="D217" s="1">
        <v>2.0219999999999999E-3</v>
      </c>
      <c r="E217">
        <v>12</v>
      </c>
      <c r="F217" t="s">
        <v>194</v>
      </c>
      <c r="G217" t="s">
        <v>1998</v>
      </c>
    </row>
    <row r="218" spans="1:7" x14ac:dyDescent="0.25">
      <c r="A218" s="16" t="str">
        <f>HYPERLINK("http://amigo.geneontology.org/amigo/term/GO:0071322","GO:0071322")</f>
        <v>GO:0071322</v>
      </c>
      <c r="B218" t="s">
        <v>914</v>
      </c>
      <c r="C218" s="1">
        <v>1.771E-3</v>
      </c>
      <c r="D218" s="1">
        <v>2.0219999999999999E-3</v>
      </c>
      <c r="E218">
        <v>12</v>
      </c>
      <c r="F218" t="s">
        <v>194</v>
      </c>
      <c r="G218" t="s">
        <v>1998</v>
      </c>
    </row>
    <row r="219" spans="1:7" x14ac:dyDescent="0.25">
      <c r="A219" s="16" t="str">
        <f>HYPERLINK("http://amigo.geneontology.org/amigo/term/GO:0045927","GO:0045927")</f>
        <v>GO:0045927</v>
      </c>
      <c r="B219" t="s">
        <v>915</v>
      </c>
      <c r="C219" s="1">
        <v>1.774E-3</v>
      </c>
      <c r="D219" s="1">
        <v>2.0249999999999999E-3</v>
      </c>
      <c r="E219">
        <v>61</v>
      </c>
      <c r="F219" t="s">
        <v>2014</v>
      </c>
      <c r="G219" t="s">
        <v>2013</v>
      </c>
    </row>
    <row r="220" spans="1:7" x14ac:dyDescent="0.25">
      <c r="A220" s="16" t="str">
        <f>HYPERLINK("http://amigo.geneontology.org/amigo/term/GO:0016042","GO:0016042")</f>
        <v>GO:0016042</v>
      </c>
      <c r="B220" t="s">
        <v>916</v>
      </c>
      <c r="C220" s="1">
        <v>1.8190000000000001E-3</v>
      </c>
      <c r="D220" s="1">
        <v>2.0769999999999999E-3</v>
      </c>
      <c r="E220">
        <v>239</v>
      </c>
      <c r="F220" t="s">
        <v>2012</v>
      </c>
      <c r="G220" t="s">
        <v>2011</v>
      </c>
    </row>
    <row r="221" spans="1:7" x14ac:dyDescent="0.25">
      <c r="A221" s="16" t="str">
        <f>HYPERLINK("http://amigo.geneontology.org/amigo/term/GO:0071367","GO:0071367")</f>
        <v>GO:0071367</v>
      </c>
      <c r="B221" t="s">
        <v>917</v>
      </c>
      <c r="C221" s="1">
        <v>1.8209999999999999E-3</v>
      </c>
      <c r="D221" s="1">
        <v>2.078E-3</v>
      </c>
      <c r="E221">
        <v>42</v>
      </c>
      <c r="F221" t="s">
        <v>2010</v>
      </c>
      <c r="G221" t="s">
        <v>1953</v>
      </c>
    </row>
    <row r="222" spans="1:7" x14ac:dyDescent="0.25">
      <c r="A222" s="16" t="str">
        <f>HYPERLINK("http://amigo.geneontology.org/amigo/term/GO:0019222","GO:0019222")</f>
        <v>GO:0019222</v>
      </c>
      <c r="B222" t="s">
        <v>918</v>
      </c>
      <c r="C222" s="1">
        <v>1.8890000000000001E-3</v>
      </c>
      <c r="D222" s="1">
        <v>2.1549999999999998E-3</v>
      </c>
      <c r="E222">
        <v>5424</v>
      </c>
      <c r="F222" t="s">
        <v>2009</v>
      </c>
      <c r="G222" t="s">
        <v>2008</v>
      </c>
    </row>
    <row r="223" spans="1:7" x14ac:dyDescent="0.25">
      <c r="A223" s="16" t="str">
        <f>HYPERLINK("http://amigo.geneontology.org/amigo/term/GO:0010647","GO:0010647")</f>
        <v>GO:0010647</v>
      </c>
      <c r="B223" t="s">
        <v>919</v>
      </c>
      <c r="C223" s="1">
        <v>1.9289999999999999E-3</v>
      </c>
      <c r="D223" s="1">
        <v>2.2009999999999998E-3</v>
      </c>
      <c r="E223">
        <v>62</v>
      </c>
      <c r="F223" t="s">
        <v>2007</v>
      </c>
      <c r="G223" t="s">
        <v>2006</v>
      </c>
    </row>
    <row r="224" spans="1:7" x14ac:dyDescent="0.25">
      <c r="A224" s="16" t="str">
        <f>HYPERLINK("http://amigo.geneontology.org/amigo/term/GO:0048518","GO:0048518")</f>
        <v>GO:0048518</v>
      </c>
      <c r="B224" t="s">
        <v>920</v>
      </c>
      <c r="C224" s="1">
        <v>1.9419999999999999E-3</v>
      </c>
      <c r="D224" s="1">
        <v>2.215E-3</v>
      </c>
      <c r="E224">
        <v>870</v>
      </c>
      <c r="F224" t="s">
        <v>2005</v>
      </c>
      <c r="G224" t="s">
        <v>2004</v>
      </c>
    </row>
    <row r="225" spans="1:7" x14ac:dyDescent="0.25">
      <c r="A225" s="16" t="str">
        <f>HYPERLINK("http://amigo.geneontology.org/amigo/term/GO:0120255","GO:0120255")</f>
        <v>GO:0120255</v>
      </c>
      <c r="B225" t="s">
        <v>921</v>
      </c>
      <c r="C225" s="1">
        <v>2.026E-3</v>
      </c>
      <c r="D225" s="1">
        <v>2.3089999999999999E-3</v>
      </c>
      <c r="E225">
        <v>43</v>
      </c>
      <c r="F225" t="s">
        <v>2003</v>
      </c>
      <c r="G225" t="s">
        <v>1912</v>
      </c>
    </row>
    <row r="226" spans="1:7" x14ac:dyDescent="0.25">
      <c r="A226" s="16" t="str">
        <f>HYPERLINK("http://amigo.geneontology.org/amigo/term/GO:0031323","GO:0031323")</f>
        <v>GO:0031323</v>
      </c>
      <c r="B226" t="s">
        <v>922</v>
      </c>
      <c r="C226" s="1">
        <v>2.0929999999999998E-3</v>
      </c>
      <c r="D226" s="1">
        <v>2.385E-3</v>
      </c>
      <c r="E226">
        <v>5099</v>
      </c>
      <c r="F226" t="s">
        <v>2002</v>
      </c>
      <c r="G226" t="s">
        <v>2001</v>
      </c>
    </row>
    <row r="227" spans="1:7" x14ac:dyDescent="0.25">
      <c r="A227" s="16" t="str">
        <f>HYPERLINK("http://amigo.geneontology.org/amigo/term/GO:0051171","GO:0051171")</f>
        <v>GO:0051171</v>
      </c>
      <c r="B227" t="s">
        <v>923</v>
      </c>
      <c r="C227" s="1">
        <v>2.2169999999999998E-3</v>
      </c>
      <c r="D227" s="1">
        <v>2.526E-3</v>
      </c>
      <c r="E227">
        <v>4980</v>
      </c>
      <c r="F227" t="s">
        <v>2000</v>
      </c>
      <c r="G227" t="s">
        <v>1999</v>
      </c>
    </row>
    <row r="228" spans="1:7" x14ac:dyDescent="0.25">
      <c r="A228" s="16" t="str">
        <f>HYPERLINK("http://amigo.geneontology.org/amigo/term/GO:1902532","GO:1902532")</f>
        <v>GO:1902532</v>
      </c>
      <c r="B228" t="s">
        <v>924</v>
      </c>
      <c r="C228" s="1">
        <v>2.2659999999999998E-3</v>
      </c>
      <c r="D228" s="1">
        <v>2.5820000000000001E-3</v>
      </c>
      <c r="E228">
        <v>13</v>
      </c>
      <c r="F228" t="s">
        <v>206</v>
      </c>
      <c r="G228" t="s">
        <v>1998</v>
      </c>
    </row>
    <row r="229" spans="1:7" x14ac:dyDescent="0.25">
      <c r="A229" s="16" t="str">
        <f>HYPERLINK("http://amigo.geneontology.org/amigo/term/GO:0006749","GO:0006749")</f>
        <v>GO:0006749</v>
      </c>
      <c r="B229" t="s">
        <v>48</v>
      </c>
      <c r="C229" s="1">
        <v>2.274E-3</v>
      </c>
      <c r="D229" s="1">
        <v>2.5899999999999999E-3</v>
      </c>
      <c r="E229">
        <v>399</v>
      </c>
      <c r="F229" t="s">
        <v>1997</v>
      </c>
      <c r="G229" t="s">
        <v>1996</v>
      </c>
    </row>
    <row r="230" spans="1:7" x14ac:dyDescent="0.25">
      <c r="A230" s="16" t="str">
        <f>HYPERLINK("http://amigo.geneontology.org/amigo/term/GO:0042430","GO:0042430")</f>
        <v>GO:0042430</v>
      </c>
      <c r="B230" t="s">
        <v>925</v>
      </c>
      <c r="C230" s="1">
        <v>2.2769999999999999E-3</v>
      </c>
      <c r="D230" s="1">
        <v>2.5929999999999998E-3</v>
      </c>
      <c r="E230">
        <v>86</v>
      </c>
      <c r="F230" t="s">
        <v>1995</v>
      </c>
      <c r="G230" t="s">
        <v>1994</v>
      </c>
    </row>
    <row r="231" spans="1:7" x14ac:dyDescent="0.25">
      <c r="A231" s="16" t="str">
        <f>HYPERLINK("http://amigo.geneontology.org/amigo/term/GO:0045815","GO:0045815")</f>
        <v>GO:0045815</v>
      </c>
      <c r="B231" t="s">
        <v>926</v>
      </c>
      <c r="C231" s="1">
        <v>2.5769999999999999E-3</v>
      </c>
      <c r="D231" s="1">
        <v>2.934E-3</v>
      </c>
      <c r="E231">
        <v>4</v>
      </c>
      <c r="F231" t="s">
        <v>1839</v>
      </c>
      <c r="G231" t="s">
        <v>1969</v>
      </c>
    </row>
    <row r="232" spans="1:7" x14ac:dyDescent="0.25">
      <c r="A232" s="16" t="str">
        <f>HYPERLINK("http://amigo.geneontology.org/amigo/term/GO:0018871","GO:0018871")</f>
        <v>GO:0018871</v>
      </c>
      <c r="B232" t="s">
        <v>927</v>
      </c>
      <c r="C232" s="1">
        <v>2.5769999999999999E-3</v>
      </c>
      <c r="D232" s="1">
        <v>2.934E-3</v>
      </c>
      <c r="E232">
        <v>4</v>
      </c>
      <c r="F232" t="s">
        <v>1839</v>
      </c>
      <c r="G232" t="s">
        <v>1993</v>
      </c>
    </row>
    <row r="233" spans="1:7" x14ac:dyDescent="0.25">
      <c r="A233" s="16" t="str">
        <f>HYPERLINK("http://amigo.geneontology.org/amigo/term/GO:0042218","GO:0042218")</f>
        <v>GO:0042218</v>
      </c>
      <c r="B233" t="s">
        <v>928</v>
      </c>
      <c r="C233" s="1">
        <v>2.5769999999999999E-3</v>
      </c>
      <c r="D233" s="1">
        <v>2.934E-3</v>
      </c>
      <c r="E233">
        <v>4</v>
      </c>
      <c r="F233" t="s">
        <v>1839</v>
      </c>
      <c r="G233" t="s">
        <v>1993</v>
      </c>
    </row>
    <row r="234" spans="1:7" x14ac:dyDescent="0.25">
      <c r="A234" s="16" t="str">
        <f>HYPERLINK("http://amigo.geneontology.org/amigo/term/GO:0035627","GO:0035627")</f>
        <v>GO:0035627</v>
      </c>
      <c r="B234" t="s">
        <v>929</v>
      </c>
      <c r="C234" s="1">
        <v>2.5769999999999999E-3</v>
      </c>
      <c r="D234" s="1">
        <v>2.934E-3</v>
      </c>
      <c r="E234">
        <v>4</v>
      </c>
      <c r="F234" t="s">
        <v>1839</v>
      </c>
      <c r="G234" t="s">
        <v>1992</v>
      </c>
    </row>
    <row r="235" spans="1:7" x14ac:dyDescent="0.25">
      <c r="A235" s="16" t="str">
        <f>HYPERLINK("http://amigo.geneontology.org/amigo/term/GO:1902389","GO:1902389")</f>
        <v>GO:1902389</v>
      </c>
      <c r="B235" t="s">
        <v>930</v>
      </c>
      <c r="C235" s="1">
        <v>2.5769999999999999E-3</v>
      </c>
      <c r="D235" s="1">
        <v>2.934E-3</v>
      </c>
      <c r="E235">
        <v>4</v>
      </c>
      <c r="F235" t="s">
        <v>1839</v>
      </c>
      <c r="G235" t="s">
        <v>1992</v>
      </c>
    </row>
    <row r="236" spans="1:7" x14ac:dyDescent="0.25">
      <c r="A236" s="16" t="str">
        <f>HYPERLINK("http://amigo.geneontology.org/amigo/term/GO:0071396","GO:0071396")</f>
        <v>GO:0071396</v>
      </c>
      <c r="B236" t="s">
        <v>931</v>
      </c>
      <c r="C236" s="1">
        <v>2.6619999999999999E-3</v>
      </c>
      <c r="D236" s="1">
        <v>3.029E-3</v>
      </c>
      <c r="E236">
        <v>192</v>
      </c>
      <c r="F236" t="s">
        <v>1991</v>
      </c>
      <c r="G236" t="s">
        <v>1990</v>
      </c>
    </row>
    <row r="237" spans="1:7" x14ac:dyDescent="0.25">
      <c r="A237" s="16" t="str">
        <f>HYPERLINK("http://amigo.geneontology.org/amigo/term/GO:0010229","GO:0010229")</f>
        <v>GO:0010229</v>
      </c>
      <c r="B237" t="s">
        <v>932</v>
      </c>
      <c r="C237" s="1">
        <v>2.8389999999999999E-3</v>
      </c>
      <c r="D237" s="1">
        <v>3.2309999999999999E-3</v>
      </c>
      <c r="E237">
        <v>14</v>
      </c>
      <c r="F237" t="s">
        <v>1989</v>
      </c>
      <c r="G237" t="s">
        <v>1876</v>
      </c>
    </row>
    <row r="238" spans="1:7" x14ac:dyDescent="0.25">
      <c r="A238" s="16" t="str">
        <f>HYPERLINK("http://amigo.geneontology.org/amigo/term/GO:0000041","GO:0000041")</f>
        <v>GO:0000041</v>
      </c>
      <c r="B238" t="s">
        <v>933</v>
      </c>
      <c r="C238" s="1">
        <v>2.9550000000000002E-3</v>
      </c>
      <c r="D238" s="1">
        <v>3.3609999999999998E-3</v>
      </c>
      <c r="E238">
        <v>140</v>
      </c>
      <c r="F238" t="s">
        <v>1988</v>
      </c>
      <c r="G238" t="s">
        <v>1987</v>
      </c>
    </row>
    <row r="239" spans="1:7" x14ac:dyDescent="0.25">
      <c r="A239" s="16" t="str">
        <f>HYPERLINK("http://amigo.geneontology.org/amigo/term/GO:0097305","GO:0097305")</f>
        <v>GO:0097305</v>
      </c>
      <c r="B239" t="s">
        <v>934</v>
      </c>
      <c r="C239" s="1">
        <v>3.0599999999999998E-3</v>
      </c>
      <c r="D239" s="1">
        <v>3.48E-3</v>
      </c>
      <c r="E239">
        <v>284</v>
      </c>
      <c r="F239" t="s">
        <v>1986</v>
      </c>
      <c r="G239" t="s">
        <v>1985</v>
      </c>
    </row>
    <row r="240" spans="1:7" x14ac:dyDescent="0.25">
      <c r="A240" s="16" t="str">
        <f>HYPERLINK("http://amigo.geneontology.org/amigo/term/GO:0009737","GO:0009737")</f>
        <v>GO:0009737</v>
      </c>
      <c r="B240" t="s">
        <v>935</v>
      </c>
      <c r="C240" s="1">
        <v>3.0599999999999998E-3</v>
      </c>
      <c r="D240" s="1">
        <v>3.48E-3</v>
      </c>
      <c r="E240">
        <v>284</v>
      </c>
      <c r="F240" t="s">
        <v>1986</v>
      </c>
      <c r="G240" t="s">
        <v>1985</v>
      </c>
    </row>
    <row r="241" spans="1:7" x14ac:dyDescent="0.25">
      <c r="A241" s="16" t="str">
        <f>HYPERLINK("http://amigo.geneontology.org/amigo/term/GO:0009867","GO:0009867")</f>
        <v>GO:0009867</v>
      </c>
      <c r="B241" t="s">
        <v>936</v>
      </c>
      <c r="C241" s="1">
        <v>3.4510000000000001E-3</v>
      </c>
      <c r="D241" s="1">
        <v>3.9240000000000004E-3</v>
      </c>
      <c r="E241">
        <v>30</v>
      </c>
      <c r="F241" t="s">
        <v>1841</v>
      </c>
      <c r="G241" t="s">
        <v>1971</v>
      </c>
    </row>
    <row r="242" spans="1:7" x14ac:dyDescent="0.25">
      <c r="A242" s="16" t="str">
        <f>HYPERLINK("http://amigo.geneontology.org/amigo/term/GO:0006542","GO:0006542")</f>
        <v>GO:0006542</v>
      </c>
      <c r="B242" t="s">
        <v>937</v>
      </c>
      <c r="C242" s="1">
        <v>3.4940000000000001E-3</v>
      </c>
      <c r="D242" s="1">
        <v>3.9719999999999998E-3</v>
      </c>
      <c r="E242">
        <v>15</v>
      </c>
      <c r="F242" t="s">
        <v>232</v>
      </c>
      <c r="G242" t="s">
        <v>1984</v>
      </c>
    </row>
    <row r="243" spans="1:7" x14ac:dyDescent="0.25">
      <c r="A243" s="16" t="str">
        <f>HYPERLINK("http://amigo.geneontology.org/amigo/term/GO:0048639","GO:0048639")</f>
        <v>GO:0048639</v>
      </c>
      <c r="B243" t="s">
        <v>938</v>
      </c>
      <c r="C243" s="1">
        <v>3.4940000000000001E-3</v>
      </c>
      <c r="D243" s="1">
        <v>3.9719999999999998E-3</v>
      </c>
      <c r="E243">
        <v>15</v>
      </c>
      <c r="F243" t="s">
        <v>232</v>
      </c>
      <c r="G243" t="s">
        <v>1896</v>
      </c>
    </row>
    <row r="244" spans="1:7" x14ac:dyDescent="0.25">
      <c r="A244" s="16" t="str">
        <f>HYPERLINK("http://amigo.geneontology.org/amigo/term/GO:0042330","GO:0042330")</f>
        <v>GO:0042330</v>
      </c>
      <c r="B244" t="s">
        <v>939</v>
      </c>
      <c r="C244" s="1">
        <v>3.4940000000000001E-3</v>
      </c>
      <c r="D244" s="1">
        <v>3.9719999999999998E-3</v>
      </c>
      <c r="E244">
        <v>15</v>
      </c>
      <c r="F244" t="s">
        <v>232</v>
      </c>
      <c r="G244" t="s">
        <v>1876</v>
      </c>
    </row>
    <row r="245" spans="1:7" x14ac:dyDescent="0.25">
      <c r="A245" s="16" t="str">
        <f>HYPERLINK("http://amigo.geneontology.org/amigo/term/GO:0006935","GO:0006935")</f>
        <v>GO:0006935</v>
      </c>
      <c r="B245" t="s">
        <v>940</v>
      </c>
      <c r="C245" s="1">
        <v>3.4940000000000001E-3</v>
      </c>
      <c r="D245" s="1">
        <v>3.9719999999999998E-3</v>
      </c>
      <c r="E245">
        <v>15</v>
      </c>
      <c r="F245" t="s">
        <v>232</v>
      </c>
      <c r="G245" t="s">
        <v>1876</v>
      </c>
    </row>
    <row r="246" spans="1:7" x14ac:dyDescent="0.25">
      <c r="A246" s="16" t="str">
        <f>HYPERLINK("http://amigo.geneontology.org/amigo/term/GO:0050918","GO:0050918")</f>
        <v>GO:0050918</v>
      </c>
      <c r="B246" t="s">
        <v>941</v>
      </c>
      <c r="C246" s="1">
        <v>3.4940000000000001E-3</v>
      </c>
      <c r="D246" s="1">
        <v>3.9719999999999998E-3</v>
      </c>
      <c r="E246">
        <v>15</v>
      </c>
      <c r="F246" t="s">
        <v>232</v>
      </c>
      <c r="G246" t="s">
        <v>1876</v>
      </c>
    </row>
    <row r="247" spans="1:7" x14ac:dyDescent="0.25">
      <c r="A247" s="16" t="str">
        <f>HYPERLINK("http://amigo.geneontology.org/amigo/term/GO:0010183","GO:0010183")</f>
        <v>GO:0010183</v>
      </c>
      <c r="B247" t="s">
        <v>942</v>
      </c>
      <c r="C247" s="1">
        <v>3.4940000000000001E-3</v>
      </c>
      <c r="D247" s="1">
        <v>3.9719999999999998E-3</v>
      </c>
      <c r="E247">
        <v>15</v>
      </c>
      <c r="F247" t="s">
        <v>232</v>
      </c>
      <c r="G247" t="s">
        <v>1876</v>
      </c>
    </row>
    <row r="248" spans="1:7" x14ac:dyDescent="0.25">
      <c r="A248" s="16" t="str">
        <f>HYPERLINK("http://amigo.geneontology.org/amigo/term/GO:0006869","GO:0006869")</f>
        <v>GO:0006869</v>
      </c>
      <c r="B248" t="s">
        <v>943</v>
      </c>
      <c r="C248" s="1">
        <v>3.7959999999999999E-3</v>
      </c>
      <c r="D248" s="1">
        <v>4.3140000000000001E-3</v>
      </c>
      <c r="E248">
        <v>291</v>
      </c>
      <c r="F248" t="s">
        <v>1983</v>
      </c>
      <c r="G248" t="s">
        <v>1976</v>
      </c>
    </row>
    <row r="249" spans="1:7" x14ac:dyDescent="0.25">
      <c r="A249" s="16" t="str">
        <f>HYPERLINK("http://amigo.geneontology.org/amigo/term/GO:0060255","GO:0060255")</f>
        <v>GO:0060255</v>
      </c>
      <c r="B249" t="s">
        <v>944</v>
      </c>
      <c r="C249" s="1">
        <v>4.3229999999999996E-3</v>
      </c>
      <c r="D249" s="1">
        <v>4.9119999999999997E-3</v>
      </c>
      <c r="E249">
        <v>5293</v>
      </c>
      <c r="F249" t="s">
        <v>1982</v>
      </c>
      <c r="G249" t="s">
        <v>1981</v>
      </c>
    </row>
    <row r="250" spans="1:7" x14ac:dyDescent="0.25">
      <c r="A250" s="16" t="str">
        <f>HYPERLINK("http://amigo.geneontology.org/amigo/term/GO:0015748","GO:0015748")</f>
        <v>GO:0015748</v>
      </c>
      <c r="B250" t="s">
        <v>945</v>
      </c>
      <c r="C250" s="1">
        <v>4.3990000000000001E-3</v>
      </c>
      <c r="D250" s="1">
        <v>4.9969999999999997E-3</v>
      </c>
      <c r="E250">
        <v>73</v>
      </c>
      <c r="F250" t="s">
        <v>1980</v>
      </c>
      <c r="G250" t="s">
        <v>1979</v>
      </c>
    </row>
    <row r="251" spans="1:7" x14ac:dyDescent="0.25">
      <c r="A251" s="16" t="str">
        <f>HYPERLINK("http://amigo.geneontology.org/amigo/term/GO:0071395","GO:0071395")</f>
        <v>GO:0071395</v>
      </c>
      <c r="B251" t="s">
        <v>946</v>
      </c>
      <c r="C251" s="1">
        <v>4.9030000000000002E-3</v>
      </c>
      <c r="D251" s="1">
        <v>5.568E-3</v>
      </c>
      <c r="E251">
        <v>33</v>
      </c>
      <c r="F251" t="s">
        <v>1978</v>
      </c>
      <c r="G251" t="s">
        <v>1971</v>
      </c>
    </row>
    <row r="252" spans="1:7" x14ac:dyDescent="0.25">
      <c r="A252" s="16" t="str">
        <f>HYPERLINK("http://amigo.geneontology.org/amigo/term/GO:0010876","GO:0010876")</f>
        <v>GO:0010876</v>
      </c>
      <c r="B252" t="s">
        <v>947</v>
      </c>
      <c r="C252" s="1">
        <v>4.947E-3</v>
      </c>
      <c r="D252" s="1">
        <v>5.6169999999999996E-3</v>
      </c>
      <c r="E252">
        <v>300</v>
      </c>
      <c r="F252" t="s">
        <v>1977</v>
      </c>
      <c r="G252" t="s">
        <v>1976</v>
      </c>
    </row>
    <row r="253" spans="1:7" x14ac:dyDescent="0.25">
      <c r="A253" s="16" t="str">
        <f>HYPERLINK("http://amigo.geneontology.org/amigo/term/GO:0006575","GO:0006575")</f>
        <v>GO:0006575</v>
      </c>
      <c r="B253" t="s">
        <v>23</v>
      </c>
      <c r="C253" s="1">
        <v>4.9890000000000004E-3</v>
      </c>
      <c r="D253" s="1">
        <v>5.6629999999999996E-3</v>
      </c>
      <c r="E253">
        <v>464</v>
      </c>
      <c r="F253" t="s">
        <v>1975</v>
      </c>
      <c r="G253" t="s">
        <v>1974</v>
      </c>
    </row>
    <row r="254" spans="1:7" x14ac:dyDescent="0.25">
      <c r="A254" s="16" t="str">
        <f>HYPERLINK("http://amigo.geneontology.org/amigo/term/GO:0009765","GO:0009765")</f>
        <v>GO:0009765</v>
      </c>
      <c r="B254" t="s">
        <v>948</v>
      </c>
      <c r="C254" s="1">
        <v>4.9950000000000003E-3</v>
      </c>
      <c r="D254" s="1">
        <v>5.6680000000000003E-3</v>
      </c>
      <c r="E254">
        <v>99</v>
      </c>
      <c r="F254" t="s">
        <v>198</v>
      </c>
      <c r="G254" t="s">
        <v>1973</v>
      </c>
    </row>
    <row r="255" spans="1:7" x14ac:dyDescent="0.25">
      <c r="A255" s="16" t="str">
        <f>HYPERLINK("http://amigo.geneontology.org/amigo/term/GO:0016567","GO:0016567")</f>
        <v>GO:0016567</v>
      </c>
      <c r="B255" t="s">
        <v>949</v>
      </c>
      <c r="C255" s="1">
        <v>5.3049999999999998E-3</v>
      </c>
      <c r="D255" s="1">
        <v>6.019E-3</v>
      </c>
      <c r="E255">
        <v>676</v>
      </c>
      <c r="F255" t="s">
        <v>1972</v>
      </c>
      <c r="G255" t="s">
        <v>1938</v>
      </c>
    </row>
    <row r="256" spans="1:7" x14ac:dyDescent="0.25">
      <c r="A256" s="16" t="str">
        <f>HYPERLINK("http://amigo.geneontology.org/amigo/term/GO:0071398","GO:0071398")</f>
        <v>GO:0071398</v>
      </c>
      <c r="B256" t="s">
        <v>950</v>
      </c>
      <c r="C256" s="1">
        <v>5.4650000000000002E-3</v>
      </c>
      <c r="D256" s="1">
        <v>6.1989999999999996E-3</v>
      </c>
      <c r="E256">
        <v>34</v>
      </c>
      <c r="F256" t="s">
        <v>244</v>
      </c>
      <c r="G256" t="s">
        <v>1971</v>
      </c>
    </row>
    <row r="257" spans="1:7" x14ac:dyDescent="0.25">
      <c r="A257" s="16" t="str">
        <f>HYPERLINK("http://amigo.geneontology.org/amigo/term/GO:1901002","GO:1901002")</f>
        <v>GO:1901002</v>
      </c>
      <c r="B257" t="s">
        <v>951</v>
      </c>
      <c r="C257" s="1">
        <v>5.4650000000000002E-3</v>
      </c>
      <c r="D257" s="1">
        <v>6.1989999999999996E-3</v>
      </c>
      <c r="E257">
        <v>34</v>
      </c>
      <c r="F257" t="s">
        <v>244</v>
      </c>
      <c r="G257" t="s">
        <v>1930</v>
      </c>
    </row>
    <row r="258" spans="1:7" x14ac:dyDescent="0.25">
      <c r="A258" s="16" t="str">
        <f>HYPERLINK("http://amigo.geneontology.org/amigo/term/GO:0009908","GO:0009908")</f>
        <v>GO:0009908</v>
      </c>
      <c r="B258" t="s">
        <v>952</v>
      </c>
      <c r="C258" s="1">
        <v>5.5180000000000003E-3</v>
      </c>
      <c r="D258" s="1">
        <v>6.2570000000000004E-3</v>
      </c>
      <c r="E258">
        <v>154</v>
      </c>
      <c r="F258" t="s">
        <v>1970</v>
      </c>
      <c r="G258" t="s">
        <v>1964</v>
      </c>
    </row>
    <row r="259" spans="1:7" x14ac:dyDescent="0.25">
      <c r="A259" s="16" t="str">
        <f>HYPERLINK("http://amigo.geneontology.org/amigo/term/GO:0048439","GO:0048439")</f>
        <v>GO:0048439</v>
      </c>
      <c r="B259" t="s">
        <v>953</v>
      </c>
      <c r="C259" s="1">
        <v>6.2649999999999997E-3</v>
      </c>
      <c r="D259" s="1">
        <v>7.1029999999999999E-3</v>
      </c>
      <c r="E259">
        <v>6</v>
      </c>
      <c r="F259" t="s">
        <v>324</v>
      </c>
      <c r="G259" t="s">
        <v>1969</v>
      </c>
    </row>
    <row r="260" spans="1:7" x14ac:dyDescent="0.25">
      <c r="A260" s="16" t="str">
        <f>HYPERLINK("http://amigo.geneontology.org/amigo/term/GO:0099587","GO:0099587")</f>
        <v>GO:0099587</v>
      </c>
      <c r="B260" t="s">
        <v>954</v>
      </c>
      <c r="C260" s="1">
        <v>6.2649999999999997E-3</v>
      </c>
      <c r="D260" s="1">
        <v>7.1029999999999999E-3</v>
      </c>
      <c r="E260">
        <v>6</v>
      </c>
      <c r="F260" t="s">
        <v>324</v>
      </c>
      <c r="G260" t="s">
        <v>1933</v>
      </c>
    </row>
    <row r="261" spans="1:7" x14ac:dyDescent="0.25">
      <c r="A261" s="16" t="str">
        <f>HYPERLINK("http://amigo.geneontology.org/amigo/term/GO:0098659","GO:0098659")</f>
        <v>GO:0098659</v>
      </c>
      <c r="B261" t="s">
        <v>955</v>
      </c>
      <c r="C261" s="1">
        <v>6.2649999999999997E-3</v>
      </c>
      <c r="D261" s="1">
        <v>7.1029999999999999E-3</v>
      </c>
      <c r="E261">
        <v>6</v>
      </c>
      <c r="F261" t="s">
        <v>324</v>
      </c>
      <c r="G261" t="s">
        <v>1933</v>
      </c>
    </row>
    <row r="262" spans="1:7" x14ac:dyDescent="0.25">
      <c r="A262" s="16" t="str">
        <f>HYPERLINK("http://amigo.geneontology.org/amigo/term/GO:0009268","GO:0009268")</f>
        <v>GO:0009268</v>
      </c>
      <c r="B262" t="s">
        <v>956</v>
      </c>
      <c r="C262" s="1">
        <v>6.2649999999999997E-3</v>
      </c>
      <c r="D262" s="1">
        <v>7.1029999999999999E-3</v>
      </c>
      <c r="E262">
        <v>6</v>
      </c>
      <c r="F262" t="s">
        <v>324</v>
      </c>
      <c r="G262" t="s">
        <v>1968</v>
      </c>
    </row>
    <row r="263" spans="1:7" x14ac:dyDescent="0.25">
      <c r="A263" s="16" t="str">
        <f>HYPERLINK("http://amigo.geneontology.org/amigo/term/GO:0080090","GO:0080090")</f>
        <v>GO:0080090</v>
      </c>
      <c r="B263" t="s">
        <v>957</v>
      </c>
      <c r="C263" s="1">
        <v>6.4120000000000002E-3</v>
      </c>
      <c r="D263" s="1">
        <v>7.2680000000000002E-3</v>
      </c>
      <c r="E263">
        <v>5012</v>
      </c>
      <c r="F263" t="s">
        <v>1967</v>
      </c>
      <c r="G263" t="s">
        <v>1966</v>
      </c>
    </row>
    <row r="264" spans="1:7" x14ac:dyDescent="0.25">
      <c r="A264" s="16" t="str">
        <f>HYPERLINK("http://amigo.geneontology.org/amigo/term/GO:0090567","GO:0090567")</f>
        <v>GO:0090567</v>
      </c>
      <c r="B264" t="s">
        <v>958</v>
      </c>
      <c r="C264" s="1">
        <v>6.7629999999999999E-3</v>
      </c>
      <c r="D264" s="1">
        <v>7.6639999999999998E-3</v>
      </c>
      <c r="E264">
        <v>159</v>
      </c>
      <c r="F264" t="s">
        <v>1965</v>
      </c>
      <c r="G264" t="s">
        <v>1964</v>
      </c>
    </row>
    <row r="265" spans="1:7" x14ac:dyDescent="0.25">
      <c r="A265" s="16" t="str">
        <f>HYPERLINK("http://amigo.geneontology.org/amigo/term/GO:0009074","GO:0009074")</f>
        <v>GO:0009074</v>
      </c>
      <c r="B265" t="s">
        <v>959</v>
      </c>
      <c r="C265" s="1">
        <v>6.8659999999999997E-3</v>
      </c>
      <c r="D265" s="1">
        <v>7.7790000000000003E-3</v>
      </c>
      <c r="E265">
        <v>80</v>
      </c>
      <c r="F265" t="s">
        <v>1963</v>
      </c>
      <c r="G265" t="s">
        <v>1951</v>
      </c>
    </row>
    <row r="266" spans="1:7" x14ac:dyDescent="0.25">
      <c r="A266" s="16" t="str">
        <f>HYPERLINK("http://amigo.geneontology.org/amigo/term/GO:0006970","GO:0006970")</f>
        <v>GO:0006970</v>
      </c>
      <c r="B266" t="s">
        <v>960</v>
      </c>
      <c r="C266" s="1">
        <v>6.9459999999999999E-3</v>
      </c>
      <c r="D266" s="1">
        <v>7.868E-3</v>
      </c>
      <c r="E266">
        <v>249</v>
      </c>
      <c r="F266" t="s">
        <v>1962</v>
      </c>
      <c r="G266" t="s">
        <v>1961</v>
      </c>
    </row>
    <row r="267" spans="1:7" x14ac:dyDescent="0.25">
      <c r="A267" s="16" t="str">
        <f>HYPERLINK("http://amigo.geneontology.org/amigo/term/GO:1901420","GO:1901420")</f>
        <v>GO:1901420</v>
      </c>
      <c r="B267" t="s">
        <v>961</v>
      </c>
      <c r="C267" s="1">
        <v>6.9899999999999997E-3</v>
      </c>
      <c r="D267" s="1">
        <v>7.9150000000000002E-3</v>
      </c>
      <c r="E267">
        <v>19</v>
      </c>
      <c r="F267" t="s">
        <v>299</v>
      </c>
      <c r="G267" t="s">
        <v>1960</v>
      </c>
    </row>
    <row r="268" spans="1:7" x14ac:dyDescent="0.25">
      <c r="A268" s="16" t="str">
        <f>HYPERLINK("http://amigo.geneontology.org/amigo/term/GO:1905958","GO:1905958")</f>
        <v>GO:1905958</v>
      </c>
      <c r="B268" t="s">
        <v>962</v>
      </c>
      <c r="C268" s="1">
        <v>6.9899999999999997E-3</v>
      </c>
      <c r="D268" s="1">
        <v>7.9150000000000002E-3</v>
      </c>
      <c r="E268">
        <v>19</v>
      </c>
      <c r="F268" t="s">
        <v>299</v>
      </c>
      <c r="G268" t="s">
        <v>1960</v>
      </c>
    </row>
    <row r="269" spans="1:7" x14ac:dyDescent="0.25">
      <c r="A269" s="16" t="str">
        <f>HYPERLINK("http://amigo.geneontology.org/amigo/term/GO:0009788","GO:0009788")</f>
        <v>GO:0009788</v>
      </c>
      <c r="B269" t="s">
        <v>963</v>
      </c>
      <c r="C269" s="1">
        <v>6.9899999999999997E-3</v>
      </c>
      <c r="D269" s="1">
        <v>7.9150000000000002E-3</v>
      </c>
      <c r="E269">
        <v>19</v>
      </c>
      <c r="F269" t="s">
        <v>299</v>
      </c>
      <c r="G269" t="s">
        <v>1960</v>
      </c>
    </row>
    <row r="270" spans="1:7" x14ac:dyDescent="0.25">
      <c r="A270" s="16" t="str">
        <f>HYPERLINK("http://amigo.geneontology.org/amigo/term/GO:0120009","GO:0120009")</f>
        <v>GO:0120009</v>
      </c>
      <c r="B270" t="s">
        <v>964</v>
      </c>
      <c r="C270" s="1">
        <v>6.9899999999999997E-3</v>
      </c>
      <c r="D270" s="1">
        <v>7.9150000000000002E-3</v>
      </c>
      <c r="E270">
        <v>19</v>
      </c>
      <c r="F270" t="s">
        <v>299</v>
      </c>
      <c r="G270" t="s">
        <v>1959</v>
      </c>
    </row>
    <row r="271" spans="1:7" x14ac:dyDescent="0.25">
      <c r="A271" s="16" t="str">
        <f>HYPERLINK("http://amigo.geneontology.org/amigo/term/GO:0006813","GO:0006813")</f>
        <v>GO:0006813</v>
      </c>
      <c r="B271" t="s">
        <v>965</v>
      </c>
      <c r="C271" s="1">
        <v>7.0349999999999996E-3</v>
      </c>
      <c r="D271" s="1">
        <v>7.9649999999999999E-3</v>
      </c>
      <c r="E271">
        <v>160</v>
      </c>
      <c r="F271" t="s">
        <v>1958</v>
      </c>
      <c r="G271" t="s">
        <v>1957</v>
      </c>
    </row>
    <row r="272" spans="1:7" x14ac:dyDescent="0.25">
      <c r="A272" s="16" t="str">
        <f>HYPERLINK("http://amigo.geneontology.org/amigo/term/GO:0070887","GO:0070887")</f>
        <v>GO:0070887</v>
      </c>
      <c r="B272" t="s">
        <v>966</v>
      </c>
      <c r="C272" s="1">
        <v>7.0429999999999998E-3</v>
      </c>
      <c r="D272" s="1">
        <v>7.9719999999999999E-3</v>
      </c>
      <c r="E272">
        <v>656</v>
      </c>
      <c r="F272" t="s">
        <v>1956</v>
      </c>
      <c r="G272" t="s">
        <v>1955</v>
      </c>
    </row>
    <row r="273" spans="1:7" x14ac:dyDescent="0.25">
      <c r="A273" s="16" t="str">
        <f>HYPERLINK("http://amigo.geneontology.org/amigo/term/GO:0009741","GO:0009741")</f>
        <v>GO:0009741</v>
      </c>
      <c r="B273" t="s">
        <v>967</v>
      </c>
      <c r="C273" s="1">
        <v>7.4510000000000002E-3</v>
      </c>
      <c r="D273" s="1">
        <v>8.4309999999999993E-3</v>
      </c>
      <c r="E273">
        <v>58</v>
      </c>
      <c r="F273" t="s">
        <v>1954</v>
      </c>
      <c r="G273" t="s">
        <v>1953</v>
      </c>
    </row>
    <row r="274" spans="1:7" x14ac:dyDescent="0.25">
      <c r="A274" s="16" t="str">
        <f>HYPERLINK("http://amigo.geneontology.org/amigo/term/GO:1902221","GO:1902221")</f>
        <v>GO:1902221</v>
      </c>
      <c r="B274" t="s">
        <v>968</v>
      </c>
      <c r="C274" s="1">
        <v>7.7250000000000001E-3</v>
      </c>
      <c r="D274" s="1">
        <v>8.7399999999999995E-3</v>
      </c>
      <c r="E274">
        <v>82</v>
      </c>
      <c r="F274" t="s">
        <v>1952</v>
      </c>
      <c r="G274" t="s">
        <v>1951</v>
      </c>
    </row>
    <row r="275" spans="1:7" x14ac:dyDescent="0.25">
      <c r="A275" s="16" t="str">
        <f>HYPERLINK("http://amigo.geneontology.org/amigo/term/GO:0006558","GO:0006558")</f>
        <v>GO:0006558</v>
      </c>
      <c r="B275" t="s">
        <v>969</v>
      </c>
      <c r="C275" s="1">
        <v>7.7250000000000001E-3</v>
      </c>
      <c r="D275" s="1">
        <v>8.7399999999999995E-3</v>
      </c>
      <c r="E275">
        <v>82</v>
      </c>
      <c r="F275" t="s">
        <v>1952</v>
      </c>
      <c r="G275" t="s">
        <v>1951</v>
      </c>
    </row>
    <row r="276" spans="1:7" x14ac:dyDescent="0.25">
      <c r="A276" s="16" t="str">
        <f>HYPERLINK("http://amigo.geneontology.org/amigo/term/GO:0046940","GO:0046940")</f>
        <v>GO:0046940</v>
      </c>
      <c r="B276" t="s">
        <v>970</v>
      </c>
      <c r="C276" s="1">
        <v>8.6490000000000004E-3</v>
      </c>
      <c r="D276" s="1">
        <v>9.783E-3</v>
      </c>
      <c r="E276">
        <v>7</v>
      </c>
      <c r="F276" t="s">
        <v>1829</v>
      </c>
      <c r="G276" t="s">
        <v>1950</v>
      </c>
    </row>
    <row r="277" spans="1:7" x14ac:dyDescent="0.25">
      <c r="A277" s="16" t="str">
        <f>HYPERLINK("http://amigo.geneontology.org/amigo/term/GO:1901419","GO:1901419")</f>
        <v>GO:1901419</v>
      </c>
      <c r="B277" t="s">
        <v>971</v>
      </c>
      <c r="C277" s="1">
        <v>8.9239999999999996E-3</v>
      </c>
      <c r="D277">
        <v>0.01</v>
      </c>
      <c r="E277">
        <v>39</v>
      </c>
      <c r="F277" t="s">
        <v>1949</v>
      </c>
      <c r="G277" t="s">
        <v>1948</v>
      </c>
    </row>
    <row r="278" spans="1:7" x14ac:dyDescent="0.25">
      <c r="A278" s="16" t="str">
        <f>HYPERLINK("http://amigo.geneontology.org/amigo/term/GO:1905957","GO:1905957")</f>
        <v>GO:1905957</v>
      </c>
      <c r="B278" t="s">
        <v>972</v>
      </c>
      <c r="C278" s="1">
        <v>8.9239999999999996E-3</v>
      </c>
      <c r="D278">
        <v>0.01</v>
      </c>
      <c r="E278">
        <v>39</v>
      </c>
      <c r="F278" t="s">
        <v>1949</v>
      </c>
      <c r="G278" t="s">
        <v>1948</v>
      </c>
    </row>
    <row r="279" spans="1:7" x14ac:dyDescent="0.25">
      <c r="A279" s="16" t="str">
        <f>HYPERLINK("http://amigo.geneontology.org/amigo/term/GO:0009787","GO:0009787")</f>
        <v>GO:0009787</v>
      </c>
      <c r="B279" t="s">
        <v>973</v>
      </c>
      <c r="C279" s="1">
        <v>8.9239999999999996E-3</v>
      </c>
      <c r="D279">
        <v>0.01</v>
      </c>
      <c r="E279">
        <v>39</v>
      </c>
      <c r="F279" t="s">
        <v>1949</v>
      </c>
      <c r="G279" t="s">
        <v>1948</v>
      </c>
    </row>
    <row r="280" spans="1:7" x14ac:dyDescent="0.25">
      <c r="A280" s="16" t="str">
        <f>HYPERLINK("http://amigo.geneontology.org/amigo/term/GO:0007165","GO:0007165")</f>
        <v>GO:0007165</v>
      </c>
      <c r="B280" t="s">
        <v>974</v>
      </c>
      <c r="C280" s="1">
        <v>9.2860000000000009E-3</v>
      </c>
      <c r="D280">
        <v>0.01</v>
      </c>
      <c r="E280">
        <v>1278</v>
      </c>
      <c r="F280" t="s">
        <v>1947</v>
      </c>
      <c r="G280" t="s">
        <v>1946</v>
      </c>
    </row>
    <row r="281" spans="1:7" x14ac:dyDescent="0.25">
      <c r="A281" s="16" t="str">
        <f>HYPERLINK("http://amigo.geneontology.org/amigo/term/GO:0009739","GO:0009739")</f>
        <v>GO:0009739</v>
      </c>
      <c r="B281" t="s">
        <v>975</v>
      </c>
      <c r="C281" s="1">
        <v>9.7540000000000005E-3</v>
      </c>
      <c r="D281">
        <v>0.01</v>
      </c>
      <c r="E281">
        <v>40</v>
      </c>
      <c r="F281" t="s">
        <v>1945</v>
      </c>
      <c r="G281" t="s">
        <v>1944</v>
      </c>
    </row>
    <row r="282" spans="1:7" x14ac:dyDescent="0.25">
      <c r="A282" s="16" t="str">
        <f>HYPERLINK("http://amigo.geneontology.org/amigo/term/GO:0022414","GO:0022414")</f>
        <v>GO:0022414</v>
      </c>
      <c r="B282" t="s">
        <v>976</v>
      </c>
      <c r="C282">
        <v>0.01</v>
      </c>
      <c r="D282">
        <v>0.01</v>
      </c>
      <c r="E282">
        <v>1180</v>
      </c>
      <c r="F282" t="s">
        <v>1943</v>
      </c>
      <c r="G282" t="s">
        <v>1942</v>
      </c>
    </row>
    <row r="283" spans="1:7" x14ac:dyDescent="0.25">
      <c r="A283" s="16" t="str">
        <f>HYPERLINK("http://amigo.geneontology.org/amigo/term/GO:0090698","GO:0090698")</f>
        <v>GO:0090698</v>
      </c>
      <c r="B283" t="s">
        <v>977</v>
      </c>
      <c r="C283">
        <v>0.01</v>
      </c>
      <c r="D283">
        <v>0.02</v>
      </c>
      <c r="E283">
        <v>68</v>
      </c>
      <c r="F283" t="s">
        <v>1941</v>
      </c>
      <c r="G283" t="s">
        <v>1940</v>
      </c>
    </row>
    <row r="284" spans="1:7" x14ac:dyDescent="0.25">
      <c r="A284" s="16" t="str">
        <f>HYPERLINK("http://amigo.geneontology.org/amigo/term/GO:0032446","GO:0032446")</f>
        <v>GO:0032446</v>
      </c>
      <c r="B284" t="s">
        <v>978</v>
      </c>
      <c r="C284">
        <v>0.01</v>
      </c>
      <c r="D284">
        <v>0.01</v>
      </c>
      <c r="E284">
        <v>723</v>
      </c>
      <c r="F284" t="s">
        <v>1939</v>
      </c>
      <c r="G284" t="s">
        <v>1938</v>
      </c>
    </row>
    <row r="285" spans="1:7" x14ac:dyDescent="0.25">
      <c r="A285" s="16" t="str">
        <f>HYPERLINK("http://amigo.geneontology.org/amigo/term/GO:0009063","GO:0009063")</f>
        <v>GO:0009063</v>
      </c>
      <c r="B285" t="s">
        <v>246</v>
      </c>
      <c r="C285">
        <v>0.01</v>
      </c>
      <c r="D285">
        <v>0.02</v>
      </c>
      <c r="E285">
        <v>150</v>
      </c>
      <c r="F285" t="s">
        <v>247</v>
      </c>
      <c r="G285" t="s">
        <v>1936</v>
      </c>
    </row>
    <row r="286" spans="1:7" x14ac:dyDescent="0.25">
      <c r="A286" s="16" t="str">
        <f>HYPERLINK("http://amigo.geneontology.org/amigo/term/GO:1901606","GO:1901606")</f>
        <v>GO:1901606</v>
      </c>
      <c r="B286" t="s">
        <v>374</v>
      </c>
      <c r="C286">
        <v>0.01</v>
      </c>
      <c r="D286">
        <v>0.01</v>
      </c>
      <c r="E286">
        <v>147</v>
      </c>
      <c r="F286" t="s">
        <v>1937</v>
      </c>
      <c r="G286" t="s">
        <v>1936</v>
      </c>
    </row>
    <row r="287" spans="1:7" x14ac:dyDescent="0.25">
      <c r="A287" s="16" t="str">
        <f>HYPERLINK("http://amigo.geneontology.org/amigo/term/GO:0009699","GO:0009699")</f>
        <v>GO:0009699</v>
      </c>
      <c r="B287" t="s">
        <v>490</v>
      </c>
      <c r="C287">
        <v>0.01</v>
      </c>
      <c r="D287">
        <v>0.01</v>
      </c>
      <c r="E287">
        <v>66</v>
      </c>
      <c r="F287" t="s">
        <v>1935</v>
      </c>
      <c r="G287" t="s">
        <v>1912</v>
      </c>
    </row>
    <row r="288" spans="1:7" x14ac:dyDescent="0.25">
      <c r="A288" s="16" t="str">
        <f>HYPERLINK("http://amigo.geneontology.org/amigo/term/GO:0009084","GO:0009084")</f>
        <v>GO:0009084</v>
      </c>
      <c r="B288" t="s">
        <v>979</v>
      </c>
      <c r="C288">
        <v>0.01</v>
      </c>
      <c r="D288">
        <v>0.01</v>
      </c>
      <c r="E288">
        <v>63</v>
      </c>
      <c r="F288" t="s">
        <v>294</v>
      </c>
      <c r="G288" t="s">
        <v>1934</v>
      </c>
    </row>
    <row r="289" spans="1:7" x14ac:dyDescent="0.25">
      <c r="A289" s="16" t="str">
        <f>HYPERLINK("http://amigo.geneontology.org/amigo/term/GO:0098657","GO:0098657")</f>
        <v>GO:0098657</v>
      </c>
      <c r="B289" t="s">
        <v>980</v>
      </c>
      <c r="C289">
        <v>0.01</v>
      </c>
      <c r="D289">
        <v>0.02</v>
      </c>
      <c r="E289">
        <v>9</v>
      </c>
      <c r="F289" t="s">
        <v>392</v>
      </c>
      <c r="G289" t="s">
        <v>1933</v>
      </c>
    </row>
    <row r="290" spans="1:7" x14ac:dyDescent="0.25">
      <c r="A290" s="16" t="str">
        <f>HYPERLINK("http://amigo.geneontology.org/amigo/term/GO:0098739","GO:0098739")</f>
        <v>GO:0098739</v>
      </c>
      <c r="B290" t="s">
        <v>981</v>
      </c>
      <c r="C290">
        <v>0.01</v>
      </c>
      <c r="D290">
        <v>0.01</v>
      </c>
      <c r="E290">
        <v>8</v>
      </c>
      <c r="F290" t="s">
        <v>370</v>
      </c>
      <c r="G290" t="s">
        <v>1933</v>
      </c>
    </row>
    <row r="291" spans="1:7" x14ac:dyDescent="0.25">
      <c r="A291" s="16" t="str">
        <f>HYPERLINK("http://amigo.geneontology.org/amigo/term/GO:0048827","GO:0048827")</f>
        <v>GO:0048827</v>
      </c>
      <c r="B291" t="s">
        <v>982</v>
      </c>
      <c r="C291">
        <v>0.01</v>
      </c>
      <c r="D291">
        <v>0.01</v>
      </c>
      <c r="E291">
        <v>145</v>
      </c>
      <c r="F291" t="s">
        <v>1932</v>
      </c>
      <c r="G291" t="s">
        <v>1931</v>
      </c>
    </row>
    <row r="292" spans="1:7" x14ac:dyDescent="0.25">
      <c r="A292" s="16" t="str">
        <f>HYPERLINK("http://amigo.geneontology.org/amigo/term/GO:0019217","GO:0019217")</f>
        <v>GO:0019217</v>
      </c>
      <c r="B292" t="s">
        <v>983</v>
      </c>
      <c r="C292">
        <v>0.01</v>
      </c>
      <c r="D292">
        <v>0.01</v>
      </c>
      <c r="E292">
        <v>8</v>
      </c>
      <c r="F292" t="s">
        <v>370</v>
      </c>
      <c r="G292" t="s">
        <v>1897</v>
      </c>
    </row>
    <row r="293" spans="1:7" x14ac:dyDescent="0.25">
      <c r="A293" s="16" t="str">
        <f>HYPERLINK("http://amigo.geneontology.org/amigo/term/GO:0042304","GO:0042304")</f>
        <v>GO:0042304</v>
      </c>
      <c r="B293" t="s">
        <v>984</v>
      </c>
      <c r="C293">
        <v>0.01</v>
      </c>
      <c r="D293">
        <v>0.01</v>
      </c>
      <c r="E293">
        <v>8</v>
      </c>
      <c r="F293" t="s">
        <v>370</v>
      </c>
      <c r="G293" t="s">
        <v>1897</v>
      </c>
    </row>
    <row r="294" spans="1:7" x14ac:dyDescent="0.25">
      <c r="A294" s="16" t="str">
        <f>HYPERLINK("http://amigo.geneontology.org/amigo/term/GO:0047484","GO:0047484")</f>
        <v>GO:0047484</v>
      </c>
      <c r="B294" t="s">
        <v>985</v>
      </c>
      <c r="C294">
        <v>0.01</v>
      </c>
      <c r="D294">
        <v>0.02</v>
      </c>
      <c r="E294">
        <v>44</v>
      </c>
      <c r="F294" t="s">
        <v>343</v>
      </c>
      <c r="G294" t="s">
        <v>1930</v>
      </c>
    </row>
    <row r="295" spans="1:7" x14ac:dyDescent="0.25">
      <c r="A295" s="16" t="str">
        <f>HYPERLINK("http://amigo.geneontology.org/amigo/term/GO:1901000","GO:1901000")</f>
        <v>GO:1901000</v>
      </c>
      <c r="B295" t="s">
        <v>986</v>
      </c>
      <c r="C295">
        <v>0.01</v>
      </c>
      <c r="D295">
        <v>0.01</v>
      </c>
      <c r="E295">
        <v>43</v>
      </c>
      <c r="F295" t="s">
        <v>337</v>
      </c>
      <c r="G295" t="s">
        <v>1930</v>
      </c>
    </row>
    <row r="296" spans="1:7" x14ac:dyDescent="0.25">
      <c r="A296" s="16" t="str">
        <f>HYPERLINK("http://amigo.geneontology.org/amigo/term/GO:0006714","GO:0006714")</f>
        <v>GO:0006714</v>
      </c>
      <c r="B296" t="s">
        <v>987</v>
      </c>
      <c r="C296">
        <v>0.01</v>
      </c>
      <c r="D296">
        <v>0.01</v>
      </c>
      <c r="E296">
        <v>22</v>
      </c>
      <c r="F296" t="s">
        <v>1838</v>
      </c>
      <c r="G296" t="s">
        <v>1929</v>
      </c>
    </row>
    <row r="297" spans="1:7" x14ac:dyDescent="0.25">
      <c r="A297" s="16" t="str">
        <f>HYPERLINK("http://amigo.geneontology.org/amigo/term/GO:0071702","GO:0071702")</f>
        <v>GO:0071702</v>
      </c>
      <c r="B297" t="s">
        <v>988</v>
      </c>
      <c r="C297">
        <v>0.02</v>
      </c>
      <c r="D297">
        <v>0.02</v>
      </c>
      <c r="E297">
        <v>1835</v>
      </c>
      <c r="F297" t="s">
        <v>1928</v>
      </c>
      <c r="G297" t="s">
        <v>1927</v>
      </c>
    </row>
    <row r="298" spans="1:7" x14ac:dyDescent="0.25">
      <c r="A298" s="16" t="str">
        <f>HYPERLINK("http://amigo.geneontology.org/amigo/term/GO:0009624","GO:0009624")</f>
        <v>GO:0009624</v>
      </c>
      <c r="B298" t="s">
        <v>989</v>
      </c>
      <c r="C298">
        <v>0.02</v>
      </c>
      <c r="D298">
        <v>0.02</v>
      </c>
      <c r="E298">
        <v>11</v>
      </c>
      <c r="F298" t="s">
        <v>1898</v>
      </c>
      <c r="G298" t="s">
        <v>1926</v>
      </c>
    </row>
    <row r="299" spans="1:7" x14ac:dyDescent="0.25">
      <c r="A299" s="16" t="str">
        <f>HYPERLINK("http://amigo.geneontology.org/amigo/term/GO:0098655","GO:0098655")</f>
        <v>GO:0098655</v>
      </c>
      <c r="B299" t="s">
        <v>990</v>
      </c>
      <c r="C299">
        <v>0.02</v>
      </c>
      <c r="D299">
        <v>0.02</v>
      </c>
      <c r="E299">
        <v>644</v>
      </c>
      <c r="F299" t="s">
        <v>1925</v>
      </c>
      <c r="G299" t="s">
        <v>1924</v>
      </c>
    </row>
    <row r="300" spans="1:7" x14ac:dyDescent="0.25">
      <c r="A300" s="16" t="str">
        <f>HYPERLINK("http://amigo.geneontology.org/amigo/term/GO:0009719","GO:0009719")</f>
        <v>GO:0009719</v>
      </c>
      <c r="B300" t="s">
        <v>991</v>
      </c>
      <c r="C300">
        <v>0.02</v>
      </c>
      <c r="D300">
        <v>0.02</v>
      </c>
      <c r="E300">
        <v>1022</v>
      </c>
      <c r="F300" t="s">
        <v>1923</v>
      </c>
      <c r="G300" t="s">
        <v>1922</v>
      </c>
    </row>
    <row r="301" spans="1:7" x14ac:dyDescent="0.25">
      <c r="A301" s="16" t="str">
        <f>HYPERLINK("http://amigo.geneontology.org/amigo/term/GO:0009725","GO:0009725")</f>
        <v>GO:0009725</v>
      </c>
      <c r="B301" t="s">
        <v>992</v>
      </c>
      <c r="C301">
        <v>0.02</v>
      </c>
      <c r="D301">
        <v>0.02</v>
      </c>
      <c r="E301">
        <v>1021</v>
      </c>
      <c r="F301" t="s">
        <v>1923</v>
      </c>
      <c r="G301" t="s">
        <v>1922</v>
      </c>
    </row>
    <row r="302" spans="1:7" x14ac:dyDescent="0.25">
      <c r="A302" s="16" t="str">
        <f>HYPERLINK("http://amigo.geneontology.org/amigo/term/GO:0042886","GO:0042886")</f>
        <v>GO:0042886</v>
      </c>
      <c r="B302" t="s">
        <v>993</v>
      </c>
      <c r="C302">
        <v>0.02</v>
      </c>
      <c r="D302">
        <v>0.02</v>
      </c>
      <c r="E302">
        <v>95</v>
      </c>
      <c r="F302" t="s">
        <v>1921</v>
      </c>
      <c r="G302" t="s">
        <v>1920</v>
      </c>
    </row>
    <row r="303" spans="1:7" x14ac:dyDescent="0.25">
      <c r="A303" s="16" t="str">
        <f>HYPERLINK("http://amigo.geneontology.org/amigo/term/GO:0007166","GO:0007166")</f>
        <v>GO:0007166</v>
      </c>
      <c r="B303" t="s">
        <v>994</v>
      </c>
      <c r="C303">
        <v>0.02</v>
      </c>
      <c r="D303">
        <v>0.02</v>
      </c>
      <c r="E303">
        <v>126</v>
      </c>
      <c r="F303" t="s">
        <v>1919</v>
      </c>
      <c r="G303" t="s">
        <v>1918</v>
      </c>
    </row>
    <row r="304" spans="1:7" x14ac:dyDescent="0.25">
      <c r="A304" s="16" t="str">
        <f>HYPERLINK("http://amigo.geneontology.org/amigo/term/GO:0009072","GO:0009072")</f>
        <v>GO:0009072</v>
      </c>
      <c r="B304" t="s">
        <v>429</v>
      </c>
      <c r="C304">
        <v>0.02</v>
      </c>
      <c r="D304">
        <v>0.02</v>
      </c>
      <c r="E304">
        <v>214</v>
      </c>
      <c r="F304" t="s">
        <v>1917</v>
      </c>
      <c r="G304" t="s">
        <v>1916</v>
      </c>
    </row>
    <row r="305" spans="1:7" x14ac:dyDescent="0.25">
      <c r="A305" s="16" t="str">
        <f>HYPERLINK("http://amigo.geneontology.org/amigo/term/GO:0019748","GO:0019748")</f>
        <v>GO:0019748</v>
      </c>
      <c r="B305" t="s">
        <v>995</v>
      </c>
      <c r="C305">
        <v>0.02</v>
      </c>
      <c r="D305">
        <v>0.03</v>
      </c>
      <c r="E305">
        <v>195</v>
      </c>
      <c r="F305" t="s">
        <v>1915</v>
      </c>
      <c r="G305" t="s">
        <v>1914</v>
      </c>
    </row>
    <row r="306" spans="1:7" x14ac:dyDescent="0.25">
      <c r="A306" s="16" t="str">
        <f>HYPERLINK("http://amigo.geneontology.org/amigo/term/GO:0042537","GO:0042537")</f>
        <v>GO:0042537</v>
      </c>
      <c r="B306" t="s">
        <v>996</v>
      </c>
      <c r="C306">
        <v>0.02</v>
      </c>
      <c r="D306">
        <v>0.02</v>
      </c>
      <c r="E306">
        <v>71</v>
      </c>
      <c r="F306" t="s">
        <v>1913</v>
      </c>
      <c r="G306" t="s">
        <v>1912</v>
      </c>
    </row>
    <row r="307" spans="1:7" x14ac:dyDescent="0.25">
      <c r="A307" s="16" t="str">
        <f>HYPERLINK("http://amigo.geneontology.org/amigo/term/GO:0009608","GO:0009608")</f>
        <v>GO:0009608</v>
      </c>
      <c r="B307" t="s">
        <v>997</v>
      </c>
      <c r="C307">
        <v>0.02</v>
      </c>
      <c r="D307">
        <v>0.02</v>
      </c>
      <c r="E307">
        <v>1</v>
      </c>
      <c r="F307" t="s">
        <v>433</v>
      </c>
      <c r="G307" t="s">
        <v>1911</v>
      </c>
    </row>
    <row r="308" spans="1:7" x14ac:dyDescent="0.25">
      <c r="A308" s="16" t="str">
        <f>HYPERLINK("http://amigo.geneontology.org/amigo/term/GO:0009610","GO:0009610")</f>
        <v>GO:0009610</v>
      </c>
      <c r="B308" t="s">
        <v>998</v>
      </c>
      <c r="C308">
        <v>0.02</v>
      </c>
      <c r="D308">
        <v>0.02</v>
      </c>
      <c r="E308">
        <v>1</v>
      </c>
      <c r="F308" t="s">
        <v>433</v>
      </c>
      <c r="G308" t="s">
        <v>1911</v>
      </c>
    </row>
    <row r="309" spans="1:7" x14ac:dyDescent="0.25">
      <c r="A309" s="16" t="str">
        <f>HYPERLINK("http://amigo.geneontology.org/amigo/term/GO:0014066","GO:0014066")</f>
        <v>GO:0014066</v>
      </c>
      <c r="B309" t="s">
        <v>999</v>
      </c>
      <c r="C309">
        <v>0.02</v>
      </c>
      <c r="D309">
        <v>0.02</v>
      </c>
      <c r="E309">
        <v>1</v>
      </c>
      <c r="F309" t="s">
        <v>433</v>
      </c>
      <c r="G309" t="s">
        <v>1910</v>
      </c>
    </row>
    <row r="310" spans="1:7" x14ac:dyDescent="0.25">
      <c r="A310" s="16" t="str">
        <f>HYPERLINK("http://amigo.geneontology.org/amigo/term/GO:0014068","GO:0014068")</f>
        <v>GO:0014068</v>
      </c>
      <c r="B310" t="s">
        <v>1000</v>
      </c>
      <c r="C310">
        <v>0.02</v>
      </c>
      <c r="D310">
        <v>0.02</v>
      </c>
      <c r="E310">
        <v>1</v>
      </c>
      <c r="F310" t="s">
        <v>433</v>
      </c>
      <c r="G310" t="s">
        <v>1910</v>
      </c>
    </row>
    <row r="311" spans="1:7" x14ac:dyDescent="0.25">
      <c r="A311" s="16" t="str">
        <f>HYPERLINK("http://amigo.geneontology.org/amigo/term/GO:0048646","GO:0048646")</f>
        <v>GO:0048646</v>
      </c>
      <c r="B311" t="s">
        <v>1001</v>
      </c>
      <c r="C311">
        <v>0.02</v>
      </c>
      <c r="D311">
        <v>0.02</v>
      </c>
      <c r="E311">
        <v>103</v>
      </c>
      <c r="F311" t="s">
        <v>1909</v>
      </c>
      <c r="G311" t="s">
        <v>1908</v>
      </c>
    </row>
    <row r="312" spans="1:7" x14ac:dyDescent="0.25">
      <c r="A312" s="16" t="str">
        <f>HYPERLINK("http://amigo.geneontology.org/amigo/term/GO:0006207","GO:0006207")</f>
        <v>GO:0006207</v>
      </c>
      <c r="B312" t="s">
        <v>1002</v>
      </c>
      <c r="C312">
        <v>0.02</v>
      </c>
      <c r="D312">
        <v>0.02</v>
      </c>
      <c r="E312">
        <v>28</v>
      </c>
      <c r="F312" t="s">
        <v>401</v>
      </c>
      <c r="G312" t="s">
        <v>1862</v>
      </c>
    </row>
    <row r="313" spans="1:7" x14ac:dyDescent="0.25">
      <c r="A313" s="16" t="str">
        <f>HYPERLINK("http://amigo.geneontology.org/amigo/term/GO:0009825","GO:0009825")</f>
        <v>GO:0009825</v>
      </c>
      <c r="B313" t="s">
        <v>1003</v>
      </c>
      <c r="C313">
        <v>0.02</v>
      </c>
      <c r="D313">
        <v>0.02</v>
      </c>
      <c r="E313">
        <v>10</v>
      </c>
      <c r="F313" t="s">
        <v>408</v>
      </c>
      <c r="G313" t="s">
        <v>1907</v>
      </c>
    </row>
    <row r="314" spans="1:7" x14ac:dyDescent="0.25">
      <c r="A314" s="16" t="str">
        <f>HYPERLINK("http://amigo.geneontology.org/amigo/term/GO:0031667","GO:0031667")</f>
        <v>GO:0031667</v>
      </c>
      <c r="B314" t="s">
        <v>1004</v>
      </c>
      <c r="C314">
        <v>0.02</v>
      </c>
      <c r="D314">
        <v>0.02</v>
      </c>
      <c r="E314">
        <v>99</v>
      </c>
      <c r="F314" t="s">
        <v>1906</v>
      </c>
      <c r="G314" t="s">
        <v>1883</v>
      </c>
    </row>
    <row r="315" spans="1:7" x14ac:dyDescent="0.25">
      <c r="A315" s="16" t="str">
        <f>HYPERLINK("http://amigo.geneontology.org/amigo/term/GO:0009409","GO:0009409")</f>
        <v>GO:0009409</v>
      </c>
      <c r="B315" t="s">
        <v>1005</v>
      </c>
      <c r="C315">
        <v>0.02</v>
      </c>
      <c r="D315">
        <v>0.02</v>
      </c>
      <c r="E315">
        <v>161</v>
      </c>
      <c r="F315" t="s">
        <v>1905</v>
      </c>
      <c r="G315" t="s">
        <v>1904</v>
      </c>
    </row>
    <row r="316" spans="1:7" x14ac:dyDescent="0.25">
      <c r="A316" s="16" t="str">
        <f>HYPERLINK("http://amigo.geneontology.org/amigo/term/GO:0009611","GO:0009611")</f>
        <v>GO:0009611</v>
      </c>
      <c r="B316" t="s">
        <v>1006</v>
      </c>
      <c r="C316">
        <v>0.02</v>
      </c>
      <c r="D316">
        <v>0.02</v>
      </c>
      <c r="E316">
        <v>244</v>
      </c>
      <c r="F316" t="s">
        <v>1903</v>
      </c>
      <c r="G316" t="s">
        <v>1902</v>
      </c>
    </row>
    <row r="317" spans="1:7" x14ac:dyDescent="0.25">
      <c r="A317" s="16" t="str">
        <f>HYPERLINK("http://amigo.geneontology.org/amigo/term/GO:0052863","GO:0052863")</f>
        <v>GO:0052863</v>
      </c>
      <c r="B317" t="s">
        <v>1007</v>
      </c>
      <c r="C317">
        <v>0.02</v>
      </c>
      <c r="D317">
        <v>0.02</v>
      </c>
      <c r="E317">
        <v>1</v>
      </c>
      <c r="F317" t="s">
        <v>433</v>
      </c>
      <c r="G317" t="s">
        <v>1901</v>
      </c>
    </row>
    <row r="318" spans="1:7" x14ac:dyDescent="0.25">
      <c r="A318" s="16" t="str">
        <f>HYPERLINK("http://amigo.geneontology.org/amigo/term/GO:0052865","GO:0052865")</f>
        <v>GO:0052865</v>
      </c>
      <c r="B318" t="s">
        <v>1008</v>
      </c>
      <c r="C318">
        <v>0.02</v>
      </c>
      <c r="D318">
        <v>0.02</v>
      </c>
      <c r="E318">
        <v>1</v>
      </c>
      <c r="F318" t="s">
        <v>433</v>
      </c>
      <c r="G318" t="s">
        <v>1901</v>
      </c>
    </row>
    <row r="319" spans="1:7" x14ac:dyDescent="0.25">
      <c r="A319" s="16" t="str">
        <f>HYPERLINK("http://amigo.geneontology.org/amigo/term/GO:0009723","GO:0009723")</f>
        <v>GO:0009723</v>
      </c>
      <c r="B319" t="s">
        <v>1009</v>
      </c>
      <c r="C319">
        <v>0.02</v>
      </c>
      <c r="D319">
        <v>0.02</v>
      </c>
      <c r="E319">
        <v>72</v>
      </c>
      <c r="F319" t="s">
        <v>1900</v>
      </c>
      <c r="G319" t="s">
        <v>1899</v>
      </c>
    </row>
    <row r="320" spans="1:7" x14ac:dyDescent="0.25">
      <c r="A320" s="16" t="str">
        <f>HYPERLINK("http://amigo.geneontology.org/amigo/term/GO:0031335","GO:0031335")</f>
        <v>GO:0031335</v>
      </c>
      <c r="B320" t="s">
        <v>1010</v>
      </c>
      <c r="C320">
        <v>0.02</v>
      </c>
      <c r="D320">
        <v>0.02</v>
      </c>
      <c r="E320">
        <v>11</v>
      </c>
      <c r="F320" t="s">
        <v>1898</v>
      </c>
      <c r="G320" t="s">
        <v>1897</v>
      </c>
    </row>
    <row r="321" spans="1:7" x14ac:dyDescent="0.25">
      <c r="A321" s="16" t="str">
        <f>HYPERLINK("http://amigo.geneontology.org/amigo/term/GO:1900908","GO:1900908")</f>
        <v>GO:1900908</v>
      </c>
      <c r="B321" t="s">
        <v>1011</v>
      </c>
      <c r="C321">
        <v>0.02</v>
      </c>
      <c r="D321">
        <v>0.02</v>
      </c>
      <c r="E321">
        <v>11</v>
      </c>
      <c r="F321" t="s">
        <v>1898</v>
      </c>
      <c r="G321" t="s">
        <v>1897</v>
      </c>
    </row>
    <row r="322" spans="1:7" x14ac:dyDescent="0.25">
      <c r="A322" s="16" t="str">
        <f>HYPERLINK("http://amigo.geneontology.org/amigo/term/GO:1900911","GO:1900911")</f>
        <v>GO:1900911</v>
      </c>
      <c r="B322" t="s">
        <v>1012</v>
      </c>
      <c r="C322">
        <v>0.02</v>
      </c>
      <c r="D322">
        <v>0.02</v>
      </c>
      <c r="E322">
        <v>11</v>
      </c>
      <c r="F322" t="s">
        <v>1898</v>
      </c>
      <c r="G322" t="s">
        <v>1897</v>
      </c>
    </row>
    <row r="323" spans="1:7" x14ac:dyDescent="0.25">
      <c r="A323" s="16" t="str">
        <f>HYPERLINK("http://amigo.geneontology.org/amigo/term/GO:0010364","GO:0010364")</f>
        <v>GO:0010364</v>
      </c>
      <c r="B323" t="s">
        <v>1013</v>
      </c>
      <c r="C323">
        <v>0.02</v>
      </c>
      <c r="D323">
        <v>0.02</v>
      </c>
      <c r="E323">
        <v>11</v>
      </c>
      <c r="F323" t="s">
        <v>1898</v>
      </c>
      <c r="G323" t="s">
        <v>1897</v>
      </c>
    </row>
    <row r="324" spans="1:7" x14ac:dyDescent="0.25">
      <c r="A324" s="16" t="str">
        <f>HYPERLINK("http://amigo.geneontology.org/amigo/term/GO:0046620","GO:0046620")</f>
        <v>GO:0046620</v>
      </c>
      <c r="B324" t="s">
        <v>1014</v>
      </c>
      <c r="C324">
        <v>0.02</v>
      </c>
      <c r="D324">
        <v>0.03</v>
      </c>
      <c r="E324">
        <v>30</v>
      </c>
      <c r="F324" t="s">
        <v>1894</v>
      </c>
      <c r="G324" t="s">
        <v>1896</v>
      </c>
    </row>
    <row r="325" spans="1:7" x14ac:dyDescent="0.25">
      <c r="A325" s="16" t="str">
        <f>HYPERLINK("http://amigo.geneontology.org/amigo/term/GO:0043090","GO:0043090")</f>
        <v>GO:0043090</v>
      </c>
      <c r="B325" t="s">
        <v>1015</v>
      </c>
      <c r="C325">
        <v>0.02</v>
      </c>
      <c r="D325">
        <v>0.02</v>
      </c>
      <c r="E325">
        <v>1</v>
      </c>
      <c r="F325" t="s">
        <v>433</v>
      </c>
      <c r="G325" t="s">
        <v>1895</v>
      </c>
    </row>
    <row r="326" spans="1:7" x14ac:dyDescent="0.25">
      <c r="A326" s="16" t="str">
        <f>HYPERLINK("http://amigo.geneontology.org/amigo/term/GO:0051938","GO:0051938")</f>
        <v>GO:0051938</v>
      </c>
      <c r="B326" t="s">
        <v>1016</v>
      </c>
      <c r="C326">
        <v>0.02</v>
      </c>
      <c r="D326">
        <v>0.02</v>
      </c>
      <c r="E326">
        <v>1</v>
      </c>
      <c r="F326" t="s">
        <v>433</v>
      </c>
      <c r="G326" t="s">
        <v>1895</v>
      </c>
    </row>
    <row r="327" spans="1:7" x14ac:dyDescent="0.25">
      <c r="A327" s="16" t="str">
        <f>HYPERLINK("http://amigo.geneontology.org/amigo/term/GO:0042435","GO:0042435")</f>
        <v>GO:0042435</v>
      </c>
      <c r="B327" t="s">
        <v>1017</v>
      </c>
      <c r="C327">
        <v>0.02</v>
      </c>
      <c r="D327">
        <v>0.03</v>
      </c>
      <c r="E327">
        <v>30</v>
      </c>
      <c r="F327" t="s">
        <v>1894</v>
      </c>
      <c r="G327" t="s">
        <v>1876</v>
      </c>
    </row>
    <row r="328" spans="1:7" x14ac:dyDescent="0.25">
      <c r="A328" s="16" t="str">
        <f>HYPERLINK("http://amigo.geneontology.org/amigo/term/GO:0009694","GO:0009694")</f>
        <v>GO:0009694</v>
      </c>
      <c r="B328" t="s">
        <v>1018</v>
      </c>
      <c r="C328">
        <v>0.02</v>
      </c>
      <c r="D328">
        <v>0.02</v>
      </c>
      <c r="E328">
        <v>26</v>
      </c>
      <c r="F328" t="s">
        <v>1893</v>
      </c>
      <c r="G328" t="s">
        <v>1892</v>
      </c>
    </row>
    <row r="329" spans="1:7" x14ac:dyDescent="0.25">
      <c r="A329" s="16" t="str">
        <f>HYPERLINK("http://amigo.geneontology.org/amigo/term/GO:0060964","GO:0060964")</f>
        <v>GO:0060964</v>
      </c>
      <c r="B329" t="s">
        <v>1019</v>
      </c>
      <c r="C329">
        <v>0.02</v>
      </c>
      <c r="D329">
        <v>0.02</v>
      </c>
      <c r="E329">
        <v>1</v>
      </c>
      <c r="F329" t="s">
        <v>433</v>
      </c>
      <c r="G329" t="s">
        <v>1891</v>
      </c>
    </row>
    <row r="330" spans="1:7" x14ac:dyDescent="0.25">
      <c r="A330" s="16" t="str">
        <f>HYPERLINK("http://amigo.geneontology.org/amigo/term/GO:1903705","GO:1903705")</f>
        <v>GO:1903705</v>
      </c>
      <c r="B330" t="s">
        <v>1020</v>
      </c>
      <c r="C330">
        <v>0.02</v>
      </c>
      <c r="D330">
        <v>0.02</v>
      </c>
      <c r="E330">
        <v>1</v>
      </c>
      <c r="F330" t="s">
        <v>433</v>
      </c>
      <c r="G330" t="s">
        <v>1891</v>
      </c>
    </row>
    <row r="331" spans="1:7" x14ac:dyDescent="0.25">
      <c r="A331" s="16" t="str">
        <f>HYPERLINK("http://amigo.geneontology.org/amigo/term/GO:0080186","GO:0080186")</f>
        <v>GO:0080186</v>
      </c>
      <c r="B331" t="s">
        <v>1021</v>
      </c>
      <c r="C331">
        <v>0.02</v>
      </c>
      <c r="D331">
        <v>0.02</v>
      </c>
      <c r="E331">
        <v>10</v>
      </c>
      <c r="F331" t="s">
        <v>408</v>
      </c>
      <c r="G331" t="s">
        <v>1844</v>
      </c>
    </row>
    <row r="332" spans="1:7" x14ac:dyDescent="0.25">
      <c r="A332" s="16" t="str">
        <f>HYPERLINK("http://amigo.geneontology.org/amigo/term/GO:0010035","GO:0010035")</f>
        <v>GO:0010035</v>
      </c>
      <c r="B332" t="s">
        <v>72</v>
      </c>
      <c r="C332">
        <v>0.03</v>
      </c>
      <c r="D332">
        <v>0.03</v>
      </c>
      <c r="E332">
        <v>519</v>
      </c>
      <c r="F332" t="s">
        <v>1890</v>
      </c>
      <c r="G332" t="s">
        <v>1889</v>
      </c>
    </row>
    <row r="333" spans="1:7" x14ac:dyDescent="0.25">
      <c r="A333" s="16" t="str">
        <f>HYPERLINK("http://amigo.geneontology.org/amigo/term/GO:1902531","GO:1902531")</f>
        <v>GO:1902531</v>
      </c>
      <c r="B333" t="s">
        <v>1022</v>
      </c>
      <c r="C333">
        <v>0.03</v>
      </c>
      <c r="D333">
        <v>0.04</v>
      </c>
      <c r="E333">
        <v>58</v>
      </c>
      <c r="F333" t="s">
        <v>1888</v>
      </c>
      <c r="G333" t="s">
        <v>1887</v>
      </c>
    </row>
    <row r="334" spans="1:7" x14ac:dyDescent="0.25">
      <c r="A334" s="16" t="str">
        <f>HYPERLINK("http://amigo.geneontology.org/amigo/term/GO:0019856","GO:0019856")</f>
        <v>GO:0019856</v>
      </c>
      <c r="B334" t="s">
        <v>1023</v>
      </c>
      <c r="C334">
        <v>0.03</v>
      </c>
      <c r="D334">
        <v>0.04</v>
      </c>
      <c r="E334">
        <v>33</v>
      </c>
      <c r="F334" t="s">
        <v>1886</v>
      </c>
      <c r="G334" t="s">
        <v>1862</v>
      </c>
    </row>
    <row r="335" spans="1:7" x14ac:dyDescent="0.25">
      <c r="A335" s="16" t="str">
        <f>HYPERLINK("http://amigo.geneontology.org/amigo/term/GO:0035434","GO:0035434")</f>
        <v>GO:0035434</v>
      </c>
      <c r="B335" t="s">
        <v>1024</v>
      </c>
      <c r="C335">
        <v>0.03</v>
      </c>
      <c r="D335">
        <v>0.03</v>
      </c>
      <c r="E335">
        <v>13</v>
      </c>
      <c r="F335" t="s">
        <v>1813</v>
      </c>
      <c r="G335" t="s">
        <v>1885</v>
      </c>
    </row>
    <row r="336" spans="1:7" x14ac:dyDescent="0.25">
      <c r="A336" s="16" t="str">
        <f>HYPERLINK("http://amigo.geneontology.org/amigo/term/GO:0009991","GO:0009991")</f>
        <v>GO:0009991</v>
      </c>
      <c r="B336" t="s">
        <v>1025</v>
      </c>
      <c r="C336">
        <v>0.03</v>
      </c>
      <c r="D336">
        <v>0.04</v>
      </c>
      <c r="E336">
        <v>112</v>
      </c>
      <c r="F336" t="s">
        <v>1884</v>
      </c>
      <c r="G336" t="s">
        <v>1883</v>
      </c>
    </row>
    <row r="337" spans="1:7" x14ac:dyDescent="0.25">
      <c r="A337" s="16" t="str">
        <f>HYPERLINK("http://amigo.geneontology.org/amigo/term/GO:0072662","GO:0072662")</f>
        <v>GO:0072662</v>
      </c>
      <c r="B337" t="s">
        <v>1026</v>
      </c>
      <c r="C337">
        <v>0.03</v>
      </c>
      <c r="D337">
        <v>0.04</v>
      </c>
      <c r="E337">
        <v>34</v>
      </c>
      <c r="F337" t="s">
        <v>1882</v>
      </c>
      <c r="G337" t="s">
        <v>1861</v>
      </c>
    </row>
    <row r="338" spans="1:7" x14ac:dyDescent="0.25">
      <c r="A338" s="16" t="str">
        <f>HYPERLINK("http://amigo.geneontology.org/amigo/term/GO:0072663","GO:0072663")</f>
        <v>GO:0072663</v>
      </c>
      <c r="B338" t="s">
        <v>1027</v>
      </c>
      <c r="C338">
        <v>0.03</v>
      </c>
      <c r="D338">
        <v>0.04</v>
      </c>
      <c r="E338">
        <v>34</v>
      </c>
      <c r="F338" t="s">
        <v>1882</v>
      </c>
      <c r="G338" t="s">
        <v>1861</v>
      </c>
    </row>
    <row r="339" spans="1:7" x14ac:dyDescent="0.25">
      <c r="A339" s="16" t="str">
        <f>HYPERLINK("http://amigo.geneontology.org/amigo/term/GO:0006625","GO:0006625")</f>
        <v>GO:0006625</v>
      </c>
      <c r="B339" t="s">
        <v>1028</v>
      </c>
      <c r="C339">
        <v>0.03</v>
      </c>
      <c r="D339">
        <v>0.04</v>
      </c>
      <c r="E339">
        <v>34</v>
      </c>
      <c r="F339" t="s">
        <v>1882</v>
      </c>
      <c r="G339" t="s">
        <v>1861</v>
      </c>
    </row>
    <row r="340" spans="1:7" x14ac:dyDescent="0.25">
      <c r="A340" s="16" t="str">
        <f>HYPERLINK("http://amigo.geneontology.org/amigo/term/GO:0009266","GO:0009266")</f>
        <v>GO:0009266</v>
      </c>
      <c r="B340" t="s">
        <v>1029</v>
      </c>
      <c r="C340">
        <v>0.03</v>
      </c>
      <c r="D340">
        <v>0.04</v>
      </c>
      <c r="E340">
        <v>312</v>
      </c>
      <c r="F340" t="s">
        <v>1881</v>
      </c>
      <c r="G340" t="s">
        <v>1880</v>
      </c>
    </row>
    <row r="341" spans="1:7" x14ac:dyDescent="0.25">
      <c r="A341" s="16" t="str">
        <f>HYPERLINK("http://amigo.geneontology.org/amigo/term/GO:0048366","GO:0048366")</f>
        <v>GO:0048366</v>
      </c>
      <c r="B341" t="s">
        <v>1030</v>
      </c>
      <c r="C341">
        <v>0.03</v>
      </c>
      <c r="D341">
        <v>0.03</v>
      </c>
      <c r="E341">
        <v>82</v>
      </c>
      <c r="F341" t="s">
        <v>1879</v>
      </c>
      <c r="G341" t="s">
        <v>1878</v>
      </c>
    </row>
    <row r="342" spans="1:7" x14ac:dyDescent="0.25">
      <c r="A342" s="16" t="str">
        <f>HYPERLINK("http://amigo.geneontology.org/amigo/term/GO:0035670","GO:0035670")</f>
        <v>GO:0035670</v>
      </c>
      <c r="B342" t="s">
        <v>1031</v>
      </c>
      <c r="C342">
        <v>0.03</v>
      </c>
      <c r="D342">
        <v>0.03</v>
      </c>
      <c r="E342">
        <v>31</v>
      </c>
      <c r="F342" t="s">
        <v>1877</v>
      </c>
      <c r="G342" t="s">
        <v>1876</v>
      </c>
    </row>
    <row r="343" spans="1:7" x14ac:dyDescent="0.25">
      <c r="A343" s="16" t="str">
        <f>HYPERLINK("http://amigo.geneontology.org/amigo/term/GO:0048481","GO:0048481")</f>
        <v>GO:0048481</v>
      </c>
      <c r="B343" t="s">
        <v>1032</v>
      </c>
      <c r="C343">
        <v>0.03</v>
      </c>
      <c r="D343">
        <v>0.03</v>
      </c>
      <c r="E343">
        <v>31</v>
      </c>
      <c r="F343" t="s">
        <v>1877</v>
      </c>
      <c r="G343" t="s">
        <v>1876</v>
      </c>
    </row>
    <row r="344" spans="1:7" x14ac:dyDescent="0.25">
      <c r="A344" s="16" t="str">
        <f>HYPERLINK("http://amigo.geneontology.org/amigo/term/GO:0009864","GO:0009864")</f>
        <v>GO:0009864</v>
      </c>
      <c r="B344" t="s">
        <v>1033</v>
      </c>
      <c r="C344">
        <v>0.03</v>
      </c>
      <c r="D344">
        <v>0.03</v>
      </c>
      <c r="E344">
        <v>12</v>
      </c>
      <c r="F344" t="s">
        <v>1875</v>
      </c>
      <c r="G344" t="s">
        <v>1844</v>
      </c>
    </row>
    <row r="345" spans="1:7" x14ac:dyDescent="0.25">
      <c r="A345" s="16" t="str">
        <f>HYPERLINK("http://amigo.geneontology.org/amigo/term/GO:0033036","GO:0033036")</f>
        <v>GO:0033036</v>
      </c>
      <c r="B345" t="s">
        <v>1034</v>
      </c>
      <c r="C345">
        <v>0.04</v>
      </c>
      <c r="D345">
        <v>0.05</v>
      </c>
      <c r="E345">
        <v>1472</v>
      </c>
      <c r="F345" t="s">
        <v>1874</v>
      </c>
      <c r="G345" t="s">
        <v>1873</v>
      </c>
    </row>
    <row r="346" spans="1:7" x14ac:dyDescent="0.25">
      <c r="A346" s="16" t="str">
        <f>HYPERLINK("http://amigo.geneontology.org/amigo/term/GO:0098662","GO:0098662")</f>
        <v>GO:0098662</v>
      </c>
      <c r="B346" t="s">
        <v>1035</v>
      </c>
      <c r="C346">
        <v>0.04</v>
      </c>
      <c r="D346">
        <v>0.04</v>
      </c>
      <c r="E346">
        <v>613</v>
      </c>
      <c r="F346" t="s">
        <v>1872</v>
      </c>
      <c r="G346" t="s">
        <v>1871</v>
      </c>
    </row>
    <row r="347" spans="1:7" x14ac:dyDescent="0.25">
      <c r="A347" s="16" t="str">
        <f>HYPERLINK("http://amigo.geneontology.org/amigo/term/GO:0009755","GO:0009755")</f>
        <v>GO:0009755</v>
      </c>
      <c r="B347" t="s">
        <v>1036</v>
      </c>
      <c r="C347">
        <v>0.04</v>
      </c>
      <c r="D347">
        <v>0.05</v>
      </c>
      <c r="E347">
        <v>394</v>
      </c>
      <c r="F347" t="s">
        <v>1870</v>
      </c>
      <c r="G347" t="s">
        <v>1869</v>
      </c>
    </row>
    <row r="348" spans="1:7" x14ac:dyDescent="0.25">
      <c r="A348" s="16" t="str">
        <f>HYPERLINK("http://amigo.geneontology.org/amigo/term/GO:0071705","GO:0071705")</f>
        <v>GO:0071705</v>
      </c>
      <c r="B348" t="s">
        <v>1037</v>
      </c>
      <c r="C348">
        <v>0.04</v>
      </c>
      <c r="D348">
        <v>0.04</v>
      </c>
      <c r="E348">
        <v>1451</v>
      </c>
      <c r="F348" t="s">
        <v>1868</v>
      </c>
      <c r="G348" t="s">
        <v>1867</v>
      </c>
    </row>
    <row r="349" spans="1:7" x14ac:dyDescent="0.25">
      <c r="A349" s="16" t="str">
        <f>HYPERLINK("http://amigo.geneontology.org/amigo/term/GO:0016054","GO:0016054")</f>
        <v>GO:0016054</v>
      </c>
      <c r="B349" t="s">
        <v>241</v>
      </c>
      <c r="C349">
        <v>0.04</v>
      </c>
      <c r="D349">
        <v>0.05</v>
      </c>
      <c r="E349">
        <v>217</v>
      </c>
      <c r="F349" t="s">
        <v>1866</v>
      </c>
      <c r="G349" t="s">
        <v>1865</v>
      </c>
    </row>
    <row r="350" spans="1:7" x14ac:dyDescent="0.25">
      <c r="A350" s="16" t="str">
        <f>HYPERLINK("http://amigo.geneontology.org/amigo/term/GO:1901605","GO:1901605")</f>
        <v>GO:1901605</v>
      </c>
      <c r="B350" t="s">
        <v>81</v>
      </c>
      <c r="C350">
        <v>0.04</v>
      </c>
      <c r="D350">
        <v>0.04</v>
      </c>
      <c r="E350">
        <v>575</v>
      </c>
      <c r="F350" t="s">
        <v>1864</v>
      </c>
      <c r="G350" t="s">
        <v>1863</v>
      </c>
    </row>
    <row r="351" spans="1:7" x14ac:dyDescent="0.25">
      <c r="A351" s="16" t="str">
        <f>HYPERLINK("http://amigo.geneontology.org/amigo/term/GO:0006206","GO:0006206")</f>
        <v>GO:0006206</v>
      </c>
      <c r="B351" t="s">
        <v>1038</v>
      </c>
      <c r="C351">
        <v>0.04</v>
      </c>
      <c r="D351">
        <v>0.04</v>
      </c>
      <c r="E351">
        <v>36</v>
      </c>
      <c r="F351" t="s">
        <v>506</v>
      </c>
      <c r="G351" t="s">
        <v>1862</v>
      </c>
    </row>
    <row r="352" spans="1:7" x14ac:dyDescent="0.25">
      <c r="A352" s="16" t="str">
        <f>HYPERLINK("http://amigo.geneontology.org/amigo/term/GO:0043574","GO:0043574")</f>
        <v>GO:0043574</v>
      </c>
      <c r="B352" t="s">
        <v>1039</v>
      </c>
      <c r="C352">
        <v>0.04</v>
      </c>
      <c r="D352">
        <v>0.05</v>
      </c>
      <c r="E352">
        <v>37</v>
      </c>
      <c r="F352" t="s">
        <v>497</v>
      </c>
      <c r="G352" t="s">
        <v>1861</v>
      </c>
    </row>
    <row r="353" spans="1:7" x14ac:dyDescent="0.25">
      <c r="A353" s="16" t="str">
        <f>HYPERLINK("http://amigo.geneontology.org/amigo/term/GO:0009188","GO:0009188")</f>
        <v>GO:0009188</v>
      </c>
      <c r="B353" t="s">
        <v>1040</v>
      </c>
      <c r="C353">
        <v>0.04</v>
      </c>
      <c r="D353">
        <v>0.05</v>
      </c>
      <c r="E353">
        <v>2</v>
      </c>
      <c r="F353" t="s">
        <v>552</v>
      </c>
      <c r="G353" t="s">
        <v>1860</v>
      </c>
    </row>
    <row r="354" spans="1:7" x14ac:dyDescent="0.25">
      <c r="A354" s="16" t="str">
        <f>HYPERLINK("http://amigo.geneontology.org/amigo/term/GO:0009193","GO:0009193")</f>
        <v>GO:0009193</v>
      </c>
      <c r="B354" t="s">
        <v>1041</v>
      </c>
      <c r="C354">
        <v>0.04</v>
      </c>
      <c r="D354">
        <v>0.05</v>
      </c>
      <c r="E354">
        <v>2</v>
      </c>
      <c r="F354" t="s">
        <v>552</v>
      </c>
      <c r="G354" t="s">
        <v>1860</v>
      </c>
    </row>
    <row r="355" spans="1:7" x14ac:dyDescent="0.25">
      <c r="A355" s="16" t="str">
        <f>HYPERLINK("http://amigo.geneontology.org/amigo/term/GO:0009194","GO:0009194")</f>
        <v>GO:0009194</v>
      </c>
      <c r="B355" t="s">
        <v>1042</v>
      </c>
      <c r="C355">
        <v>0.04</v>
      </c>
      <c r="D355">
        <v>0.05</v>
      </c>
      <c r="E355">
        <v>2</v>
      </c>
      <c r="F355" t="s">
        <v>552</v>
      </c>
      <c r="G355" t="s">
        <v>1860</v>
      </c>
    </row>
    <row r="356" spans="1:7" x14ac:dyDescent="0.25">
      <c r="A356" s="16" t="str">
        <f>HYPERLINK("http://amigo.geneontology.org/amigo/term/GO:0046048","GO:0046048")</f>
        <v>GO:0046048</v>
      </c>
      <c r="B356" t="s">
        <v>1043</v>
      </c>
      <c r="C356">
        <v>0.04</v>
      </c>
      <c r="D356">
        <v>0.05</v>
      </c>
      <c r="E356">
        <v>2</v>
      </c>
      <c r="F356" t="s">
        <v>552</v>
      </c>
      <c r="G356" t="s">
        <v>1860</v>
      </c>
    </row>
    <row r="357" spans="1:7" x14ac:dyDescent="0.25">
      <c r="A357" s="16" t="str">
        <f>HYPERLINK("http://amigo.geneontology.org/amigo/term/GO:0006225","GO:0006225")</f>
        <v>GO:0006225</v>
      </c>
      <c r="B357" t="s">
        <v>1044</v>
      </c>
      <c r="C357">
        <v>0.04</v>
      </c>
      <c r="D357">
        <v>0.05</v>
      </c>
      <c r="E357">
        <v>2</v>
      </c>
      <c r="F357" t="s">
        <v>552</v>
      </c>
      <c r="G357" t="s">
        <v>1860</v>
      </c>
    </row>
    <row r="358" spans="1:7" x14ac:dyDescent="0.25">
      <c r="A358" s="16" t="str">
        <f>HYPERLINK("http://amigo.geneontology.org/amigo/term/GO:0046704","GO:0046704")</f>
        <v>GO:0046704</v>
      </c>
      <c r="B358" t="s">
        <v>1045</v>
      </c>
      <c r="C358">
        <v>0.04</v>
      </c>
      <c r="D358">
        <v>0.05</v>
      </c>
      <c r="E358">
        <v>2</v>
      </c>
      <c r="F358" t="s">
        <v>552</v>
      </c>
      <c r="G358" t="s">
        <v>1860</v>
      </c>
    </row>
    <row r="359" spans="1:7" x14ac:dyDescent="0.25">
      <c r="A359" s="16" t="str">
        <f>HYPERLINK("http://amigo.geneontology.org/amigo/term/GO:0046705","GO:0046705")</f>
        <v>GO:0046705</v>
      </c>
      <c r="B359" t="s">
        <v>1046</v>
      </c>
      <c r="C359">
        <v>0.04</v>
      </c>
      <c r="D359">
        <v>0.05</v>
      </c>
      <c r="E359">
        <v>2</v>
      </c>
      <c r="F359" t="s">
        <v>552</v>
      </c>
      <c r="G359" t="s">
        <v>1860</v>
      </c>
    </row>
    <row r="360" spans="1:7" x14ac:dyDescent="0.25">
      <c r="A360" s="16" t="str">
        <f>HYPERLINK("http://amigo.geneontology.org/amigo/term/GO:0046777","GO:0046777")</f>
        <v>GO:0046777</v>
      </c>
      <c r="B360" t="s">
        <v>1047</v>
      </c>
      <c r="C360">
        <v>0.04</v>
      </c>
      <c r="D360">
        <v>0.04</v>
      </c>
      <c r="E360">
        <v>60</v>
      </c>
      <c r="F360" t="s">
        <v>1859</v>
      </c>
      <c r="G360" t="s">
        <v>1858</v>
      </c>
    </row>
    <row r="361" spans="1:7" x14ac:dyDescent="0.25">
      <c r="A361" s="16" t="str">
        <f>HYPERLINK("http://amigo.geneontology.org/amigo/term/GO:0015786","GO:0015786")</f>
        <v>GO:0015786</v>
      </c>
      <c r="B361" t="s">
        <v>1048</v>
      </c>
      <c r="C361">
        <v>0.04</v>
      </c>
      <c r="D361">
        <v>0.05</v>
      </c>
      <c r="E361">
        <v>2</v>
      </c>
      <c r="F361" t="s">
        <v>552</v>
      </c>
      <c r="G361" t="s">
        <v>1857</v>
      </c>
    </row>
    <row r="362" spans="1:7" x14ac:dyDescent="0.25">
      <c r="A362" s="16" t="str">
        <f>HYPERLINK("http://amigo.geneontology.org/amigo/term/GO:0019377","GO:0019377")</f>
        <v>GO:0019377</v>
      </c>
      <c r="B362" t="s">
        <v>1049</v>
      </c>
      <c r="C362">
        <v>0.04</v>
      </c>
      <c r="D362">
        <v>0.05</v>
      </c>
      <c r="E362">
        <v>16</v>
      </c>
      <c r="F362" t="s">
        <v>461</v>
      </c>
      <c r="G362" t="s">
        <v>1856</v>
      </c>
    </row>
    <row r="363" spans="1:7" x14ac:dyDescent="0.25">
      <c r="A363" s="16" t="str">
        <f>HYPERLINK("http://amigo.geneontology.org/amigo/term/GO:0046479","GO:0046479")</f>
        <v>GO:0046479</v>
      </c>
      <c r="B363" t="s">
        <v>1050</v>
      </c>
      <c r="C363">
        <v>0.04</v>
      </c>
      <c r="D363">
        <v>0.05</v>
      </c>
      <c r="E363">
        <v>16</v>
      </c>
      <c r="F363" t="s">
        <v>461</v>
      </c>
      <c r="G363" t="s">
        <v>1856</v>
      </c>
    </row>
    <row r="364" spans="1:7" x14ac:dyDescent="0.25">
      <c r="A364" s="16" t="str">
        <f>HYPERLINK("http://amigo.geneontology.org/amigo/term/GO:0046477","GO:0046477")</f>
        <v>GO:0046477</v>
      </c>
      <c r="B364" t="s">
        <v>1051</v>
      </c>
      <c r="C364">
        <v>0.04</v>
      </c>
      <c r="D364">
        <v>0.05</v>
      </c>
      <c r="E364">
        <v>16</v>
      </c>
      <c r="F364" t="s">
        <v>461</v>
      </c>
      <c r="G364" t="s">
        <v>1856</v>
      </c>
    </row>
    <row r="365" spans="1:7" x14ac:dyDescent="0.25">
      <c r="A365" s="16" t="str">
        <f>HYPERLINK("http://amigo.geneontology.org/amigo/term/GO:0006680","GO:0006680")</f>
        <v>GO:0006680</v>
      </c>
      <c r="B365" t="s">
        <v>1052</v>
      </c>
      <c r="C365">
        <v>0.04</v>
      </c>
      <c r="D365">
        <v>0.05</v>
      </c>
      <c r="E365">
        <v>16</v>
      </c>
      <c r="F365" t="s">
        <v>461</v>
      </c>
      <c r="G365" t="s">
        <v>1856</v>
      </c>
    </row>
    <row r="366" spans="1:7" x14ac:dyDescent="0.25">
      <c r="A366" s="16" t="str">
        <f>HYPERLINK("http://amigo.geneontology.org/amigo/term/GO:0051851","GO:0051851")</f>
        <v>GO:0051851</v>
      </c>
      <c r="B366" t="s">
        <v>1053</v>
      </c>
      <c r="C366">
        <v>0.04</v>
      </c>
      <c r="D366">
        <v>0.05</v>
      </c>
      <c r="E366">
        <v>2</v>
      </c>
      <c r="F366" t="s">
        <v>552</v>
      </c>
      <c r="G366" t="s">
        <v>1855</v>
      </c>
    </row>
    <row r="367" spans="1:7" x14ac:dyDescent="0.25">
      <c r="A367" s="16" t="str">
        <f>HYPERLINK("http://amigo.geneontology.org/amigo/term/GO:0044788","GO:0044788")</f>
        <v>GO:0044788</v>
      </c>
      <c r="B367" t="s">
        <v>1054</v>
      </c>
      <c r="C367">
        <v>0.04</v>
      </c>
      <c r="D367">
        <v>0.05</v>
      </c>
      <c r="E367">
        <v>2</v>
      </c>
      <c r="F367" t="s">
        <v>552</v>
      </c>
      <c r="G367" t="s">
        <v>1855</v>
      </c>
    </row>
    <row r="368" spans="1:7" x14ac:dyDescent="0.25">
      <c r="A368" s="16" t="str">
        <f>HYPERLINK("http://amigo.geneontology.org/amigo/term/GO:0044794","GO:0044794")</f>
        <v>GO:0044794</v>
      </c>
      <c r="B368" t="s">
        <v>1055</v>
      </c>
      <c r="C368">
        <v>0.04</v>
      </c>
      <c r="D368">
        <v>0.05</v>
      </c>
      <c r="E368">
        <v>2</v>
      </c>
      <c r="F368" t="s">
        <v>552</v>
      </c>
      <c r="G368" t="s">
        <v>1855</v>
      </c>
    </row>
    <row r="369" spans="1:7" x14ac:dyDescent="0.25">
      <c r="A369" s="16" t="str">
        <f>HYPERLINK("http://amigo.geneontology.org/amigo/term/GO:0002832","GO:0002832")</f>
        <v>GO:0002832</v>
      </c>
      <c r="B369" t="s">
        <v>1056</v>
      </c>
      <c r="C369">
        <v>0.04</v>
      </c>
      <c r="D369">
        <v>0.04</v>
      </c>
      <c r="E369">
        <v>15</v>
      </c>
      <c r="F369" t="s">
        <v>1802</v>
      </c>
      <c r="G369" t="s">
        <v>1854</v>
      </c>
    </row>
    <row r="370" spans="1:7" x14ac:dyDescent="0.25">
      <c r="A370" s="16" t="str">
        <f>HYPERLINK("http://amigo.geneontology.org/amigo/term/GO:0032102","GO:0032102")</f>
        <v>GO:0032102</v>
      </c>
      <c r="B370" t="s">
        <v>1057</v>
      </c>
      <c r="C370">
        <v>0.04</v>
      </c>
      <c r="D370">
        <v>0.04</v>
      </c>
      <c r="E370">
        <v>15</v>
      </c>
      <c r="F370" t="s">
        <v>1802</v>
      </c>
      <c r="G370" t="s">
        <v>1854</v>
      </c>
    </row>
    <row r="371" spans="1:7" x14ac:dyDescent="0.25">
      <c r="A371" s="16" t="str">
        <f>HYPERLINK("http://amigo.geneontology.org/amigo/term/GO:0009682","GO:0009682")</f>
        <v>GO:0009682</v>
      </c>
      <c r="B371" t="s">
        <v>1058</v>
      </c>
      <c r="C371">
        <v>0.04</v>
      </c>
      <c r="D371">
        <v>0.05</v>
      </c>
      <c r="E371">
        <v>16</v>
      </c>
      <c r="F371" t="s">
        <v>461</v>
      </c>
      <c r="G371" t="s">
        <v>1844</v>
      </c>
    </row>
    <row r="372" spans="1:7" x14ac:dyDescent="0.25">
      <c r="A372" s="16" t="str">
        <f>HYPERLINK("http://amigo.geneontology.org/amigo/term/GO:0010114","GO:0010114")</f>
        <v>GO:0010114</v>
      </c>
      <c r="B372" t="s">
        <v>1059</v>
      </c>
      <c r="C372">
        <v>0.04</v>
      </c>
      <c r="D372">
        <v>0.05</v>
      </c>
      <c r="E372">
        <v>16</v>
      </c>
      <c r="F372" t="s">
        <v>461</v>
      </c>
      <c r="G372" t="s">
        <v>1844</v>
      </c>
    </row>
    <row r="373" spans="1:7" x14ac:dyDescent="0.25">
      <c r="A373" s="16" t="str">
        <f>HYPERLINK("http://amigo.geneontology.org/amigo/term/GO:0010218","GO:0010218")</f>
        <v>GO:0010218</v>
      </c>
      <c r="B373" t="s">
        <v>1060</v>
      </c>
      <c r="C373">
        <v>0.04</v>
      </c>
      <c r="D373">
        <v>0.04</v>
      </c>
      <c r="E373">
        <v>15</v>
      </c>
      <c r="F373" t="s">
        <v>1802</v>
      </c>
      <c r="G373" t="s">
        <v>1844</v>
      </c>
    </row>
    <row r="374" spans="1:7" x14ac:dyDescent="0.25">
      <c r="A374" s="16" t="str">
        <f>HYPERLINK("http://amigo.geneontology.org/amigo/term/GO:0034220","GO:0034220")</f>
        <v>GO:0034220</v>
      </c>
      <c r="B374" t="s">
        <v>1061</v>
      </c>
      <c r="C374">
        <v>0.05</v>
      </c>
      <c r="D374">
        <v>0.05</v>
      </c>
      <c r="E374">
        <v>745</v>
      </c>
      <c r="F374" t="s">
        <v>1853</v>
      </c>
      <c r="G374" t="s">
        <v>1852</v>
      </c>
    </row>
    <row r="375" spans="1:7" x14ac:dyDescent="0.25">
      <c r="A375" s="16" t="str">
        <f>HYPERLINK("http://amigo.geneontology.org/amigo/term/GO:0007167","GO:0007167")</f>
        <v>GO:0007167</v>
      </c>
      <c r="B375" t="s">
        <v>1062</v>
      </c>
      <c r="C375">
        <v>0.05</v>
      </c>
      <c r="D375">
        <v>0.05</v>
      </c>
      <c r="E375">
        <v>39</v>
      </c>
      <c r="F375" t="s">
        <v>1848</v>
      </c>
      <c r="G375" t="s">
        <v>1851</v>
      </c>
    </row>
    <row r="376" spans="1:7" x14ac:dyDescent="0.25">
      <c r="A376" s="16" t="str">
        <f>HYPERLINK("http://amigo.geneontology.org/amigo/term/GO:0007178","GO:0007178")</f>
        <v>GO:0007178</v>
      </c>
      <c r="B376" t="s">
        <v>1063</v>
      </c>
      <c r="C376">
        <v>0.05</v>
      </c>
      <c r="D376">
        <v>0.05</v>
      </c>
      <c r="E376">
        <v>39</v>
      </c>
      <c r="F376" t="s">
        <v>1848</v>
      </c>
      <c r="G376" t="s">
        <v>1851</v>
      </c>
    </row>
    <row r="377" spans="1:7" x14ac:dyDescent="0.25">
      <c r="A377" s="16" t="str">
        <f>HYPERLINK("http://amigo.geneontology.org/amigo/term/GO:0015780","GO:0015780")</f>
        <v>GO:0015780</v>
      </c>
      <c r="B377" t="s">
        <v>1064</v>
      </c>
      <c r="C377">
        <v>0.05</v>
      </c>
      <c r="D377">
        <v>0.05</v>
      </c>
      <c r="E377">
        <v>38</v>
      </c>
      <c r="F377" t="s">
        <v>1850</v>
      </c>
      <c r="G377" t="s">
        <v>1849</v>
      </c>
    </row>
    <row r="378" spans="1:7" x14ac:dyDescent="0.25">
      <c r="A378" s="16" t="str">
        <f>HYPERLINK("http://amigo.geneontology.org/amigo/term/GO:0006074","GO:0006074")</f>
        <v>GO:0006074</v>
      </c>
      <c r="B378" t="s">
        <v>1065</v>
      </c>
      <c r="C378">
        <v>0.05</v>
      </c>
      <c r="D378">
        <v>0.05</v>
      </c>
      <c r="E378">
        <v>39</v>
      </c>
      <c r="F378" t="s">
        <v>1848</v>
      </c>
      <c r="G378" t="s">
        <v>1847</v>
      </c>
    </row>
    <row r="379" spans="1:7" x14ac:dyDescent="0.25">
      <c r="A379" s="16" t="str">
        <f>HYPERLINK("http://amigo.geneontology.org/amigo/term/GO:0006075","GO:0006075")</f>
        <v>GO:0006075</v>
      </c>
      <c r="B379" t="s">
        <v>1066</v>
      </c>
      <c r="C379">
        <v>0.05</v>
      </c>
      <c r="D379">
        <v>0.05</v>
      </c>
      <c r="E379">
        <v>39</v>
      </c>
      <c r="F379" t="s">
        <v>1848</v>
      </c>
      <c r="G379" t="s">
        <v>1847</v>
      </c>
    </row>
    <row r="380" spans="1:7" x14ac:dyDescent="0.25">
      <c r="A380" s="16" t="str">
        <f>HYPERLINK("http://amigo.geneontology.org/amigo/term/GO:0048638","GO:0048638")</f>
        <v>GO:0048638</v>
      </c>
      <c r="B380" t="s">
        <v>416</v>
      </c>
      <c r="C380">
        <v>0.05</v>
      </c>
      <c r="D380">
        <v>0.05</v>
      </c>
      <c r="E380">
        <v>93</v>
      </c>
      <c r="F380" t="s">
        <v>417</v>
      </c>
      <c r="G380" t="s">
        <v>1846</v>
      </c>
    </row>
    <row r="381" spans="1:7" x14ac:dyDescent="0.25">
      <c r="A381" s="16" t="str">
        <f>HYPERLINK("http://amigo.geneontology.org/amigo/term/GO:0002252","GO:0002252")</f>
        <v>GO:0002252</v>
      </c>
      <c r="B381" t="s">
        <v>1067</v>
      </c>
      <c r="C381">
        <v>0.05</v>
      </c>
      <c r="D381">
        <v>0.05</v>
      </c>
      <c r="E381">
        <v>17</v>
      </c>
      <c r="F381" t="s">
        <v>1845</v>
      </c>
      <c r="G381" t="s">
        <v>1844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workbookViewId="0">
      <pane xSplit="2" ySplit="10" topLeftCell="C199" activePane="bottomRight" state="frozen"/>
      <selection pane="topRight" activeCell="C1" sqref="C1"/>
      <selection pane="bottomLeft" activeCell="A11" sqref="A11"/>
      <selection pane="bottomRight" activeCell="A11" sqref="A11:A226"/>
    </sheetView>
  </sheetViews>
  <sheetFormatPr defaultRowHeight="15" x14ac:dyDescent="0.25"/>
  <sheetData>
    <row r="1" spans="1:7" x14ac:dyDescent="0.25">
      <c r="A1" t="s">
        <v>0</v>
      </c>
      <c r="B1">
        <v>689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HYPERLINK("http://amigo.geneontology.org/amigo/term/GO:0015979","GO:0015979")</f>
        <v>GO:0015979</v>
      </c>
      <c r="B11" t="s">
        <v>1413</v>
      </c>
      <c r="C11" s="1">
        <v>8.6479999999999993E-31</v>
      </c>
      <c r="D11" s="1">
        <v>9.9309999999999999E-31</v>
      </c>
      <c r="E11">
        <v>700</v>
      </c>
      <c r="F11" t="s">
        <v>2451</v>
      </c>
      <c r="G11" t="s">
        <v>2450</v>
      </c>
    </row>
    <row r="12" spans="1:7" x14ac:dyDescent="0.25">
      <c r="A12" s="16" t="str">
        <f>HYPERLINK("http://amigo.geneontology.org/amigo/term/GO:0043604","GO:0043604")</f>
        <v>GO:0043604</v>
      </c>
      <c r="B12" t="s">
        <v>1414</v>
      </c>
      <c r="C12" s="1">
        <v>2.7680000000000001E-17</v>
      </c>
      <c r="D12" s="1">
        <v>3.1770000000000003E-17</v>
      </c>
      <c r="E12">
        <v>1825</v>
      </c>
      <c r="F12" t="s">
        <v>2449</v>
      </c>
      <c r="G12" t="s">
        <v>2448</v>
      </c>
    </row>
    <row r="13" spans="1:7" x14ac:dyDescent="0.25">
      <c r="A13" s="16" t="str">
        <f>HYPERLINK("http://amigo.geneontology.org/amigo/term/GO:1901566","GO:1901566")</f>
        <v>GO:1901566</v>
      </c>
      <c r="B13" t="s">
        <v>364</v>
      </c>
      <c r="C13" s="1">
        <v>1.311E-16</v>
      </c>
      <c r="D13" s="1">
        <v>1.505E-16</v>
      </c>
      <c r="E13">
        <v>3496</v>
      </c>
      <c r="F13" t="s">
        <v>2447</v>
      </c>
      <c r="G13" t="s">
        <v>2446</v>
      </c>
    </row>
    <row r="14" spans="1:7" x14ac:dyDescent="0.25">
      <c r="A14" s="16" t="str">
        <f>HYPERLINK("http://amigo.geneontology.org/amigo/term/GO:0006412","GO:0006412")</f>
        <v>GO:0006412</v>
      </c>
      <c r="B14" t="s">
        <v>1415</v>
      </c>
      <c r="C14" s="1">
        <v>1.7639999999999999E-16</v>
      </c>
      <c r="D14" s="1">
        <v>2.024E-16</v>
      </c>
      <c r="E14">
        <v>1733</v>
      </c>
      <c r="F14" t="s">
        <v>2036</v>
      </c>
      <c r="G14" t="s">
        <v>2444</v>
      </c>
    </row>
    <row r="15" spans="1:7" x14ac:dyDescent="0.25">
      <c r="A15" s="16" t="str">
        <f>HYPERLINK("http://amigo.geneontology.org/amigo/term/GO:0043043","GO:0043043")</f>
        <v>GO:0043043</v>
      </c>
      <c r="B15" t="s">
        <v>1416</v>
      </c>
      <c r="C15" s="1">
        <v>2.9699999999999999E-16</v>
      </c>
      <c r="D15" s="1">
        <v>3.4079999999999999E-16</v>
      </c>
      <c r="E15">
        <v>1754</v>
      </c>
      <c r="F15" t="s">
        <v>2445</v>
      </c>
      <c r="G15" t="s">
        <v>2444</v>
      </c>
    </row>
    <row r="16" spans="1:7" x14ac:dyDescent="0.25">
      <c r="A16" s="16" t="str">
        <f>HYPERLINK("http://amigo.geneontology.org/amigo/term/GO:0043603","GO:0043603")</f>
        <v>GO:0043603</v>
      </c>
      <c r="B16" t="s">
        <v>339</v>
      </c>
      <c r="C16" s="1">
        <v>1.4980000000000001E-15</v>
      </c>
      <c r="D16" s="1">
        <v>1.7179999999999999E-15</v>
      </c>
      <c r="E16">
        <v>2353</v>
      </c>
      <c r="F16" t="s">
        <v>2443</v>
      </c>
      <c r="G16" t="s">
        <v>2442</v>
      </c>
    </row>
    <row r="17" spans="1:7" x14ac:dyDescent="0.25">
      <c r="A17" s="16" t="str">
        <f>HYPERLINK("http://amigo.geneontology.org/amigo/term/GO:0006518","GO:0006518")</f>
        <v>GO:0006518</v>
      </c>
      <c r="B17" t="s">
        <v>377</v>
      </c>
      <c r="C17" s="1">
        <v>1.9339999999999999E-15</v>
      </c>
      <c r="D17" s="1">
        <v>2.2180000000000001E-15</v>
      </c>
      <c r="E17">
        <v>2184</v>
      </c>
      <c r="F17" t="s">
        <v>2441</v>
      </c>
      <c r="G17" t="s">
        <v>2440</v>
      </c>
    </row>
    <row r="18" spans="1:7" x14ac:dyDescent="0.25">
      <c r="A18" s="16" t="str">
        <f>HYPERLINK("http://amigo.geneontology.org/amigo/term/GO:0044271","GO:0044271")</f>
        <v>GO:0044271</v>
      </c>
      <c r="B18" t="s">
        <v>1417</v>
      </c>
      <c r="C18" s="1">
        <v>6.0000000000000003E-12</v>
      </c>
      <c r="D18" s="1">
        <v>6.8780000000000004E-12</v>
      </c>
      <c r="E18">
        <v>4399</v>
      </c>
      <c r="F18" t="s">
        <v>2439</v>
      </c>
      <c r="G18" t="s">
        <v>2438</v>
      </c>
    </row>
    <row r="19" spans="1:7" x14ac:dyDescent="0.25">
      <c r="A19" s="16" t="str">
        <f>HYPERLINK("http://amigo.geneontology.org/amigo/term/GO:0019684","GO:0019684")</f>
        <v>GO:0019684</v>
      </c>
      <c r="B19" t="s">
        <v>1418</v>
      </c>
      <c r="C19" s="1">
        <v>1.381E-11</v>
      </c>
      <c r="D19" s="1">
        <v>1.582E-11</v>
      </c>
      <c r="E19">
        <v>308</v>
      </c>
      <c r="F19" t="s">
        <v>2437</v>
      </c>
      <c r="G19" t="s">
        <v>2436</v>
      </c>
    </row>
    <row r="20" spans="1:7" x14ac:dyDescent="0.25">
      <c r="A20" s="16" t="str">
        <f>HYPERLINK("http://amigo.geneontology.org/amigo/term/GO:1901576","GO:1901576")</f>
        <v>GO:1901576</v>
      </c>
      <c r="B20" t="s">
        <v>249</v>
      </c>
      <c r="C20" s="1">
        <v>1.397E-9</v>
      </c>
      <c r="D20" s="1">
        <v>1.601E-9</v>
      </c>
      <c r="E20">
        <v>7032</v>
      </c>
      <c r="F20" t="s">
        <v>2435</v>
      </c>
      <c r="G20" t="s">
        <v>2429</v>
      </c>
    </row>
    <row r="21" spans="1:7" x14ac:dyDescent="0.25">
      <c r="A21" s="16" t="str">
        <f>HYPERLINK("http://amigo.geneontology.org/amigo/term/GO:0006091","GO:0006091")</f>
        <v>GO:0006091</v>
      </c>
      <c r="B21" t="s">
        <v>1419</v>
      </c>
      <c r="C21" s="1">
        <v>6.3540000000000002E-9</v>
      </c>
      <c r="D21" s="1">
        <v>7.2779999999999999E-9</v>
      </c>
      <c r="E21">
        <v>1002</v>
      </c>
      <c r="F21" t="s">
        <v>2434</v>
      </c>
      <c r="G21" t="s">
        <v>2433</v>
      </c>
    </row>
    <row r="22" spans="1:7" x14ac:dyDescent="0.25">
      <c r="A22" s="16" t="str">
        <f>HYPERLINK("http://amigo.geneontology.org/amigo/term/GO:0044249","GO:0044249")</f>
        <v>GO:0044249</v>
      </c>
      <c r="B22" t="s">
        <v>329</v>
      </c>
      <c r="C22" s="1">
        <v>8.6469999999999996E-9</v>
      </c>
      <c r="D22" s="1">
        <v>9.9029999999999994E-9</v>
      </c>
      <c r="E22">
        <v>6840</v>
      </c>
      <c r="F22" t="s">
        <v>2432</v>
      </c>
      <c r="G22" t="s">
        <v>2431</v>
      </c>
    </row>
    <row r="23" spans="1:7" x14ac:dyDescent="0.25">
      <c r="A23" s="16" t="str">
        <f>HYPERLINK("http://amigo.geneontology.org/amigo/term/GO:0009058","GO:0009058")</f>
        <v>GO:0009058</v>
      </c>
      <c r="B23" t="s">
        <v>213</v>
      </c>
      <c r="C23" s="1">
        <v>3.3379999999999998E-8</v>
      </c>
      <c r="D23" s="1">
        <v>3.8220000000000001E-8</v>
      </c>
      <c r="E23">
        <v>7451</v>
      </c>
      <c r="F23" t="s">
        <v>2430</v>
      </c>
      <c r="G23" t="s">
        <v>2429</v>
      </c>
    </row>
    <row r="24" spans="1:7" x14ac:dyDescent="0.25">
      <c r="A24" s="16" t="str">
        <f>HYPERLINK("http://amigo.geneontology.org/amigo/term/GO:0032544","GO:0032544")</f>
        <v>GO:0032544</v>
      </c>
      <c r="B24" t="s">
        <v>1420</v>
      </c>
      <c r="C24" s="1">
        <v>4.6929999999999997E-8</v>
      </c>
      <c r="D24" s="1">
        <v>5.3720000000000001E-8</v>
      </c>
      <c r="E24">
        <v>12</v>
      </c>
      <c r="F24" t="s">
        <v>2428</v>
      </c>
      <c r="G24" t="s">
        <v>2427</v>
      </c>
    </row>
    <row r="25" spans="1:7" x14ac:dyDescent="0.25">
      <c r="A25" s="16" t="str">
        <f>HYPERLINK("http://amigo.geneontology.org/amigo/term/GO:0034641","GO:0034641")</f>
        <v>GO:0034641</v>
      </c>
      <c r="B25" t="s">
        <v>688</v>
      </c>
      <c r="C25" s="1">
        <v>3.1889999999999998E-7</v>
      </c>
      <c r="D25" s="1">
        <v>3.65E-7</v>
      </c>
      <c r="E25">
        <v>7697</v>
      </c>
      <c r="F25" t="s">
        <v>2426</v>
      </c>
      <c r="G25" t="s">
        <v>2425</v>
      </c>
    </row>
    <row r="26" spans="1:7" x14ac:dyDescent="0.25">
      <c r="A26" s="16" t="str">
        <f>HYPERLINK("http://amigo.geneontology.org/amigo/term/GO:0009765","GO:0009765")</f>
        <v>GO:0009765</v>
      </c>
      <c r="B26" t="s">
        <v>948</v>
      </c>
      <c r="C26" s="1">
        <v>3.4849999999999998E-7</v>
      </c>
      <c r="D26" s="1">
        <v>3.9869999999999999E-7</v>
      </c>
      <c r="E26">
        <v>99</v>
      </c>
      <c r="F26" t="s">
        <v>2424</v>
      </c>
      <c r="G26" t="s">
        <v>2423</v>
      </c>
    </row>
    <row r="27" spans="1:7" x14ac:dyDescent="0.25">
      <c r="A27" s="16" t="str">
        <f>HYPERLINK("http://amigo.geneontology.org/amigo/term/GO:0009059","GO:0009059")</f>
        <v>GO:0009059</v>
      </c>
      <c r="B27" t="s">
        <v>1421</v>
      </c>
      <c r="C27" s="1">
        <v>4.1419999999999999E-7</v>
      </c>
      <c r="D27" s="1">
        <v>4.7380000000000002E-7</v>
      </c>
      <c r="E27">
        <v>4487</v>
      </c>
      <c r="F27" t="s">
        <v>2422</v>
      </c>
      <c r="G27" t="s">
        <v>2421</v>
      </c>
    </row>
    <row r="28" spans="1:7" x14ac:dyDescent="0.25">
      <c r="A28" s="16" t="str">
        <f>HYPERLINK("http://amigo.geneontology.org/amigo/term/GO:0015977","GO:0015977")</f>
        <v>GO:0015977</v>
      </c>
      <c r="B28" t="s">
        <v>1095</v>
      </c>
      <c r="C28" s="1">
        <v>4.1880000000000002E-7</v>
      </c>
      <c r="D28" s="1">
        <v>4.7889999999999998E-7</v>
      </c>
      <c r="E28">
        <v>51</v>
      </c>
      <c r="F28" t="s">
        <v>2420</v>
      </c>
      <c r="G28" t="s">
        <v>2419</v>
      </c>
    </row>
    <row r="29" spans="1:7" x14ac:dyDescent="0.25">
      <c r="A29" s="16" t="str">
        <f>HYPERLINK("http://amigo.geneontology.org/amigo/term/GO:0042793","GO:0042793")</f>
        <v>GO:0042793</v>
      </c>
      <c r="B29" t="s">
        <v>1422</v>
      </c>
      <c r="C29" s="1">
        <v>4.8520000000000003E-7</v>
      </c>
      <c r="D29" s="1">
        <v>5.5469999999999996E-7</v>
      </c>
      <c r="E29">
        <v>18</v>
      </c>
      <c r="F29" t="s">
        <v>2418</v>
      </c>
      <c r="G29" t="s">
        <v>2417</v>
      </c>
    </row>
    <row r="30" spans="1:7" x14ac:dyDescent="0.25">
      <c r="A30" s="16" t="str">
        <f>HYPERLINK("http://amigo.geneontology.org/amigo/term/GO:0034645","GO:0034645")</f>
        <v>GO:0034645</v>
      </c>
      <c r="B30" t="s">
        <v>1423</v>
      </c>
      <c r="C30" s="1">
        <v>2.0959999999999999E-6</v>
      </c>
      <c r="D30" s="1">
        <v>2.396E-6</v>
      </c>
      <c r="E30">
        <v>4439</v>
      </c>
      <c r="F30" t="s">
        <v>2416</v>
      </c>
      <c r="G30" t="s">
        <v>2415</v>
      </c>
    </row>
    <row r="31" spans="1:7" x14ac:dyDescent="0.25">
      <c r="A31" s="16" t="str">
        <f>HYPERLINK("http://amigo.geneontology.org/amigo/term/GO:0010467","GO:0010467")</f>
        <v>GO:0010467</v>
      </c>
      <c r="B31" t="s">
        <v>1424</v>
      </c>
      <c r="C31" s="1">
        <v>7.481E-6</v>
      </c>
      <c r="D31" s="1">
        <v>8.5490000000000006E-6</v>
      </c>
      <c r="E31">
        <v>4862</v>
      </c>
      <c r="F31" t="s">
        <v>2414</v>
      </c>
      <c r="G31" t="s">
        <v>2413</v>
      </c>
    </row>
    <row r="32" spans="1:7" x14ac:dyDescent="0.25">
      <c r="A32" s="16" t="str">
        <f>HYPERLINK("http://amigo.geneontology.org/amigo/term/GO:0006751","GO:0006751")</f>
        <v>GO:0006751</v>
      </c>
      <c r="B32" t="s">
        <v>1425</v>
      </c>
      <c r="C32" s="1">
        <v>1.9029999999999999E-5</v>
      </c>
      <c r="D32" s="1">
        <v>2.1739999999999999E-5</v>
      </c>
      <c r="E32">
        <v>18</v>
      </c>
      <c r="F32" t="s">
        <v>2412</v>
      </c>
      <c r="G32" t="s">
        <v>2398</v>
      </c>
    </row>
    <row r="33" spans="1:7" x14ac:dyDescent="0.25">
      <c r="A33" s="16" t="str">
        <f>HYPERLINK("http://amigo.geneontology.org/amigo/term/GO:0018298","GO:0018298")</f>
        <v>GO:0018298</v>
      </c>
      <c r="B33" t="s">
        <v>1426</v>
      </c>
      <c r="C33" s="1">
        <v>1.9879999999999999E-5</v>
      </c>
      <c r="D33" s="1">
        <v>2.27E-5</v>
      </c>
      <c r="E33">
        <v>90</v>
      </c>
      <c r="F33" t="s">
        <v>2411</v>
      </c>
      <c r="G33" t="s">
        <v>2410</v>
      </c>
    </row>
    <row r="34" spans="1:7" x14ac:dyDescent="0.25">
      <c r="A34" s="16" t="str">
        <f>HYPERLINK("http://amigo.geneontology.org/amigo/term/GO:0006334","GO:0006334")</f>
        <v>GO:0006334</v>
      </c>
      <c r="B34" t="s">
        <v>344</v>
      </c>
      <c r="C34" s="1">
        <v>2.4430000000000002E-5</v>
      </c>
      <c r="D34" s="1">
        <v>2.7900000000000001E-5</v>
      </c>
      <c r="E34">
        <v>252</v>
      </c>
      <c r="F34" t="s">
        <v>2409</v>
      </c>
      <c r="G34" t="s">
        <v>2299</v>
      </c>
    </row>
    <row r="35" spans="1:7" x14ac:dyDescent="0.25">
      <c r="A35" s="16" t="str">
        <f>HYPERLINK("http://amigo.geneontology.org/amigo/term/GO:0009628","GO:0009628")</f>
        <v>GO:0009628</v>
      </c>
      <c r="B35" t="s">
        <v>317</v>
      </c>
      <c r="C35" s="1">
        <v>2.8249999999999999E-5</v>
      </c>
      <c r="D35" s="1">
        <v>3.2259999999999999E-5</v>
      </c>
      <c r="E35">
        <v>1079</v>
      </c>
      <c r="F35" t="s">
        <v>2408</v>
      </c>
      <c r="G35" t="s">
        <v>2407</v>
      </c>
    </row>
    <row r="36" spans="1:7" x14ac:dyDescent="0.25">
      <c r="A36" s="16" t="str">
        <f>HYPERLINK("http://amigo.geneontology.org/amigo/term/GO:0043171","GO:0043171")</f>
        <v>GO:0043171</v>
      </c>
      <c r="B36" t="s">
        <v>1427</v>
      </c>
      <c r="C36" s="1">
        <v>2.9689999999999999E-5</v>
      </c>
      <c r="D36" s="1">
        <v>3.3890000000000002E-5</v>
      </c>
      <c r="E36">
        <v>20</v>
      </c>
      <c r="F36" t="s">
        <v>2406</v>
      </c>
      <c r="G36" t="s">
        <v>2398</v>
      </c>
    </row>
    <row r="37" spans="1:7" x14ac:dyDescent="0.25">
      <c r="A37" s="16" t="str">
        <f>HYPERLINK("http://amigo.geneontology.org/amigo/term/GO:0000413","GO:0000413")</f>
        <v>GO:0000413</v>
      </c>
      <c r="B37" t="s">
        <v>1428</v>
      </c>
      <c r="C37" s="1">
        <v>3.025E-5</v>
      </c>
      <c r="D37" s="1">
        <v>3.4520000000000002E-5</v>
      </c>
      <c r="E37">
        <v>96</v>
      </c>
      <c r="F37" t="s">
        <v>179</v>
      </c>
      <c r="G37" t="s">
        <v>2402</v>
      </c>
    </row>
    <row r="38" spans="1:7" x14ac:dyDescent="0.25">
      <c r="A38" s="16" t="str">
        <f>HYPERLINK("http://amigo.geneontology.org/amigo/term/GO:0034728","GO:0034728")</f>
        <v>GO:0034728</v>
      </c>
      <c r="B38" t="s">
        <v>367</v>
      </c>
      <c r="C38" s="1">
        <v>3.3649999999999998E-5</v>
      </c>
      <c r="D38" s="1">
        <v>3.8389999999999997E-5</v>
      </c>
      <c r="E38">
        <v>261</v>
      </c>
      <c r="F38" t="s">
        <v>2405</v>
      </c>
      <c r="G38" t="s">
        <v>2299</v>
      </c>
    </row>
    <row r="39" spans="1:7" x14ac:dyDescent="0.25">
      <c r="A39" s="16" t="str">
        <f>HYPERLINK("http://amigo.geneontology.org/amigo/term/GO:0031497","GO:0031497")</f>
        <v>GO:0031497</v>
      </c>
      <c r="B39" t="s">
        <v>264</v>
      </c>
      <c r="C39" s="1">
        <v>3.6069999999999999E-5</v>
      </c>
      <c r="D39" s="1">
        <v>4.1140000000000003E-5</v>
      </c>
      <c r="E39">
        <v>263</v>
      </c>
      <c r="F39" t="s">
        <v>265</v>
      </c>
      <c r="G39" t="s">
        <v>2299</v>
      </c>
    </row>
    <row r="40" spans="1:7" x14ac:dyDescent="0.25">
      <c r="A40" s="16" t="str">
        <f>HYPERLINK("http://amigo.geneontology.org/amigo/term/GO:0009767","GO:0009767")</f>
        <v>GO:0009767</v>
      </c>
      <c r="B40" t="s">
        <v>1429</v>
      </c>
      <c r="C40" s="1">
        <v>4.1220000000000002E-5</v>
      </c>
      <c r="D40" s="1">
        <v>4.6999999999999997E-5</v>
      </c>
      <c r="E40">
        <v>137</v>
      </c>
      <c r="F40" t="s">
        <v>217</v>
      </c>
      <c r="G40" t="s">
        <v>2404</v>
      </c>
    </row>
    <row r="41" spans="1:7" x14ac:dyDescent="0.25">
      <c r="A41" s="16" t="str">
        <f>HYPERLINK("http://amigo.geneontology.org/amigo/term/GO:0006333","GO:0006333")</f>
        <v>GO:0006333</v>
      </c>
      <c r="B41" t="s">
        <v>291</v>
      </c>
      <c r="C41" s="1">
        <v>4.5729999999999998E-5</v>
      </c>
      <c r="D41" s="1">
        <v>5.2139999999999999E-5</v>
      </c>
      <c r="E41">
        <v>270</v>
      </c>
      <c r="F41" t="s">
        <v>292</v>
      </c>
      <c r="G41" t="s">
        <v>2299</v>
      </c>
    </row>
    <row r="42" spans="1:7" x14ac:dyDescent="0.25">
      <c r="A42" s="16" t="str">
        <f>HYPERLINK("http://amigo.geneontology.org/amigo/term/GO:0018208","GO:0018208")</f>
        <v>GO:0018208</v>
      </c>
      <c r="B42" t="s">
        <v>1430</v>
      </c>
      <c r="C42" s="1">
        <v>4.7599999999999998E-5</v>
      </c>
      <c r="D42" s="1">
        <v>5.4249999999999997E-5</v>
      </c>
      <c r="E42">
        <v>103</v>
      </c>
      <c r="F42" t="s">
        <v>2403</v>
      </c>
      <c r="G42" t="s">
        <v>2402</v>
      </c>
    </row>
    <row r="43" spans="1:7" x14ac:dyDescent="0.25">
      <c r="A43" s="16" t="str">
        <f>HYPERLINK("http://amigo.geneontology.org/amigo/term/GO:0043953","GO:0043953")</f>
        <v>GO:0043953</v>
      </c>
      <c r="B43" t="s">
        <v>1431</v>
      </c>
      <c r="C43" s="1">
        <v>6.1069999999999996E-5</v>
      </c>
      <c r="D43" s="1">
        <v>6.9590000000000003E-5</v>
      </c>
      <c r="E43">
        <v>9</v>
      </c>
      <c r="F43" t="s">
        <v>148</v>
      </c>
      <c r="G43" t="s">
        <v>2368</v>
      </c>
    </row>
    <row r="44" spans="1:7" x14ac:dyDescent="0.25">
      <c r="A44" s="16" t="str">
        <f>HYPERLINK("http://amigo.geneontology.org/amigo/term/GO:0044273","GO:0044273")</f>
        <v>GO:0044273</v>
      </c>
      <c r="B44" t="s">
        <v>1432</v>
      </c>
      <c r="C44" s="1">
        <v>6.3260000000000001E-5</v>
      </c>
      <c r="D44" s="1">
        <v>7.2070000000000006E-5</v>
      </c>
      <c r="E44">
        <v>24</v>
      </c>
      <c r="F44" t="s">
        <v>169</v>
      </c>
      <c r="G44" t="s">
        <v>2398</v>
      </c>
    </row>
    <row r="45" spans="1:7" x14ac:dyDescent="0.25">
      <c r="A45" s="16" t="str">
        <f>HYPERLINK("http://amigo.geneontology.org/amigo/term/GO:0006323","GO:0006323")</f>
        <v>GO:0006323</v>
      </c>
      <c r="B45" t="s">
        <v>334</v>
      </c>
      <c r="C45" s="1">
        <v>7.6509999999999998E-5</v>
      </c>
      <c r="D45" s="1">
        <v>8.7139999999999996E-5</v>
      </c>
      <c r="E45">
        <v>286</v>
      </c>
      <c r="F45" t="s">
        <v>335</v>
      </c>
      <c r="G45" t="s">
        <v>2299</v>
      </c>
    </row>
    <row r="46" spans="1:7" x14ac:dyDescent="0.25">
      <c r="A46" s="16" t="str">
        <f>HYPERLINK("http://amigo.geneontology.org/amigo/term/GO:0022900","GO:0022900")</f>
        <v>GO:0022900</v>
      </c>
      <c r="B46" t="s">
        <v>1433</v>
      </c>
      <c r="C46" s="1">
        <v>9.077E-5</v>
      </c>
      <c r="D46" s="1">
        <v>1.0340000000000001E-4</v>
      </c>
      <c r="E46">
        <v>453</v>
      </c>
      <c r="F46" t="s">
        <v>2401</v>
      </c>
      <c r="G46" t="s">
        <v>2400</v>
      </c>
    </row>
    <row r="47" spans="1:7" x14ac:dyDescent="0.25">
      <c r="A47" s="16" t="str">
        <f>HYPERLINK("http://amigo.geneontology.org/amigo/term/GO:0042219","GO:0042219")</f>
        <v>GO:0042219</v>
      </c>
      <c r="B47" t="s">
        <v>1434</v>
      </c>
      <c r="C47" s="1">
        <v>1.022E-4</v>
      </c>
      <c r="D47" s="1">
        <v>1.164E-4</v>
      </c>
      <c r="E47">
        <v>27</v>
      </c>
      <c r="F47" t="s">
        <v>2399</v>
      </c>
      <c r="G47" t="s">
        <v>2398</v>
      </c>
    </row>
    <row r="48" spans="1:7" x14ac:dyDescent="0.25">
      <c r="A48" s="16" t="str">
        <f>HYPERLINK("http://amigo.geneontology.org/amigo/term/GO:0010035","GO:0010035")</f>
        <v>GO:0010035</v>
      </c>
      <c r="B48" t="s">
        <v>72</v>
      </c>
      <c r="C48" s="1">
        <v>1.082E-4</v>
      </c>
      <c r="D48" s="1">
        <v>1.2310000000000001E-4</v>
      </c>
      <c r="E48">
        <v>519</v>
      </c>
      <c r="F48" t="s">
        <v>2397</v>
      </c>
      <c r="G48" t="s">
        <v>2396</v>
      </c>
    </row>
    <row r="49" spans="1:7" x14ac:dyDescent="0.25">
      <c r="A49" s="16" t="str">
        <f>HYPERLINK("http://amigo.geneontology.org/amigo/term/GO:0006338","GO:0006338")</f>
        <v>GO:0006338</v>
      </c>
      <c r="B49" t="s">
        <v>425</v>
      </c>
      <c r="C49" s="1">
        <v>1.099E-4</v>
      </c>
      <c r="D49" s="1">
        <v>1.2510000000000001E-4</v>
      </c>
      <c r="E49">
        <v>298</v>
      </c>
      <c r="F49" t="s">
        <v>2395</v>
      </c>
      <c r="G49" t="s">
        <v>2299</v>
      </c>
    </row>
    <row r="50" spans="1:7" x14ac:dyDescent="0.25">
      <c r="A50" s="16" t="str">
        <f>HYPERLINK("http://amigo.geneontology.org/amigo/term/GO:0006438","GO:0006438")</f>
        <v>GO:0006438</v>
      </c>
      <c r="B50" t="s">
        <v>1435</v>
      </c>
      <c r="C50" s="1">
        <v>1.183E-4</v>
      </c>
      <c r="D50" s="1">
        <v>1.3459999999999999E-4</v>
      </c>
      <c r="E50">
        <v>11</v>
      </c>
      <c r="F50" t="s">
        <v>177</v>
      </c>
      <c r="G50" t="s">
        <v>2394</v>
      </c>
    </row>
    <row r="51" spans="1:7" x14ac:dyDescent="0.25">
      <c r="A51" s="16" t="str">
        <f>HYPERLINK("http://amigo.geneontology.org/amigo/term/GO:0044237","GO:0044237")</f>
        <v>GO:0044237</v>
      </c>
      <c r="B51" t="s">
        <v>806</v>
      </c>
      <c r="C51" s="1">
        <v>1.56E-4</v>
      </c>
      <c r="D51" s="1">
        <v>1.774E-4</v>
      </c>
      <c r="E51">
        <v>20463</v>
      </c>
      <c r="F51" t="s">
        <v>2393</v>
      </c>
      <c r="G51" t="s">
        <v>2392</v>
      </c>
    </row>
    <row r="52" spans="1:7" x14ac:dyDescent="0.25">
      <c r="A52" s="16" t="str">
        <f>HYPERLINK("http://amigo.geneontology.org/amigo/term/GO:0009416","GO:0009416")</f>
        <v>GO:0009416</v>
      </c>
      <c r="B52" t="s">
        <v>1436</v>
      </c>
      <c r="C52" s="1">
        <v>1.5679999999999999E-4</v>
      </c>
      <c r="D52" s="1">
        <v>1.783E-4</v>
      </c>
      <c r="E52">
        <v>364</v>
      </c>
      <c r="F52" t="s">
        <v>2391</v>
      </c>
      <c r="G52" t="s">
        <v>2387</v>
      </c>
    </row>
    <row r="53" spans="1:7" x14ac:dyDescent="0.25">
      <c r="A53" s="16" t="str">
        <f>HYPERLINK("http://amigo.geneontology.org/amigo/term/GO:0009773","GO:0009773")</f>
        <v>GO:0009773</v>
      </c>
      <c r="B53" t="s">
        <v>1437</v>
      </c>
      <c r="C53" s="1">
        <v>1.7809999999999999E-4</v>
      </c>
      <c r="D53" s="1">
        <v>2.0239999999999999E-4</v>
      </c>
      <c r="E53">
        <v>31</v>
      </c>
      <c r="F53" t="s">
        <v>2390</v>
      </c>
      <c r="G53" t="s">
        <v>2389</v>
      </c>
    </row>
    <row r="54" spans="1:7" x14ac:dyDescent="0.25">
      <c r="A54" s="16" t="str">
        <f>HYPERLINK("http://amigo.geneontology.org/amigo/term/GO:0009314","GO:0009314")</f>
        <v>GO:0009314</v>
      </c>
      <c r="B54" t="s">
        <v>1438</v>
      </c>
      <c r="C54" s="1">
        <v>2.2690000000000001E-4</v>
      </c>
      <c r="D54" s="1">
        <v>2.5789999999999998E-4</v>
      </c>
      <c r="E54">
        <v>379</v>
      </c>
      <c r="F54" t="s">
        <v>2388</v>
      </c>
      <c r="G54" t="s">
        <v>2387</v>
      </c>
    </row>
    <row r="55" spans="1:7" x14ac:dyDescent="0.25">
      <c r="A55" s="16" t="str">
        <f>HYPERLINK("http://amigo.geneontology.org/amigo/term/GO:0006437","GO:0006437")</f>
        <v>GO:0006437</v>
      </c>
      <c r="B55" t="s">
        <v>1439</v>
      </c>
      <c r="C55" s="1">
        <v>2.4810000000000001E-4</v>
      </c>
      <c r="D55" s="1">
        <v>2.8190000000000002E-4</v>
      </c>
      <c r="E55">
        <v>3</v>
      </c>
      <c r="F55" t="s">
        <v>1840</v>
      </c>
      <c r="G55" t="s">
        <v>2386</v>
      </c>
    </row>
    <row r="56" spans="1:7" x14ac:dyDescent="0.25">
      <c r="A56" s="16" t="str">
        <f>HYPERLINK("http://amigo.geneontology.org/amigo/term/GO:0043686","GO:0043686")</f>
        <v>GO:0043686</v>
      </c>
      <c r="B56" t="s">
        <v>1440</v>
      </c>
      <c r="C56" s="1">
        <v>2.4810000000000001E-4</v>
      </c>
      <c r="D56" s="1">
        <v>2.8190000000000002E-4</v>
      </c>
      <c r="E56">
        <v>3</v>
      </c>
      <c r="F56" t="s">
        <v>1840</v>
      </c>
      <c r="G56" t="s">
        <v>2385</v>
      </c>
    </row>
    <row r="57" spans="1:7" x14ac:dyDescent="0.25">
      <c r="A57" s="16" t="str">
        <f>HYPERLINK("http://amigo.geneontology.org/amigo/term/GO:0065004","GO:0065004")</f>
        <v>GO:0065004</v>
      </c>
      <c r="B57" t="s">
        <v>410</v>
      </c>
      <c r="C57" s="1">
        <v>2.5169999999999999E-4</v>
      </c>
      <c r="D57" s="1">
        <v>2.8600000000000001E-4</v>
      </c>
      <c r="E57">
        <v>328</v>
      </c>
      <c r="F57" t="s">
        <v>411</v>
      </c>
      <c r="G57" t="s">
        <v>2299</v>
      </c>
    </row>
    <row r="58" spans="1:7" x14ac:dyDescent="0.25">
      <c r="A58" s="16" t="str">
        <f>HYPERLINK("http://amigo.geneontology.org/amigo/term/GO:0005983","GO:0005983")</f>
        <v>GO:0005983</v>
      </c>
      <c r="B58" t="s">
        <v>1441</v>
      </c>
      <c r="C58" s="1">
        <v>2.5579999999999998E-4</v>
      </c>
      <c r="D58" s="1">
        <v>2.9050000000000001E-4</v>
      </c>
      <c r="E58">
        <v>14</v>
      </c>
      <c r="F58" t="s">
        <v>1989</v>
      </c>
      <c r="G58" t="s">
        <v>2275</v>
      </c>
    </row>
    <row r="59" spans="1:7" x14ac:dyDescent="0.25">
      <c r="A59" s="16" t="str">
        <f>HYPERLINK("http://amigo.geneontology.org/amigo/term/GO:0042373","GO:0042373")</f>
        <v>GO:0042373</v>
      </c>
      <c r="B59" t="s">
        <v>1442</v>
      </c>
      <c r="C59" s="1">
        <v>2.5579999999999998E-4</v>
      </c>
      <c r="D59" s="1">
        <v>2.9050000000000001E-4</v>
      </c>
      <c r="E59">
        <v>14</v>
      </c>
      <c r="F59" t="s">
        <v>1989</v>
      </c>
      <c r="G59" t="s">
        <v>2369</v>
      </c>
    </row>
    <row r="60" spans="1:7" x14ac:dyDescent="0.25">
      <c r="A60" s="16" t="str">
        <f>HYPERLINK("http://amigo.geneontology.org/amigo/term/GO:0042371","GO:0042371")</f>
        <v>GO:0042371</v>
      </c>
      <c r="B60" t="s">
        <v>1443</v>
      </c>
      <c r="C60" s="1">
        <v>2.5579999999999998E-4</v>
      </c>
      <c r="D60" s="1">
        <v>2.9050000000000001E-4</v>
      </c>
      <c r="E60">
        <v>14</v>
      </c>
      <c r="F60" t="s">
        <v>1989</v>
      </c>
      <c r="G60" t="s">
        <v>2369</v>
      </c>
    </row>
    <row r="61" spans="1:7" x14ac:dyDescent="0.25">
      <c r="A61" s="16" t="str">
        <f>HYPERLINK("http://amigo.geneontology.org/amigo/term/GO:0042374","GO:0042374")</f>
        <v>GO:0042374</v>
      </c>
      <c r="B61" t="s">
        <v>1444</v>
      </c>
      <c r="C61" s="1">
        <v>2.5579999999999998E-4</v>
      </c>
      <c r="D61" s="1">
        <v>2.9050000000000001E-4</v>
      </c>
      <c r="E61">
        <v>14</v>
      </c>
      <c r="F61" t="s">
        <v>1989</v>
      </c>
      <c r="G61" t="s">
        <v>2369</v>
      </c>
    </row>
    <row r="62" spans="1:7" x14ac:dyDescent="0.25">
      <c r="A62" s="16" t="str">
        <f>HYPERLINK("http://amigo.geneontology.org/amigo/term/GO:0042372","GO:0042372")</f>
        <v>GO:0042372</v>
      </c>
      <c r="B62" t="s">
        <v>1445</v>
      </c>
      <c r="C62" s="1">
        <v>2.5579999999999998E-4</v>
      </c>
      <c r="D62" s="1">
        <v>2.9050000000000001E-4</v>
      </c>
      <c r="E62">
        <v>14</v>
      </c>
      <c r="F62" t="s">
        <v>1989</v>
      </c>
      <c r="G62" t="s">
        <v>2369</v>
      </c>
    </row>
    <row r="63" spans="1:7" x14ac:dyDescent="0.25">
      <c r="A63" s="16" t="str">
        <f>HYPERLINK("http://amigo.geneontology.org/amigo/term/GO:0006979","GO:0006979")</f>
        <v>GO:0006979</v>
      </c>
      <c r="B63" t="s">
        <v>1446</v>
      </c>
      <c r="C63" s="1">
        <v>2.6429999999999997E-4</v>
      </c>
      <c r="D63" s="1">
        <v>3.0009999999999998E-4</v>
      </c>
      <c r="E63">
        <v>892</v>
      </c>
      <c r="F63" t="s">
        <v>2384</v>
      </c>
      <c r="G63" t="s">
        <v>2383</v>
      </c>
    </row>
    <row r="64" spans="1:7" x14ac:dyDescent="0.25">
      <c r="A64" s="16" t="str">
        <f>HYPERLINK("http://amigo.geneontology.org/amigo/term/GO:0006542","GO:0006542")</f>
        <v>GO:0006542</v>
      </c>
      <c r="B64" t="s">
        <v>937</v>
      </c>
      <c r="C64" s="1">
        <v>3.1750000000000002E-4</v>
      </c>
      <c r="D64" s="1">
        <v>3.6039999999999998E-4</v>
      </c>
      <c r="E64">
        <v>15</v>
      </c>
      <c r="F64" t="s">
        <v>232</v>
      </c>
      <c r="G64" t="s">
        <v>2271</v>
      </c>
    </row>
    <row r="65" spans="1:7" x14ac:dyDescent="0.25">
      <c r="A65" s="16" t="str">
        <f>HYPERLINK("http://amigo.geneontology.org/amigo/term/GO:0071824","GO:0071824")</f>
        <v>GO:0071824</v>
      </c>
      <c r="B65" t="s">
        <v>427</v>
      </c>
      <c r="C65" s="1">
        <v>3.2459999999999998E-4</v>
      </c>
      <c r="D65" s="1">
        <v>3.6840000000000001E-4</v>
      </c>
      <c r="E65">
        <v>338</v>
      </c>
      <c r="F65" t="s">
        <v>428</v>
      </c>
      <c r="G65" t="s">
        <v>2299</v>
      </c>
    </row>
    <row r="66" spans="1:7" x14ac:dyDescent="0.25">
      <c r="A66" s="16" t="str">
        <f>HYPERLINK("http://amigo.geneontology.org/amigo/term/GO:0009657","GO:0009657")</f>
        <v>GO:0009657</v>
      </c>
      <c r="B66" t="s">
        <v>1447</v>
      </c>
      <c r="C66" s="1">
        <v>3.6630000000000001E-4</v>
      </c>
      <c r="D66" s="1">
        <v>4.1560000000000002E-4</v>
      </c>
      <c r="E66">
        <v>188</v>
      </c>
      <c r="F66" t="s">
        <v>2382</v>
      </c>
      <c r="G66" t="s">
        <v>2381</v>
      </c>
    </row>
    <row r="67" spans="1:7" x14ac:dyDescent="0.25">
      <c r="A67" s="16" t="str">
        <f>HYPERLINK("http://amigo.geneontology.org/amigo/term/GO:0006520","GO:0006520")</f>
        <v>GO:0006520</v>
      </c>
      <c r="B67" t="s">
        <v>114</v>
      </c>
      <c r="C67" s="1">
        <v>4.1800000000000002E-4</v>
      </c>
      <c r="D67" s="1">
        <v>4.7409999999999998E-4</v>
      </c>
      <c r="E67">
        <v>1067</v>
      </c>
      <c r="F67" t="s">
        <v>2380</v>
      </c>
      <c r="G67" t="s">
        <v>2379</v>
      </c>
    </row>
    <row r="68" spans="1:7" x14ac:dyDescent="0.25">
      <c r="A68" s="16" t="str">
        <f>HYPERLINK("http://amigo.geneontology.org/amigo/term/GO:0043038","GO:0043038")</f>
        <v>GO:0043038</v>
      </c>
      <c r="B68" t="s">
        <v>1448</v>
      </c>
      <c r="C68" s="1">
        <v>4.5679999999999999E-4</v>
      </c>
      <c r="D68" s="1">
        <v>5.1800000000000001E-4</v>
      </c>
      <c r="E68">
        <v>244</v>
      </c>
      <c r="F68" t="s">
        <v>2378</v>
      </c>
      <c r="G68" t="s">
        <v>2377</v>
      </c>
    </row>
    <row r="69" spans="1:7" x14ac:dyDescent="0.25">
      <c r="A69" s="16" t="str">
        <f>HYPERLINK("http://amigo.geneontology.org/amigo/term/GO:0043039","GO:0043039")</f>
        <v>GO:0043039</v>
      </c>
      <c r="B69" t="s">
        <v>1449</v>
      </c>
      <c r="C69" s="1">
        <v>4.5679999999999999E-4</v>
      </c>
      <c r="D69" s="1">
        <v>5.1800000000000001E-4</v>
      </c>
      <c r="E69">
        <v>244</v>
      </c>
      <c r="F69" t="s">
        <v>2378</v>
      </c>
      <c r="G69" t="s">
        <v>2377</v>
      </c>
    </row>
    <row r="70" spans="1:7" x14ac:dyDescent="0.25">
      <c r="A70" s="16" t="str">
        <f>HYPERLINK("http://amigo.geneontology.org/amigo/term/GO:0006325","GO:0006325")</f>
        <v>GO:0006325</v>
      </c>
      <c r="B70" t="s">
        <v>477</v>
      </c>
      <c r="C70" s="1">
        <v>4.7780000000000001E-4</v>
      </c>
      <c r="D70" s="1">
        <v>5.4180000000000005E-4</v>
      </c>
      <c r="E70">
        <v>354</v>
      </c>
      <c r="F70" t="s">
        <v>478</v>
      </c>
      <c r="G70" t="s">
        <v>2299</v>
      </c>
    </row>
    <row r="71" spans="1:7" x14ac:dyDescent="0.25">
      <c r="A71" s="16" t="str">
        <f>HYPERLINK("http://amigo.geneontology.org/amigo/term/GO:0009853","GO:0009853")</f>
        <v>GO:0009853</v>
      </c>
      <c r="B71" t="s">
        <v>1274</v>
      </c>
      <c r="C71" s="1">
        <v>4.8460000000000002E-4</v>
      </c>
      <c r="D71" s="1">
        <v>5.4940000000000002E-4</v>
      </c>
      <c r="E71">
        <v>40</v>
      </c>
      <c r="F71" t="s">
        <v>1945</v>
      </c>
      <c r="G71" t="s">
        <v>2376</v>
      </c>
    </row>
    <row r="72" spans="1:7" x14ac:dyDescent="0.25">
      <c r="A72" s="16" t="str">
        <f>HYPERLINK("http://amigo.geneontology.org/amigo/term/GO:0015994","GO:0015994")</f>
        <v>GO:0015994</v>
      </c>
      <c r="B72" t="s">
        <v>1450</v>
      </c>
      <c r="C72" s="1">
        <v>5.2800000000000004E-4</v>
      </c>
      <c r="D72" s="1">
        <v>5.9829999999999996E-4</v>
      </c>
      <c r="E72">
        <v>72</v>
      </c>
      <c r="F72" t="s">
        <v>1900</v>
      </c>
      <c r="G72" t="s">
        <v>2283</v>
      </c>
    </row>
    <row r="73" spans="1:7" x14ac:dyDescent="0.25">
      <c r="A73" s="16" t="str">
        <f>HYPERLINK("http://amigo.geneontology.org/amigo/term/GO:1901607","GO:1901607")</f>
        <v>GO:1901607</v>
      </c>
      <c r="B73" t="s">
        <v>267</v>
      </c>
      <c r="C73" s="1">
        <v>5.373E-4</v>
      </c>
      <c r="D73" s="1">
        <v>6.0880000000000005E-4</v>
      </c>
      <c r="E73">
        <v>303</v>
      </c>
      <c r="F73" t="s">
        <v>2375</v>
      </c>
      <c r="G73" t="s">
        <v>2365</v>
      </c>
    </row>
    <row r="74" spans="1:7" x14ac:dyDescent="0.25">
      <c r="A74" s="16" t="str">
        <f>HYPERLINK("http://amigo.geneontology.org/amigo/term/GO:0044281","GO:0044281")</f>
        <v>GO:0044281</v>
      </c>
      <c r="B74" t="s">
        <v>45</v>
      </c>
      <c r="C74" s="1">
        <v>5.5250000000000004E-4</v>
      </c>
      <c r="D74" s="1">
        <v>6.2580000000000003E-4</v>
      </c>
      <c r="E74">
        <v>3180</v>
      </c>
      <c r="F74" t="s">
        <v>2374</v>
      </c>
      <c r="G74" t="s">
        <v>2373</v>
      </c>
    </row>
    <row r="75" spans="1:7" x14ac:dyDescent="0.25">
      <c r="A75" s="16" t="str">
        <f>HYPERLINK("http://amigo.geneontology.org/amigo/term/GO:0006586","GO:0006586")</f>
        <v>GO:0006586</v>
      </c>
      <c r="B75" t="s">
        <v>1451</v>
      </c>
      <c r="C75" s="1">
        <v>5.6260000000000001E-4</v>
      </c>
      <c r="D75" s="1">
        <v>6.3710000000000004E-4</v>
      </c>
      <c r="E75">
        <v>73</v>
      </c>
      <c r="F75" t="s">
        <v>2372</v>
      </c>
      <c r="G75" t="s">
        <v>2232</v>
      </c>
    </row>
    <row r="76" spans="1:7" x14ac:dyDescent="0.25">
      <c r="A76" s="16" t="str">
        <f>HYPERLINK("http://amigo.geneontology.org/amigo/term/GO:0006568","GO:0006568")</f>
        <v>GO:0006568</v>
      </c>
      <c r="B76" t="s">
        <v>1452</v>
      </c>
      <c r="C76" s="1">
        <v>5.6260000000000001E-4</v>
      </c>
      <c r="D76" s="1">
        <v>6.3710000000000004E-4</v>
      </c>
      <c r="E76">
        <v>73</v>
      </c>
      <c r="F76" t="s">
        <v>2372</v>
      </c>
      <c r="G76" t="s">
        <v>2232</v>
      </c>
    </row>
    <row r="77" spans="1:7" x14ac:dyDescent="0.25">
      <c r="A77" s="16" t="str">
        <f>HYPERLINK("http://amigo.geneontology.org/amigo/term/GO:0071103","GO:0071103")</f>
        <v>GO:0071103</v>
      </c>
      <c r="B77" t="s">
        <v>228</v>
      </c>
      <c r="C77" s="1">
        <v>6.4309999999999997E-4</v>
      </c>
      <c r="D77" s="1">
        <v>7.2809999999999997E-4</v>
      </c>
      <c r="E77">
        <v>367</v>
      </c>
      <c r="F77" t="s">
        <v>2371</v>
      </c>
      <c r="G77" t="s">
        <v>2299</v>
      </c>
    </row>
    <row r="78" spans="1:7" x14ac:dyDescent="0.25">
      <c r="A78" s="16" t="str">
        <f>HYPERLINK("http://amigo.geneontology.org/amigo/term/GO:0015995","GO:0015995")</f>
        <v>GO:0015995</v>
      </c>
      <c r="B78" t="s">
        <v>1453</v>
      </c>
      <c r="C78" s="1">
        <v>7.6219999999999999E-4</v>
      </c>
      <c r="D78" s="1">
        <v>8.6269999999999999E-4</v>
      </c>
      <c r="E78">
        <v>45</v>
      </c>
      <c r="F78" t="s">
        <v>2370</v>
      </c>
      <c r="G78" t="s">
        <v>2225</v>
      </c>
    </row>
    <row r="79" spans="1:7" x14ac:dyDescent="0.25">
      <c r="A79" s="16" t="str">
        <f>HYPERLINK("http://amigo.geneontology.org/amigo/term/GO:0006775","GO:0006775")</f>
        <v>GO:0006775</v>
      </c>
      <c r="B79" t="s">
        <v>1454</v>
      </c>
      <c r="C79" s="1">
        <v>7.6900000000000004E-4</v>
      </c>
      <c r="D79" s="1">
        <v>8.7020000000000001E-4</v>
      </c>
      <c r="E79">
        <v>20</v>
      </c>
      <c r="F79" t="s">
        <v>321</v>
      </c>
      <c r="G79" t="s">
        <v>2369</v>
      </c>
    </row>
    <row r="80" spans="1:7" x14ac:dyDescent="0.25">
      <c r="A80" s="16" t="str">
        <f>HYPERLINK("http://amigo.geneontology.org/amigo/term/GO:0042362","GO:0042362")</f>
        <v>GO:0042362</v>
      </c>
      <c r="B80" t="s">
        <v>1455</v>
      </c>
      <c r="C80" s="1">
        <v>7.6900000000000004E-4</v>
      </c>
      <c r="D80" s="1">
        <v>8.7020000000000001E-4</v>
      </c>
      <c r="E80">
        <v>20</v>
      </c>
      <c r="F80" t="s">
        <v>321</v>
      </c>
      <c r="G80" t="s">
        <v>2369</v>
      </c>
    </row>
    <row r="81" spans="1:7" x14ac:dyDescent="0.25">
      <c r="A81" s="16" t="str">
        <f>HYPERLINK("http://amigo.geneontology.org/amigo/term/GO:0071692","GO:0071692")</f>
        <v>GO:0071692</v>
      </c>
      <c r="B81" t="s">
        <v>1456</v>
      </c>
      <c r="C81" s="1">
        <v>7.6900000000000004E-4</v>
      </c>
      <c r="D81" s="1">
        <v>8.7020000000000001E-4</v>
      </c>
      <c r="E81">
        <v>20</v>
      </c>
      <c r="F81" t="s">
        <v>321</v>
      </c>
      <c r="G81" t="s">
        <v>2368</v>
      </c>
    </row>
    <row r="82" spans="1:7" x14ac:dyDescent="0.25">
      <c r="A82" s="16" t="str">
        <f>HYPERLINK("http://amigo.geneontology.org/amigo/term/GO:0035592","GO:0035592")</f>
        <v>GO:0035592</v>
      </c>
      <c r="B82" t="s">
        <v>1457</v>
      </c>
      <c r="C82" s="1">
        <v>7.6900000000000004E-4</v>
      </c>
      <c r="D82" s="1">
        <v>8.7020000000000001E-4</v>
      </c>
      <c r="E82">
        <v>20</v>
      </c>
      <c r="F82" t="s">
        <v>321</v>
      </c>
      <c r="G82" t="s">
        <v>2368</v>
      </c>
    </row>
    <row r="83" spans="1:7" x14ac:dyDescent="0.25">
      <c r="A83" s="16" t="str">
        <f>HYPERLINK("http://amigo.geneontology.org/amigo/term/GO:0009306","GO:0009306")</f>
        <v>GO:0009306</v>
      </c>
      <c r="B83" t="s">
        <v>1458</v>
      </c>
      <c r="C83" s="1">
        <v>7.6900000000000004E-4</v>
      </c>
      <c r="D83" s="1">
        <v>8.7020000000000001E-4</v>
      </c>
      <c r="E83">
        <v>20</v>
      </c>
      <c r="F83" t="s">
        <v>321</v>
      </c>
      <c r="G83" t="s">
        <v>2368</v>
      </c>
    </row>
    <row r="84" spans="1:7" x14ac:dyDescent="0.25">
      <c r="A84" s="16" t="str">
        <f>HYPERLINK("http://amigo.geneontology.org/amigo/term/GO:1901661","GO:1901661")</f>
        <v>GO:1901661</v>
      </c>
      <c r="B84" t="s">
        <v>1459</v>
      </c>
      <c r="C84" s="1">
        <v>8.2879999999999998E-4</v>
      </c>
      <c r="D84" s="1">
        <v>9.3760000000000002E-4</v>
      </c>
      <c r="E84">
        <v>46</v>
      </c>
      <c r="F84" t="s">
        <v>2367</v>
      </c>
      <c r="G84" t="s">
        <v>2341</v>
      </c>
    </row>
    <row r="85" spans="1:7" x14ac:dyDescent="0.25">
      <c r="A85" s="16" t="str">
        <f>HYPERLINK("http://amigo.geneontology.org/amigo/term/GO:0042181","GO:0042181")</f>
        <v>GO:0042181</v>
      </c>
      <c r="B85" t="s">
        <v>1460</v>
      </c>
      <c r="C85" s="1">
        <v>8.2879999999999998E-4</v>
      </c>
      <c r="D85" s="1">
        <v>9.3760000000000002E-4</v>
      </c>
      <c r="E85">
        <v>46</v>
      </c>
      <c r="F85" t="s">
        <v>2367</v>
      </c>
      <c r="G85" t="s">
        <v>2341</v>
      </c>
    </row>
    <row r="86" spans="1:7" x14ac:dyDescent="0.25">
      <c r="A86" s="16" t="str">
        <f>HYPERLINK("http://amigo.geneontology.org/amigo/term/GO:1901663","GO:1901663")</f>
        <v>GO:1901663</v>
      </c>
      <c r="B86" t="s">
        <v>1461</v>
      </c>
      <c r="C86" s="1">
        <v>8.2879999999999998E-4</v>
      </c>
      <c r="D86" s="1">
        <v>9.3760000000000002E-4</v>
      </c>
      <c r="E86">
        <v>46</v>
      </c>
      <c r="F86" t="s">
        <v>2367</v>
      </c>
      <c r="G86" t="s">
        <v>2341</v>
      </c>
    </row>
    <row r="87" spans="1:7" x14ac:dyDescent="0.25">
      <c r="A87" s="16" t="str">
        <f>HYPERLINK("http://amigo.geneontology.org/amigo/term/GO:0042430","GO:0042430")</f>
        <v>GO:0042430</v>
      </c>
      <c r="B87" t="s">
        <v>925</v>
      </c>
      <c r="C87" s="1">
        <v>1.1839999999999999E-3</v>
      </c>
      <c r="D87" s="1">
        <v>1.3389999999999999E-3</v>
      </c>
      <c r="E87">
        <v>86</v>
      </c>
      <c r="F87" t="s">
        <v>405</v>
      </c>
      <c r="G87" t="s">
        <v>2232</v>
      </c>
    </row>
    <row r="88" spans="1:7" x14ac:dyDescent="0.25">
      <c r="A88" s="16" t="str">
        <f>HYPERLINK("http://amigo.geneontology.org/amigo/term/GO:0008652","GO:0008652")</f>
        <v>GO:0008652</v>
      </c>
      <c r="B88" t="s">
        <v>350</v>
      </c>
      <c r="C88" s="1">
        <v>1.2290000000000001E-3</v>
      </c>
      <c r="D88" s="1">
        <v>1.39E-3</v>
      </c>
      <c r="E88">
        <v>338</v>
      </c>
      <c r="F88" t="s">
        <v>2366</v>
      </c>
      <c r="G88" t="s">
        <v>2365</v>
      </c>
    </row>
    <row r="89" spans="1:7" x14ac:dyDescent="0.25">
      <c r="A89" s="16" t="str">
        <f>HYPERLINK("http://amigo.geneontology.org/amigo/term/GO:0009637","GO:0009637")</f>
        <v>GO:0009637</v>
      </c>
      <c r="B89" t="s">
        <v>1462</v>
      </c>
      <c r="C89" s="1">
        <v>1.317E-3</v>
      </c>
      <c r="D89" s="1">
        <v>1.4890000000000001E-3</v>
      </c>
      <c r="E89">
        <v>52</v>
      </c>
      <c r="F89" t="s">
        <v>2364</v>
      </c>
      <c r="G89" t="s">
        <v>2363</v>
      </c>
    </row>
    <row r="90" spans="1:7" x14ac:dyDescent="0.25">
      <c r="A90" s="16" t="str">
        <f>HYPERLINK("http://amigo.geneontology.org/amigo/term/GO:0044283","GO:0044283")</f>
        <v>GO:0044283</v>
      </c>
      <c r="B90" t="s">
        <v>90</v>
      </c>
      <c r="C90" s="1">
        <v>1.464E-3</v>
      </c>
      <c r="D90" s="1">
        <v>1.655E-3</v>
      </c>
      <c r="E90">
        <v>1101</v>
      </c>
      <c r="F90" t="s">
        <v>2362</v>
      </c>
      <c r="G90" t="s">
        <v>2361</v>
      </c>
    </row>
    <row r="91" spans="1:7" x14ac:dyDescent="0.25">
      <c r="A91" s="16" t="str">
        <f>HYPERLINK("http://amigo.geneontology.org/amigo/term/GO:0009768","GO:0009768")</f>
        <v>GO:0009768</v>
      </c>
      <c r="B91" t="s">
        <v>1463</v>
      </c>
      <c r="C91" s="1">
        <v>1.684E-3</v>
      </c>
      <c r="D91" s="1">
        <v>1.903E-3</v>
      </c>
      <c r="E91">
        <v>26</v>
      </c>
      <c r="F91" t="s">
        <v>1893</v>
      </c>
      <c r="G91" t="s">
        <v>2360</v>
      </c>
    </row>
    <row r="92" spans="1:7" x14ac:dyDescent="0.25">
      <c r="A92" s="16" t="str">
        <f>HYPERLINK("http://amigo.geneontology.org/amigo/term/GO:0010206","GO:0010206")</f>
        <v>GO:0010206</v>
      </c>
      <c r="B92" t="s">
        <v>1464</v>
      </c>
      <c r="C92" s="1">
        <v>1.6949999999999999E-3</v>
      </c>
      <c r="D92" s="1">
        <v>1.915E-3</v>
      </c>
      <c r="E92">
        <v>7</v>
      </c>
      <c r="F92" t="s">
        <v>1829</v>
      </c>
      <c r="G92" t="s">
        <v>2324</v>
      </c>
    </row>
    <row r="93" spans="1:7" x14ac:dyDescent="0.25">
      <c r="A93" s="16" t="str">
        <f>HYPERLINK("http://amigo.geneontology.org/amigo/term/GO:0006399","GO:0006399")</f>
        <v>GO:0006399</v>
      </c>
      <c r="B93" t="s">
        <v>1465</v>
      </c>
      <c r="C93" s="1">
        <v>1.9859999999999999E-3</v>
      </c>
      <c r="D93" s="1">
        <v>2.2430000000000002E-3</v>
      </c>
      <c r="E93">
        <v>487</v>
      </c>
      <c r="F93" t="s">
        <v>2359</v>
      </c>
      <c r="G93" t="s">
        <v>2358</v>
      </c>
    </row>
    <row r="94" spans="1:7" x14ac:dyDescent="0.25">
      <c r="A94" s="16" t="str">
        <f>HYPERLINK("http://amigo.geneontology.org/amigo/term/GO:0006778","GO:0006778")</f>
        <v>GO:0006778</v>
      </c>
      <c r="B94" t="s">
        <v>1466</v>
      </c>
      <c r="C94" s="1">
        <v>2.1059999999999998E-3</v>
      </c>
      <c r="D94" s="1">
        <v>2.3779999999999999E-3</v>
      </c>
      <c r="E94">
        <v>143</v>
      </c>
      <c r="F94" t="s">
        <v>2357</v>
      </c>
      <c r="G94" t="s">
        <v>2344</v>
      </c>
    </row>
    <row r="95" spans="1:7" x14ac:dyDescent="0.25">
      <c r="A95" s="16" t="str">
        <f>HYPERLINK("http://amigo.geneontology.org/amigo/term/GO:0009266","GO:0009266")</f>
        <v>GO:0009266</v>
      </c>
      <c r="B95" t="s">
        <v>1029</v>
      </c>
      <c r="C95" s="1">
        <v>2.5119999999999999E-3</v>
      </c>
      <c r="D95" s="1">
        <v>2.836E-3</v>
      </c>
      <c r="E95">
        <v>312</v>
      </c>
      <c r="F95" t="s">
        <v>2356</v>
      </c>
      <c r="G95" t="s">
        <v>2355</v>
      </c>
    </row>
    <row r="96" spans="1:7" x14ac:dyDescent="0.25">
      <c r="A96" s="16" t="str">
        <f>HYPERLINK("http://amigo.geneontology.org/amigo/term/GO:0006779","GO:0006779")</f>
        <v>GO:0006779</v>
      </c>
      <c r="B96" t="s">
        <v>1467</v>
      </c>
      <c r="C96" s="1">
        <v>2.6229999999999999E-3</v>
      </c>
      <c r="D96" s="1">
        <v>2.96E-3</v>
      </c>
      <c r="E96">
        <v>103</v>
      </c>
      <c r="F96" t="s">
        <v>2354</v>
      </c>
      <c r="G96" t="s">
        <v>2337</v>
      </c>
    </row>
    <row r="97" spans="1:7" x14ac:dyDescent="0.25">
      <c r="A97" s="16" t="str">
        <f>HYPERLINK("http://amigo.geneontology.org/amigo/term/GO:1901605","GO:1901605")</f>
        <v>GO:1901605</v>
      </c>
      <c r="B97" t="s">
        <v>81</v>
      </c>
      <c r="C97" s="1">
        <v>2.7729999999999999E-3</v>
      </c>
      <c r="D97" s="1">
        <v>3.1289999999999998E-3</v>
      </c>
      <c r="E97">
        <v>575</v>
      </c>
      <c r="F97" t="s">
        <v>2353</v>
      </c>
      <c r="G97" t="s">
        <v>2352</v>
      </c>
    </row>
    <row r="98" spans="1:7" x14ac:dyDescent="0.25">
      <c r="A98" s="16" t="str">
        <f>HYPERLINK("http://amigo.geneontology.org/amigo/term/GO:0009110","GO:0009110")</f>
        <v>GO:0009110</v>
      </c>
      <c r="B98" t="s">
        <v>1468</v>
      </c>
      <c r="C98" s="1">
        <v>3.045E-3</v>
      </c>
      <c r="D98" s="1">
        <v>3.4350000000000001E-3</v>
      </c>
      <c r="E98">
        <v>154</v>
      </c>
      <c r="F98" t="s">
        <v>582</v>
      </c>
      <c r="G98" t="s">
        <v>2346</v>
      </c>
    </row>
    <row r="99" spans="1:7" x14ac:dyDescent="0.25">
      <c r="A99" s="16" t="str">
        <f>HYPERLINK("http://amigo.geneontology.org/amigo/term/GO:0032890","GO:0032890")</f>
        <v>GO:0032890</v>
      </c>
      <c r="B99" t="s">
        <v>1469</v>
      </c>
      <c r="C99" s="1">
        <v>3.0850000000000001E-3</v>
      </c>
      <c r="D99" s="1">
        <v>3.4789999999999999E-3</v>
      </c>
      <c r="E99">
        <v>32</v>
      </c>
      <c r="F99" t="s">
        <v>2351</v>
      </c>
      <c r="G99" t="s">
        <v>2227</v>
      </c>
    </row>
    <row r="100" spans="1:7" x14ac:dyDescent="0.25">
      <c r="A100" s="16" t="str">
        <f>HYPERLINK("http://amigo.geneontology.org/amigo/term/GO:0051952","GO:0051952")</f>
        <v>GO:0051952</v>
      </c>
      <c r="B100" t="s">
        <v>1470</v>
      </c>
      <c r="C100" s="1">
        <v>3.0850000000000001E-3</v>
      </c>
      <c r="D100" s="1">
        <v>3.4789999999999999E-3</v>
      </c>
      <c r="E100">
        <v>32</v>
      </c>
      <c r="F100" t="s">
        <v>2351</v>
      </c>
      <c r="G100" t="s">
        <v>2227</v>
      </c>
    </row>
    <row r="101" spans="1:7" x14ac:dyDescent="0.25">
      <c r="A101" s="16" t="str">
        <f>HYPERLINK("http://amigo.geneontology.org/amigo/term/GO:0051955","GO:0051955")</f>
        <v>GO:0051955</v>
      </c>
      <c r="B101" t="s">
        <v>1471</v>
      </c>
      <c r="C101" s="1">
        <v>3.0850000000000001E-3</v>
      </c>
      <c r="D101" s="1">
        <v>3.4789999999999999E-3</v>
      </c>
      <c r="E101">
        <v>32</v>
      </c>
      <c r="F101" t="s">
        <v>2351</v>
      </c>
      <c r="G101" t="s">
        <v>2227</v>
      </c>
    </row>
    <row r="102" spans="1:7" x14ac:dyDescent="0.25">
      <c r="A102" s="16" t="str">
        <f>HYPERLINK("http://amigo.geneontology.org/amigo/term/GO:1903789","GO:1903789")</f>
        <v>GO:1903789</v>
      </c>
      <c r="B102" t="s">
        <v>1472</v>
      </c>
      <c r="C102" s="1">
        <v>3.0850000000000001E-3</v>
      </c>
      <c r="D102" s="1">
        <v>3.4789999999999999E-3</v>
      </c>
      <c r="E102">
        <v>32</v>
      </c>
      <c r="F102" t="s">
        <v>2351</v>
      </c>
      <c r="G102" t="s">
        <v>2227</v>
      </c>
    </row>
    <row r="103" spans="1:7" x14ac:dyDescent="0.25">
      <c r="A103" s="16" t="str">
        <f>HYPERLINK("http://amigo.geneontology.org/amigo/term/GO:0080143","GO:0080143")</f>
        <v>GO:0080143</v>
      </c>
      <c r="B103" t="s">
        <v>1473</v>
      </c>
      <c r="C103" s="1">
        <v>3.0850000000000001E-3</v>
      </c>
      <c r="D103" s="1">
        <v>3.4789999999999999E-3</v>
      </c>
      <c r="E103">
        <v>32</v>
      </c>
      <c r="F103" t="s">
        <v>2351</v>
      </c>
      <c r="G103" t="s">
        <v>2227</v>
      </c>
    </row>
    <row r="104" spans="1:7" x14ac:dyDescent="0.25">
      <c r="A104" s="16" t="str">
        <f>HYPERLINK("http://amigo.geneontology.org/amigo/term/GO:0043094","GO:0043094")</f>
        <v>GO:0043094</v>
      </c>
      <c r="B104" t="s">
        <v>1474</v>
      </c>
      <c r="C104" s="1">
        <v>3.2179999999999999E-3</v>
      </c>
      <c r="D104" s="1">
        <v>3.6289999999999998E-3</v>
      </c>
      <c r="E104">
        <v>108</v>
      </c>
      <c r="F104" t="s">
        <v>2350</v>
      </c>
      <c r="G104" t="s">
        <v>2349</v>
      </c>
    </row>
    <row r="105" spans="1:7" x14ac:dyDescent="0.25">
      <c r="A105" s="16" t="str">
        <f>HYPERLINK("http://amigo.geneontology.org/amigo/term/GO:0019752","GO:0019752")</f>
        <v>GO:0019752</v>
      </c>
      <c r="B105" t="s">
        <v>106</v>
      </c>
      <c r="C105" s="1">
        <v>3.447E-3</v>
      </c>
      <c r="D105" s="1">
        <v>3.885E-3</v>
      </c>
      <c r="E105">
        <v>1916</v>
      </c>
      <c r="F105" t="s">
        <v>2348</v>
      </c>
      <c r="G105" t="s">
        <v>2339</v>
      </c>
    </row>
    <row r="106" spans="1:7" x14ac:dyDescent="0.25">
      <c r="A106" s="16" t="str">
        <f>HYPERLINK("http://amigo.geneontology.org/amigo/term/GO:0070681","GO:0070681")</f>
        <v>GO:0070681</v>
      </c>
      <c r="B106" t="s">
        <v>1475</v>
      </c>
      <c r="C106" s="1">
        <v>3.5669999999999999E-3</v>
      </c>
      <c r="D106" s="1">
        <v>4.0200000000000001E-3</v>
      </c>
      <c r="E106">
        <v>10</v>
      </c>
      <c r="F106" t="s">
        <v>408</v>
      </c>
      <c r="G106" t="s">
        <v>2269</v>
      </c>
    </row>
    <row r="107" spans="1:7" x14ac:dyDescent="0.25">
      <c r="A107" s="16" t="str">
        <f>HYPERLINK("http://amigo.geneontology.org/amigo/term/GO:0006423","GO:0006423")</f>
        <v>GO:0006423</v>
      </c>
      <c r="B107" t="s">
        <v>1476</v>
      </c>
      <c r="C107" s="1">
        <v>3.5669999999999999E-3</v>
      </c>
      <c r="D107" s="1">
        <v>4.0200000000000001E-3</v>
      </c>
      <c r="E107">
        <v>10</v>
      </c>
      <c r="F107" t="s">
        <v>408</v>
      </c>
      <c r="G107" t="s">
        <v>2347</v>
      </c>
    </row>
    <row r="108" spans="1:7" x14ac:dyDescent="0.25">
      <c r="A108" s="16" t="str">
        <f>HYPERLINK("http://amigo.geneontology.org/amigo/term/GO:0006766","GO:0006766")</f>
        <v>GO:0006766</v>
      </c>
      <c r="B108" t="s">
        <v>1477</v>
      </c>
      <c r="C108" s="1">
        <v>3.673E-3</v>
      </c>
      <c r="D108" s="1">
        <v>4.1380000000000002E-3</v>
      </c>
      <c r="E108">
        <v>160</v>
      </c>
      <c r="F108" t="s">
        <v>2345</v>
      </c>
      <c r="G108" t="s">
        <v>2346</v>
      </c>
    </row>
    <row r="109" spans="1:7" x14ac:dyDescent="0.25">
      <c r="A109" s="16" t="str">
        <f>HYPERLINK("http://amigo.geneontology.org/amigo/term/GO:0033013","GO:0033013")</f>
        <v>GO:0033013</v>
      </c>
      <c r="B109" t="s">
        <v>1478</v>
      </c>
      <c r="C109" s="1">
        <v>3.673E-3</v>
      </c>
      <c r="D109" s="1">
        <v>4.1380000000000002E-3</v>
      </c>
      <c r="E109">
        <v>160</v>
      </c>
      <c r="F109" t="s">
        <v>2345</v>
      </c>
      <c r="G109" t="s">
        <v>2344</v>
      </c>
    </row>
    <row r="110" spans="1:7" x14ac:dyDescent="0.25">
      <c r="A110" s="16" t="str">
        <f>HYPERLINK("http://amigo.geneontology.org/amigo/term/GO:0046394","GO:0046394")</f>
        <v>GO:0046394</v>
      </c>
      <c r="B110" t="s">
        <v>219</v>
      </c>
      <c r="C110" s="1">
        <v>3.7559999999999998E-3</v>
      </c>
      <c r="D110" s="1">
        <v>4.2310000000000004E-3</v>
      </c>
      <c r="E110">
        <v>812</v>
      </c>
      <c r="F110" t="s">
        <v>2343</v>
      </c>
      <c r="G110" t="s">
        <v>2326</v>
      </c>
    </row>
    <row r="111" spans="1:7" x14ac:dyDescent="0.25">
      <c r="A111" s="16" t="str">
        <f>HYPERLINK("http://amigo.geneontology.org/amigo/term/GO:0043436","GO:0043436")</f>
        <v>GO:0043436</v>
      </c>
      <c r="B111" t="s">
        <v>109</v>
      </c>
      <c r="C111" s="1">
        <v>3.9300000000000003E-3</v>
      </c>
      <c r="D111" s="1">
        <v>4.4260000000000002E-3</v>
      </c>
      <c r="E111">
        <v>1934</v>
      </c>
      <c r="F111" t="s">
        <v>2342</v>
      </c>
      <c r="G111" t="s">
        <v>2339</v>
      </c>
    </row>
    <row r="112" spans="1:7" x14ac:dyDescent="0.25">
      <c r="A112" s="16" t="str">
        <f>HYPERLINK("http://amigo.geneontology.org/amigo/term/GO:0046656","GO:0046656")</f>
        <v>GO:0046656</v>
      </c>
      <c r="B112" t="s">
        <v>1479</v>
      </c>
      <c r="C112" s="1">
        <v>4.333E-3</v>
      </c>
      <c r="D112" s="1">
        <v>4.8789999999999997E-3</v>
      </c>
      <c r="E112">
        <v>11</v>
      </c>
      <c r="F112" t="s">
        <v>1898</v>
      </c>
      <c r="G112" t="s">
        <v>2252</v>
      </c>
    </row>
    <row r="113" spans="1:7" x14ac:dyDescent="0.25">
      <c r="A113" s="16" t="str">
        <f>HYPERLINK("http://amigo.geneontology.org/amigo/term/GO:0042180","GO:0042180")</f>
        <v>GO:0042180</v>
      </c>
      <c r="B113" t="s">
        <v>1480</v>
      </c>
      <c r="C113" s="1">
        <v>5.0150000000000004E-3</v>
      </c>
      <c r="D113" s="1">
        <v>5.646E-3</v>
      </c>
      <c r="E113">
        <v>75</v>
      </c>
      <c r="F113" t="s">
        <v>463</v>
      </c>
      <c r="G113" t="s">
        <v>2341</v>
      </c>
    </row>
    <row r="114" spans="1:7" x14ac:dyDescent="0.25">
      <c r="A114" s="16" t="str">
        <f>HYPERLINK("http://amigo.geneontology.org/amigo/term/GO:0006082","GO:0006082")</f>
        <v>GO:0006082</v>
      </c>
      <c r="B114" t="s">
        <v>93</v>
      </c>
      <c r="C114" s="1">
        <v>5.2469999999999999E-3</v>
      </c>
      <c r="D114" s="1">
        <v>5.9049999999999997E-3</v>
      </c>
      <c r="E114">
        <v>1975</v>
      </c>
      <c r="F114" t="s">
        <v>2340</v>
      </c>
      <c r="G114" t="s">
        <v>2339</v>
      </c>
    </row>
    <row r="115" spans="1:7" x14ac:dyDescent="0.25">
      <c r="A115" s="16" t="str">
        <f>HYPERLINK("http://amigo.geneontology.org/amigo/term/GO:0033014","GO:0033014")</f>
        <v>GO:0033014</v>
      </c>
      <c r="B115" t="s">
        <v>1481</v>
      </c>
      <c r="C115" s="1">
        <v>5.5830000000000003E-3</v>
      </c>
      <c r="D115" s="1">
        <v>6.2820000000000003E-3</v>
      </c>
      <c r="E115">
        <v>123</v>
      </c>
      <c r="F115" t="s">
        <v>2338</v>
      </c>
      <c r="G115" t="s">
        <v>2337</v>
      </c>
    </row>
    <row r="116" spans="1:7" x14ac:dyDescent="0.25">
      <c r="A116" s="16" t="str">
        <f>HYPERLINK("http://amigo.geneontology.org/amigo/term/GO:0006950","GO:0006950")</f>
        <v>GO:0006950</v>
      </c>
      <c r="B116" t="s">
        <v>419</v>
      </c>
      <c r="C116" s="1">
        <v>5.8300000000000001E-3</v>
      </c>
      <c r="D116" s="1">
        <v>6.5579999999999996E-3</v>
      </c>
      <c r="E116">
        <v>3133</v>
      </c>
      <c r="F116" t="s">
        <v>2336</v>
      </c>
      <c r="G116" t="s">
        <v>2335</v>
      </c>
    </row>
    <row r="117" spans="1:7" x14ac:dyDescent="0.25">
      <c r="A117" s="16" t="str">
        <f>HYPERLINK("http://amigo.geneontology.org/amigo/term/GO:0006418","GO:0006418")</f>
        <v>GO:0006418</v>
      </c>
      <c r="B117" t="s">
        <v>1482</v>
      </c>
      <c r="C117" s="1">
        <v>5.9080000000000001E-3</v>
      </c>
      <c r="D117" s="1">
        <v>6.6439999999999997E-3</v>
      </c>
      <c r="E117">
        <v>233</v>
      </c>
      <c r="F117" t="s">
        <v>2334</v>
      </c>
      <c r="G117" t="s">
        <v>2333</v>
      </c>
    </row>
    <row r="118" spans="1:7" x14ac:dyDescent="0.25">
      <c r="A118" s="16" t="str">
        <f>HYPERLINK("http://amigo.geneontology.org/amigo/term/GO:0009735","GO:0009735")</f>
        <v>GO:0009735</v>
      </c>
      <c r="B118" t="s">
        <v>1483</v>
      </c>
      <c r="C118" s="1">
        <v>6.0260000000000001E-3</v>
      </c>
      <c r="D118" s="1">
        <v>6.7749999999999998E-3</v>
      </c>
      <c r="E118">
        <v>79</v>
      </c>
      <c r="F118" t="s">
        <v>2332</v>
      </c>
      <c r="G118" t="s">
        <v>2331</v>
      </c>
    </row>
    <row r="119" spans="1:7" x14ac:dyDescent="0.25">
      <c r="A119" s="16" t="str">
        <f>HYPERLINK("http://amigo.geneontology.org/amigo/term/GO:0006656","GO:0006656")</f>
        <v>GO:0006656</v>
      </c>
      <c r="B119" t="s">
        <v>205</v>
      </c>
      <c r="C119" s="1">
        <v>6.0720000000000001E-3</v>
      </c>
      <c r="D119" s="1">
        <v>6.8250000000000003E-3</v>
      </c>
      <c r="E119">
        <v>13</v>
      </c>
      <c r="F119" t="s">
        <v>1813</v>
      </c>
      <c r="G119" t="s">
        <v>2330</v>
      </c>
    </row>
    <row r="120" spans="1:7" x14ac:dyDescent="0.25">
      <c r="A120" s="16" t="str">
        <f>HYPERLINK("http://amigo.geneontology.org/amigo/term/GO:0010431","GO:0010431")</f>
        <v>GO:0010431</v>
      </c>
      <c r="B120" t="s">
        <v>1484</v>
      </c>
      <c r="C120" s="1">
        <v>6.0720000000000001E-3</v>
      </c>
      <c r="D120" s="1">
        <v>6.8250000000000003E-3</v>
      </c>
      <c r="E120">
        <v>13</v>
      </c>
      <c r="F120" t="s">
        <v>1813</v>
      </c>
      <c r="G120" t="s">
        <v>2224</v>
      </c>
    </row>
    <row r="121" spans="1:7" x14ac:dyDescent="0.25">
      <c r="A121" s="16" t="str">
        <f>HYPERLINK("http://amigo.geneontology.org/amigo/term/GO:0010038","GO:0010038")</f>
        <v>GO:0010038</v>
      </c>
      <c r="B121" t="s">
        <v>1485</v>
      </c>
      <c r="C121" s="1">
        <v>6.5890000000000002E-3</v>
      </c>
      <c r="D121" s="1">
        <v>7.4050000000000001E-3</v>
      </c>
      <c r="E121">
        <v>128</v>
      </c>
      <c r="F121" t="s">
        <v>645</v>
      </c>
      <c r="G121" t="s">
        <v>2329</v>
      </c>
    </row>
    <row r="122" spans="1:7" x14ac:dyDescent="0.25">
      <c r="A122" s="16" t="str">
        <f>HYPERLINK("http://amigo.geneontology.org/amigo/term/GO:0046654","GO:0046654")</f>
        <v>GO:0046654</v>
      </c>
      <c r="B122" t="s">
        <v>1486</v>
      </c>
      <c r="C122" s="1">
        <v>7.0410000000000004E-3</v>
      </c>
      <c r="D122" s="1">
        <v>7.9109999999999996E-3</v>
      </c>
      <c r="E122">
        <v>14</v>
      </c>
      <c r="F122" t="s">
        <v>2328</v>
      </c>
      <c r="G122" t="s">
        <v>2252</v>
      </c>
    </row>
    <row r="123" spans="1:7" x14ac:dyDescent="0.25">
      <c r="A123" s="16" t="str">
        <f>HYPERLINK("http://amigo.geneontology.org/amigo/term/GO:0016053","GO:0016053")</f>
        <v>GO:0016053</v>
      </c>
      <c r="B123" t="s">
        <v>188</v>
      </c>
      <c r="C123" s="1">
        <v>7.2570000000000004E-3</v>
      </c>
      <c r="D123" s="1">
        <v>8.1519999999999995E-3</v>
      </c>
      <c r="E123">
        <v>872</v>
      </c>
      <c r="F123" t="s">
        <v>2327</v>
      </c>
      <c r="G123" t="s">
        <v>2326</v>
      </c>
    </row>
    <row r="124" spans="1:7" x14ac:dyDescent="0.25">
      <c r="A124" s="16" t="str">
        <f>HYPERLINK("http://amigo.geneontology.org/amigo/term/GO:0006535","GO:0006535")</f>
        <v>GO:0006535</v>
      </c>
      <c r="B124" t="s">
        <v>1487</v>
      </c>
      <c r="C124" s="1">
        <v>7.5979999999999997E-3</v>
      </c>
      <c r="D124" s="1">
        <v>8.5319999999999997E-3</v>
      </c>
      <c r="E124">
        <v>44</v>
      </c>
      <c r="F124" t="s">
        <v>2325</v>
      </c>
      <c r="G124" t="s">
        <v>2231</v>
      </c>
    </row>
    <row r="125" spans="1:7" x14ac:dyDescent="0.25">
      <c r="A125" s="16" t="str">
        <f>HYPERLINK("http://amigo.geneontology.org/amigo/term/GO:0010218","GO:0010218")</f>
        <v>GO:0010218</v>
      </c>
      <c r="B125" t="s">
        <v>1060</v>
      </c>
      <c r="C125" s="1">
        <v>8.0750000000000006E-3</v>
      </c>
      <c r="D125" s="1">
        <v>9.0670000000000004E-3</v>
      </c>
      <c r="E125">
        <v>15</v>
      </c>
      <c r="F125" t="s">
        <v>1802</v>
      </c>
      <c r="G125" t="s">
        <v>2320</v>
      </c>
    </row>
    <row r="126" spans="1:7" x14ac:dyDescent="0.25">
      <c r="A126" s="16" t="str">
        <f>HYPERLINK("http://amigo.geneontology.org/amigo/term/GO:0030091","GO:0030091")</f>
        <v>GO:0030091</v>
      </c>
      <c r="B126" t="s">
        <v>1488</v>
      </c>
      <c r="C126" s="1">
        <v>8.0750000000000006E-3</v>
      </c>
      <c r="D126" s="1">
        <v>9.0670000000000004E-3</v>
      </c>
      <c r="E126">
        <v>15</v>
      </c>
      <c r="F126" t="s">
        <v>1802</v>
      </c>
      <c r="G126" t="s">
        <v>2324</v>
      </c>
    </row>
    <row r="127" spans="1:7" x14ac:dyDescent="0.25">
      <c r="A127" s="16" t="str">
        <f>HYPERLINK("http://amigo.geneontology.org/amigo/term/GO:0046686","GO:0046686")</f>
        <v>GO:0046686</v>
      </c>
      <c r="B127" t="s">
        <v>1489</v>
      </c>
      <c r="C127" s="1">
        <v>8.4329999999999995E-3</v>
      </c>
      <c r="D127" s="1">
        <v>9.4669999999999997E-3</v>
      </c>
      <c r="E127">
        <v>87</v>
      </c>
      <c r="F127" t="s">
        <v>647</v>
      </c>
      <c r="G127" t="s">
        <v>2323</v>
      </c>
    </row>
    <row r="128" spans="1:7" x14ac:dyDescent="0.25">
      <c r="A128" s="16" t="str">
        <f>HYPERLINK("http://amigo.geneontology.org/amigo/term/GO:0007623","GO:0007623")</f>
        <v>GO:0007623</v>
      </c>
      <c r="B128" t="s">
        <v>1490</v>
      </c>
      <c r="C128" s="1">
        <v>8.5920000000000007E-3</v>
      </c>
      <c r="D128" s="1">
        <v>9.6430000000000005E-3</v>
      </c>
      <c r="E128">
        <v>46</v>
      </c>
      <c r="F128" t="s">
        <v>567</v>
      </c>
      <c r="G128" t="s">
        <v>2322</v>
      </c>
    </row>
    <row r="129" spans="1:7" x14ac:dyDescent="0.25">
      <c r="A129" s="16" t="str">
        <f>HYPERLINK("http://amigo.geneontology.org/amigo/term/GO:0042407","GO:0042407")</f>
        <v>GO:0042407</v>
      </c>
      <c r="B129" t="s">
        <v>1491</v>
      </c>
      <c r="C129" s="1">
        <v>9.129E-3</v>
      </c>
      <c r="D129">
        <v>0.01</v>
      </c>
      <c r="E129">
        <v>1</v>
      </c>
      <c r="F129" t="s">
        <v>433</v>
      </c>
      <c r="G129" t="s">
        <v>2321</v>
      </c>
    </row>
    <row r="130" spans="1:7" x14ac:dyDescent="0.25">
      <c r="A130" s="16" t="str">
        <f>HYPERLINK("http://amigo.geneontology.org/amigo/term/GO:0046655","GO:0046655")</f>
        <v>GO:0046655</v>
      </c>
      <c r="B130" t="s">
        <v>489</v>
      </c>
      <c r="C130" s="1">
        <v>9.1739999999999999E-3</v>
      </c>
      <c r="D130">
        <v>0.01</v>
      </c>
      <c r="E130">
        <v>16</v>
      </c>
      <c r="F130" t="s">
        <v>461</v>
      </c>
      <c r="G130" t="s">
        <v>2252</v>
      </c>
    </row>
    <row r="131" spans="1:7" x14ac:dyDescent="0.25">
      <c r="A131" s="16" t="str">
        <f>HYPERLINK("http://amigo.geneontology.org/amigo/term/GO:0010114","GO:0010114")</f>
        <v>GO:0010114</v>
      </c>
      <c r="B131" t="s">
        <v>1059</v>
      </c>
      <c r="C131" s="1">
        <v>9.1739999999999999E-3</v>
      </c>
      <c r="D131">
        <v>0.01</v>
      </c>
      <c r="E131">
        <v>16</v>
      </c>
      <c r="F131" t="s">
        <v>461</v>
      </c>
      <c r="G131" t="s">
        <v>2320</v>
      </c>
    </row>
    <row r="132" spans="1:7" x14ac:dyDescent="0.25">
      <c r="A132" s="16" t="str">
        <f>HYPERLINK("http://amigo.geneontology.org/amigo/term/GO:0019344","GO:0019344")</f>
        <v>GO:0019344</v>
      </c>
      <c r="B132" t="s">
        <v>1492</v>
      </c>
      <c r="C132" s="1">
        <v>9.6589999999999992E-3</v>
      </c>
      <c r="D132">
        <v>0.01</v>
      </c>
      <c r="E132">
        <v>48</v>
      </c>
      <c r="F132" t="s">
        <v>2319</v>
      </c>
      <c r="G132" t="s">
        <v>2231</v>
      </c>
    </row>
    <row r="133" spans="1:7" x14ac:dyDescent="0.25">
      <c r="A133" s="16" t="str">
        <f>HYPERLINK("http://amigo.geneontology.org/amigo/term/GO:0034660","GO:0034660")</f>
        <v>GO:0034660</v>
      </c>
      <c r="B133" t="s">
        <v>1493</v>
      </c>
      <c r="C133">
        <v>0.01</v>
      </c>
      <c r="D133">
        <v>0.01</v>
      </c>
      <c r="E133">
        <v>775</v>
      </c>
      <c r="F133" t="s">
        <v>2318</v>
      </c>
      <c r="G133" t="s">
        <v>2317</v>
      </c>
    </row>
    <row r="134" spans="1:7" x14ac:dyDescent="0.25">
      <c r="A134" s="16" t="str">
        <f>HYPERLINK("http://amigo.geneontology.org/amigo/term/GO:0043933","GO:0043933")</f>
        <v>GO:0043933</v>
      </c>
      <c r="B134" t="s">
        <v>123</v>
      </c>
      <c r="C134">
        <v>0.01</v>
      </c>
      <c r="D134">
        <v>0.01</v>
      </c>
      <c r="E134">
        <v>1005</v>
      </c>
      <c r="F134" t="s">
        <v>2316</v>
      </c>
      <c r="G134" t="s">
        <v>2315</v>
      </c>
    </row>
    <row r="135" spans="1:7" x14ac:dyDescent="0.25">
      <c r="A135" s="16" t="str">
        <f>HYPERLINK("http://amigo.geneontology.org/amigo/term/GO:0034622","GO:0034622")</f>
        <v>GO:0034622</v>
      </c>
      <c r="B135" t="s">
        <v>128</v>
      </c>
      <c r="C135">
        <v>0.01</v>
      </c>
      <c r="D135">
        <v>0.01</v>
      </c>
      <c r="E135">
        <v>841</v>
      </c>
      <c r="F135" t="s">
        <v>2314</v>
      </c>
      <c r="G135" t="s">
        <v>2297</v>
      </c>
    </row>
    <row r="136" spans="1:7" x14ac:dyDescent="0.25">
      <c r="A136" s="16" t="str">
        <f>HYPERLINK("http://amigo.geneontology.org/amigo/term/GO:0009414","GO:0009414")</f>
        <v>GO:0009414</v>
      </c>
      <c r="B136" t="s">
        <v>142</v>
      </c>
      <c r="C136">
        <v>0.01</v>
      </c>
      <c r="D136">
        <v>0.02</v>
      </c>
      <c r="E136">
        <v>274</v>
      </c>
      <c r="F136" t="s">
        <v>2313</v>
      </c>
      <c r="G136" t="s">
        <v>2281</v>
      </c>
    </row>
    <row r="137" spans="1:7" x14ac:dyDescent="0.25">
      <c r="A137" s="16" t="str">
        <f>HYPERLINK("http://amigo.geneontology.org/amigo/term/GO:0044275","GO:0044275")</f>
        <v>GO:0044275</v>
      </c>
      <c r="B137" t="s">
        <v>1222</v>
      </c>
      <c r="C137">
        <v>0.01</v>
      </c>
      <c r="D137">
        <v>0.02</v>
      </c>
      <c r="E137">
        <v>100</v>
      </c>
      <c r="F137" t="s">
        <v>2312</v>
      </c>
      <c r="G137" t="s">
        <v>2311</v>
      </c>
    </row>
    <row r="138" spans="1:7" x14ac:dyDescent="0.25">
      <c r="A138" s="16" t="str">
        <f>HYPERLINK("http://amigo.geneontology.org/amigo/term/GO:0009658","GO:0009658")</f>
        <v>GO:0009658</v>
      </c>
      <c r="B138" t="s">
        <v>1296</v>
      </c>
      <c r="C138">
        <v>0.01</v>
      </c>
      <c r="D138">
        <v>0.01</v>
      </c>
      <c r="E138">
        <v>142</v>
      </c>
      <c r="F138" t="s">
        <v>2310</v>
      </c>
      <c r="G138" t="s">
        <v>2309</v>
      </c>
    </row>
    <row r="139" spans="1:7" x14ac:dyDescent="0.25">
      <c r="A139" s="16" t="str">
        <f>HYPERLINK("http://amigo.geneontology.org/amigo/term/GO:0006099","GO:0006099")</f>
        <v>GO:0006099</v>
      </c>
      <c r="B139" t="s">
        <v>1494</v>
      </c>
      <c r="C139">
        <v>0.01</v>
      </c>
      <c r="D139">
        <v>0.02</v>
      </c>
      <c r="E139">
        <v>101</v>
      </c>
      <c r="F139" t="s">
        <v>2308</v>
      </c>
      <c r="G139" t="s">
        <v>2307</v>
      </c>
    </row>
    <row r="140" spans="1:7" x14ac:dyDescent="0.25">
      <c r="A140" s="16" t="str">
        <f>HYPERLINK("http://amigo.geneontology.org/amigo/term/GO:0046219","GO:0046219")</f>
        <v>GO:0046219</v>
      </c>
      <c r="B140" t="s">
        <v>595</v>
      </c>
      <c r="C140">
        <v>0.01</v>
      </c>
      <c r="D140">
        <v>0.02</v>
      </c>
      <c r="E140">
        <v>20</v>
      </c>
      <c r="F140" t="s">
        <v>596</v>
      </c>
      <c r="G140" t="s">
        <v>2259</v>
      </c>
    </row>
    <row r="141" spans="1:7" x14ac:dyDescent="0.25">
      <c r="A141" s="16" t="str">
        <f>HYPERLINK("http://amigo.geneontology.org/amigo/term/GO:0000162","GO:0000162")</f>
        <v>GO:0000162</v>
      </c>
      <c r="B141" t="s">
        <v>598</v>
      </c>
      <c r="C141">
        <v>0.01</v>
      </c>
      <c r="D141">
        <v>0.02</v>
      </c>
      <c r="E141">
        <v>20</v>
      </c>
      <c r="F141" t="s">
        <v>596</v>
      </c>
      <c r="G141" t="s">
        <v>2259</v>
      </c>
    </row>
    <row r="142" spans="1:7" x14ac:dyDescent="0.25">
      <c r="A142" s="16" t="str">
        <f>HYPERLINK("http://amigo.geneontology.org/amigo/term/GO:0009638","GO:0009638")</f>
        <v>GO:0009638</v>
      </c>
      <c r="B142" t="s">
        <v>1495</v>
      </c>
      <c r="C142">
        <v>0.01</v>
      </c>
      <c r="D142">
        <v>0.01</v>
      </c>
      <c r="E142">
        <v>18</v>
      </c>
      <c r="F142" t="s">
        <v>542</v>
      </c>
      <c r="G142" t="s">
        <v>2306</v>
      </c>
    </row>
    <row r="143" spans="1:7" x14ac:dyDescent="0.25">
      <c r="A143" s="16" t="str">
        <f>HYPERLINK("http://amigo.geneontology.org/amigo/term/GO:0098869","GO:0098869")</f>
        <v>GO:0098869</v>
      </c>
      <c r="B143" t="s">
        <v>468</v>
      </c>
      <c r="C143">
        <v>0.01</v>
      </c>
      <c r="D143">
        <v>0.01</v>
      </c>
      <c r="E143">
        <v>147</v>
      </c>
      <c r="F143" t="s">
        <v>2305</v>
      </c>
      <c r="G143" t="s">
        <v>2285</v>
      </c>
    </row>
    <row r="144" spans="1:7" x14ac:dyDescent="0.25">
      <c r="A144" s="16" t="str">
        <f>HYPERLINK("http://amigo.geneontology.org/amigo/term/GO:0000305","GO:0000305")</f>
        <v>GO:0000305</v>
      </c>
      <c r="B144" t="s">
        <v>303</v>
      </c>
      <c r="C144">
        <v>0.01</v>
      </c>
      <c r="D144">
        <v>0.01</v>
      </c>
      <c r="E144">
        <v>19</v>
      </c>
      <c r="F144" t="s">
        <v>593</v>
      </c>
      <c r="G144" t="s">
        <v>2229</v>
      </c>
    </row>
    <row r="145" spans="1:7" x14ac:dyDescent="0.25">
      <c r="A145" s="16" t="str">
        <f>HYPERLINK("http://amigo.geneontology.org/amigo/term/GO:0000303","GO:0000303")</f>
        <v>GO:0000303</v>
      </c>
      <c r="B145" t="s">
        <v>305</v>
      </c>
      <c r="C145">
        <v>0.01</v>
      </c>
      <c r="D145">
        <v>0.01</v>
      </c>
      <c r="E145">
        <v>19</v>
      </c>
      <c r="F145" t="s">
        <v>593</v>
      </c>
      <c r="G145" t="s">
        <v>2229</v>
      </c>
    </row>
    <row r="146" spans="1:7" x14ac:dyDescent="0.25">
      <c r="A146" s="16" t="str">
        <f>HYPERLINK("http://amigo.geneontology.org/amigo/term/GO:0034614","GO:0034614")</f>
        <v>GO:0034614</v>
      </c>
      <c r="B146" t="s">
        <v>306</v>
      </c>
      <c r="C146">
        <v>0.01</v>
      </c>
      <c r="D146">
        <v>0.01</v>
      </c>
      <c r="E146">
        <v>19</v>
      </c>
      <c r="F146" t="s">
        <v>593</v>
      </c>
      <c r="G146" t="s">
        <v>2229</v>
      </c>
    </row>
    <row r="147" spans="1:7" x14ac:dyDescent="0.25">
      <c r="A147" s="16" t="str">
        <f>HYPERLINK("http://amigo.geneontology.org/amigo/term/GO:0071450","GO:0071450")</f>
        <v>GO:0071450</v>
      </c>
      <c r="B147" t="s">
        <v>307</v>
      </c>
      <c r="C147">
        <v>0.01</v>
      </c>
      <c r="D147">
        <v>0.01</v>
      </c>
      <c r="E147">
        <v>19</v>
      </c>
      <c r="F147" t="s">
        <v>593</v>
      </c>
      <c r="G147" t="s">
        <v>2229</v>
      </c>
    </row>
    <row r="148" spans="1:7" x14ac:dyDescent="0.25">
      <c r="A148" s="16" t="str">
        <f>HYPERLINK("http://amigo.geneontology.org/amigo/term/GO:0071451","GO:0071451")</f>
        <v>GO:0071451</v>
      </c>
      <c r="B148" t="s">
        <v>308</v>
      </c>
      <c r="C148">
        <v>0.01</v>
      </c>
      <c r="D148">
        <v>0.01</v>
      </c>
      <c r="E148">
        <v>19</v>
      </c>
      <c r="F148" t="s">
        <v>593</v>
      </c>
      <c r="G148" t="s">
        <v>2229</v>
      </c>
    </row>
    <row r="149" spans="1:7" x14ac:dyDescent="0.25">
      <c r="A149" s="16" t="str">
        <f>HYPERLINK("http://amigo.geneontology.org/amigo/term/GO:0019430","GO:0019430")</f>
        <v>GO:0019430</v>
      </c>
      <c r="B149" t="s">
        <v>309</v>
      </c>
      <c r="C149">
        <v>0.01</v>
      </c>
      <c r="D149">
        <v>0.01</v>
      </c>
      <c r="E149">
        <v>19</v>
      </c>
      <c r="F149" t="s">
        <v>593</v>
      </c>
      <c r="G149" t="s">
        <v>2229</v>
      </c>
    </row>
    <row r="150" spans="1:7" x14ac:dyDescent="0.25">
      <c r="A150" s="16" t="str">
        <f>HYPERLINK("http://amigo.geneontology.org/amigo/term/GO:0032879","GO:0032879")</f>
        <v>GO:0032879</v>
      </c>
      <c r="B150" t="s">
        <v>1338</v>
      </c>
      <c r="C150">
        <v>0.01</v>
      </c>
      <c r="D150">
        <v>0.02</v>
      </c>
      <c r="E150">
        <v>103</v>
      </c>
      <c r="F150" t="s">
        <v>1801</v>
      </c>
      <c r="G150" t="s">
        <v>2304</v>
      </c>
    </row>
    <row r="151" spans="1:7" x14ac:dyDescent="0.25">
      <c r="A151" s="16" t="str">
        <f>HYPERLINK("http://amigo.geneontology.org/amigo/term/GO:0005975","GO:0005975")</f>
        <v>GO:0005975</v>
      </c>
      <c r="B151" t="s">
        <v>295</v>
      </c>
      <c r="C151">
        <v>0.02</v>
      </c>
      <c r="D151">
        <v>0.02</v>
      </c>
      <c r="E151">
        <v>2685</v>
      </c>
      <c r="F151" t="s">
        <v>2303</v>
      </c>
      <c r="G151" t="s">
        <v>2302</v>
      </c>
    </row>
    <row r="152" spans="1:7" x14ac:dyDescent="0.25">
      <c r="A152" s="16" t="str">
        <f>HYPERLINK("http://amigo.geneontology.org/amigo/term/GO:0043067","GO:0043067")</f>
        <v>GO:0043067</v>
      </c>
      <c r="B152" t="s">
        <v>1496</v>
      </c>
      <c r="C152">
        <v>0.02</v>
      </c>
      <c r="D152">
        <v>0.03</v>
      </c>
      <c r="E152">
        <v>26</v>
      </c>
      <c r="F152" t="s">
        <v>2290</v>
      </c>
      <c r="G152" t="s">
        <v>2301</v>
      </c>
    </row>
    <row r="153" spans="1:7" x14ac:dyDescent="0.25">
      <c r="A153" s="16" t="str">
        <f>HYPERLINK("http://amigo.geneontology.org/amigo/term/GO:0051276","GO:0051276")</f>
        <v>GO:0051276</v>
      </c>
      <c r="B153" t="s">
        <v>388</v>
      </c>
      <c r="C153">
        <v>0.02</v>
      </c>
      <c r="D153">
        <v>0.02</v>
      </c>
      <c r="E153">
        <v>592</v>
      </c>
      <c r="F153" t="s">
        <v>2300</v>
      </c>
      <c r="G153" t="s">
        <v>2299</v>
      </c>
    </row>
    <row r="154" spans="1:7" x14ac:dyDescent="0.25">
      <c r="A154" s="16" t="str">
        <f>HYPERLINK("http://amigo.geneontology.org/amigo/term/GO:0065003","GO:0065003")</f>
        <v>GO:0065003</v>
      </c>
      <c r="B154" t="s">
        <v>84</v>
      </c>
      <c r="C154">
        <v>0.02</v>
      </c>
      <c r="D154">
        <v>0.02</v>
      </c>
      <c r="E154">
        <v>913</v>
      </c>
      <c r="F154" t="s">
        <v>2298</v>
      </c>
      <c r="G154" t="s">
        <v>2297</v>
      </c>
    </row>
    <row r="155" spans="1:7" x14ac:dyDescent="0.25">
      <c r="A155" s="16" t="str">
        <f>HYPERLINK("http://amigo.geneontology.org/amigo/term/GO:0009415","GO:0009415")</f>
        <v>GO:0009415</v>
      </c>
      <c r="B155" t="s">
        <v>139</v>
      </c>
      <c r="C155">
        <v>0.02</v>
      </c>
      <c r="D155">
        <v>0.03</v>
      </c>
      <c r="E155">
        <v>308</v>
      </c>
      <c r="F155" t="s">
        <v>2296</v>
      </c>
      <c r="G155" t="s">
        <v>2281</v>
      </c>
    </row>
    <row r="156" spans="1:7" x14ac:dyDescent="0.25">
      <c r="A156" s="16" t="str">
        <f>HYPERLINK("http://amigo.geneontology.org/amigo/term/GO:0009651","GO:0009651")</f>
        <v>GO:0009651</v>
      </c>
      <c r="B156" t="s">
        <v>1497</v>
      </c>
      <c r="C156">
        <v>0.02</v>
      </c>
      <c r="D156">
        <v>0.02</v>
      </c>
      <c r="E156">
        <v>217</v>
      </c>
      <c r="F156" t="s">
        <v>2295</v>
      </c>
      <c r="G156" t="s">
        <v>2279</v>
      </c>
    </row>
    <row r="157" spans="1:7" x14ac:dyDescent="0.25">
      <c r="A157" s="16" t="str">
        <f>HYPERLINK("http://amigo.geneontology.org/amigo/term/GO:0009084","GO:0009084")</f>
        <v>GO:0009084</v>
      </c>
      <c r="B157" t="s">
        <v>979</v>
      </c>
      <c r="C157">
        <v>0.02</v>
      </c>
      <c r="D157">
        <v>0.02</v>
      </c>
      <c r="E157">
        <v>63</v>
      </c>
      <c r="F157" t="s">
        <v>2294</v>
      </c>
      <c r="G157" t="s">
        <v>2271</v>
      </c>
    </row>
    <row r="158" spans="1:7" x14ac:dyDescent="0.25">
      <c r="A158" s="16" t="str">
        <f>HYPERLINK("http://amigo.geneontology.org/amigo/term/GO:0009409","GO:0009409")</f>
        <v>GO:0009409</v>
      </c>
      <c r="B158" t="s">
        <v>1005</v>
      </c>
      <c r="C158">
        <v>0.02</v>
      </c>
      <c r="D158">
        <v>0.02</v>
      </c>
      <c r="E158">
        <v>161</v>
      </c>
      <c r="F158" t="s">
        <v>2293</v>
      </c>
      <c r="G158" t="s">
        <v>2292</v>
      </c>
    </row>
    <row r="159" spans="1:7" x14ac:dyDescent="0.25">
      <c r="A159" s="16" t="str">
        <f>HYPERLINK("http://amigo.geneontology.org/amigo/term/GO:0000376","GO:0000376")</f>
        <v>GO:0000376</v>
      </c>
      <c r="B159" t="s">
        <v>1498</v>
      </c>
      <c r="C159">
        <v>0.02</v>
      </c>
      <c r="D159">
        <v>0.02</v>
      </c>
      <c r="E159">
        <v>2</v>
      </c>
      <c r="F159" t="s">
        <v>552</v>
      </c>
      <c r="G159" t="s">
        <v>2291</v>
      </c>
    </row>
    <row r="160" spans="1:7" x14ac:dyDescent="0.25">
      <c r="A160" s="16" t="str">
        <f>HYPERLINK("http://amigo.geneontology.org/amigo/term/GO:0000372","GO:0000372")</f>
        <v>GO:0000372</v>
      </c>
      <c r="B160" t="s">
        <v>1499</v>
      </c>
      <c r="C160">
        <v>0.02</v>
      </c>
      <c r="D160">
        <v>0.02</v>
      </c>
      <c r="E160">
        <v>2</v>
      </c>
      <c r="F160" t="s">
        <v>552</v>
      </c>
      <c r="G160" t="s">
        <v>2291</v>
      </c>
    </row>
    <row r="161" spans="1:7" x14ac:dyDescent="0.25">
      <c r="A161" s="16" t="str">
        <f>HYPERLINK("http://amigo.geneontology.org/amigo/term/GO:0000373","GO:0000373")</f>
        <v>GO:0000373</v>
      </c>
      <c r="B161" t="s">
        <v>1500</v>
      </c>
      <c r="C161">
        <v>0.02</v>
      </c>
      <c r="D161">
        <v>0.03</v>
      </c>
      <c r="E161">
        <v>26</v>
      </c>
      <c r="F161" t="s">
        <v>2290</v>
      </c>
      <c r="G161" t="s">
        <v>2289</v>
      </c>
    </row>
    <row r="162" spans="1:7" x14ac:dyDescent="0.25">
      <c r="A162" s="16" t="str">
        <f>HYPERLINK("http://amigo.geneontology.org/amigo/term/GO:0044106","GO:0044106")</f>
        <v>GO:0044106</v>
      </c>
      <c r="B162" t="s">
        <v>441</v>
      </c>
      <c r="C162">
        <v>0.02</v>
      </c>
      <c r="D162">
        <v>0.02</v>
      </c>
      <c r="E162">
        <v>162</v>
      </c>
      <c r="F162" t="s">
        <v>2288</v>
      </c>
      <c r="G162" t="s">
        <v>2232</v>
      </c>
    </row>
    <row r="163" spans="1:7" x14ac:dyDescent="0.25">
      <c r="A163" s="16" t="str">
        <f>HYPERLINK("http://amigo.geneontology.org/amigo/term/GO:0006576","GO:0006576")</f>
        <v>GO:0006576</v>
      </c>
      <c r="B163" t="s">
        <v>444</v>
      </c>
      <c r="C163">
        <v>0.02</v>
      </c>
      <c r="D163">
        <v>0.02</v>
      </c>
      <c r="E163">
        <v>162</v>
      </c>
      <c r="F163" t="s">
        <v>2288</v>
      </c>
      <c r="G163" t="s">
        <v>2232</v>
      </c>
    </row>
    <row r="164" spans="1:7" x14ac:dyDescent="0.25">
      <c r="A164" s="16" t="str">
        <f>HYPERLINK("http://amigo.geneontology.org/amigo/term/GO:0009953","GO:0009953")</f>
        <v>GO:0009953</v>
      </c>
      <c r="B164" t="s">
        <v>1501</v>
      </c>
      <c r="C164">
        <v>0.02</v>
      </c>
      <c r="D164">
        <v>0.02</v>
      </c>
      <c r="E164">
        <v>2</v>
      </c>
      <c r="F164" t="s">
        <v>552</v>
      </c>
      <c r="G164" t="s">
        <v>2258</v>
      </c>
    </row>
    <row r="165" spans="1:7" x14ac:dyDescent="0.25">
      <c r="A165" s="16" t="str">
        <f>HYPERLINK("http://amigo.geneontology.org/amigo/term/GO:0009799","GO:0009799")</f>
        <v>GO:0009799</v>
      </c>
      <c r="B165" t="s">
        <v>1502</v>
      </c>
      <c r="C165">
        <v>0.02</v>
      </c>
      <c r="D165">
        <v>0.02</v>
      </c>
      <c r="E165">
        <v>2</v>
      </c>
      <c r="F165" t="s">
        <v>552</v>
      </c>
      <c r="G165" t="s">
        <v>2258</v>
      </c>
    </row>
    <row r="166" spans="1:7" x14ac:dyDescent="0.25">
      <c r="A166" s="16" t="str">
        <f>HYPERLINK("http://amigo.geneontology.org/amigo/term/GO:0009855","GO:0009855")</f>
        <v>GO:0009855</v>
      </c>
      <c r="B166" t="s">
        <v>1503</v>
      </c>
      <c r="C166">
        <v>0.02</v>
      </c>
      <c r="D166">
        <v>0.02</v>
      </c>
      <c r="E166">
        <v>2</v>
      </c>
      <c r="F166" t="s">
        <v>552</v>
      </c>
      <c r="G166" t="s">
        <v>2258</v>
      </c>
    </row>
    <row r="167" spans="1:7" x14ac:dyDescent="0.25">
      <c r="A167" s="16" t="str">
        <f>HYPERLINK("http://amigo.geneontology.org/amigo/term/GO:0048262","GO:0048262")</f>
        <v>GO:0048262</v>
      </c>
      <c r="B167" t="s">
        <v>1504</v>
      </c>
      <c r="C167">
        <v>0.02</v>
      </c>
      <c r="D167">
        <v>0.02</v>
      </c>
      <c r="E167">
        <v>2</v>
      </c>
      <c r="F167" t="s">
        <v>552</v>
      </c>
      <c r="G167" t="s">
        <v>2258</v>
      </c>
    </row>
    <row r="168" spans="1:7" x14ac:dyDescent="0.25">
      <c r="A168" s="16" t="str">
        <f>HYPERLINK("http://amigo.geneontology.org/amigo/term/GO:0048263","GO:0048263")</f>
        <v>GO:0048263</v>
      </c>
      <c r="B168" t="s">
        <v>1505</v>
      </c>
      <c r="C168">
        <v>0.02</v>
      </c>
      <c r="D168">
        <v>0.02</v>
      </c>
      <c r="E168">
        <v>2</v>
      </c>
      <c r="F168" t="s">
        <v>552</v>
      </c>
      <c r="G168" t="s">
        <v>2258</v>
      </c>
    </row>
    <row r="169" spans="1:7" x14ac:dyDescent="0.25">
      <c r="A169" s="16" t="str">
        <f>HYPERLINK("http://amigo.geneontology.org/amigo/term/GO:0009636","GO:0009636")</f>
        <v>GO:0009636</v>
      </c>
      <c r="B169" t="s">
        <v>622</v>
      </c>
      <c r="C169">
        <v>0.02</v>
      </c>
      <c r="D169">
        <v>0.02</v>
      </c>
      <c r="E169">
        <v>167</v>
      </c>
      <c r="F169" t="s">
        <v>2287</v>
      </c>
      <c r="G169" t="s">
        <v>2285</v>
      </c>
    </row>
    <row r="170" spans="1:7" x14ac:dyDescent="0.25">
      <c r="A170" s="16" t="str">
        <f>HYPERLINK("http://amigo.geneontology.org/amigo/term/GO:0098754","GO:0098754")</f>
        <v>GO:0098754</v>
      </c>
      <c r="B170" t="s">
        <v>547</v>
      </c>
      <c r="C170">
        <v>0.02</v>
      </c>
      <c r="D170">
        <v>0.02</v>
      </c>
      <c r="E170">
        <v>157</v>
      </c>
      <c r="F170" t="s">
        <v>2286</v>
      </c>
      <c r="G170" t="s">
        <v>2285</v>
      </c>
    </row>
    <row r="171" spans="1:7" x14ac:dyDescent="0.25">
      <c r="A171" s="16" t="str">
        <f>HYPERLINK("http://amigo.geneontology.org/amigo/term/GO:0097237","GO:0097237")</f>
        <v>GO:0097237</v>
      </c>
      <c r="B171" t="s">
        <v>549</v>
      </c>
      <c r="C171">
        <v>0.02</v>
      </c>
      <c r="D171">
        <v>0.02</v>
      </c>
      <c r="E171">
        <v>157</v>
      </c>
      <c r="F171" t="s">
        <v>2286</v>
      </c>
      <c r="G171" t="s">
        <v>2285</v>
      </c>
    </row>
    <row r="172" spans="1:7" x14ac:dyDescent="0.25">
      <c r="A172" s="16" t="str">
        <f>HYPERLINK("http://amigo.geneontology.org/amigo/term/GO:1990748","GO:1990748")</f>
        <v>GO:1990748</v>
      </c>
      <c r="B172" t="s">
        <v>550</v>
      </c>
      <c r="C172">
        <v>0.02</v>
      </c>
      <c r="D172">
        <v>0.02</v>
      </c>
      <c r="E172">
        <v>157</v>
      </c>
      <c r="F172" t="s">
        <v>2286</v>
      </c>
      <c r="G172" t="s">
        <v>2285</v>
      </c>
    </row>
    <row r="173" spans="1:7" x14ac:dyDescent="0.25">
      <c r="A173" s="16" t="str">
        <f>HYPERLINK("http://amigo.geneontology.org/amigo/term/GO:0042440","GO:0042440")</f>
        <v>GO:0042440</v>
      </c>
      <c r="B173" t="s">
        <v>706</v>
      </c>
      <c r="C173">
        <v>0.02</v>
      </c>
      <c r="D173">
        <v>0.03</v>
      </c>
      <c r="E173">
        <v>176</v>
      </c>
      <c r="F173" t="s">
        <v>2284</v>
      </c>
      <c r="G173" t="s">
        <v>2283</v>
      </c>
    </row>
    <row r="174" spans="1:7" x14ac:dyDescent="0.25">
      <c r="A174" s="16" t="str">
        <f>HYPERLINK("http://amigo.geneontology.org/amigo/term/GO:0034762","GO:0034762")</f>
        <v>GO:0034762</v>
      </c>
      <c r="B174" t="s">
        <v>1401</v>
      </c>
      <c r="C174">
        <v>0.02</v>
      </c>
      <c r="D174">
        <v>0.02</v>
      </c>
      <c r="E174">
        <v>57</v>
      </c>
      <c r="F174" t="s">
        <v>1792</v>
      </c>
      <c r="G174" t="s">
        <v>2227</v>
      </c>
    </row>
    <row r="175" spans="1:7" x14ac:dyDescent="0.25">
      <c r="A175" s="16" t="str">
        <f>HYPERLINK("http://amigo.geneontology.org/amigo/term/GO:0001101","GO:0001101")</f>
        <v>GO:0001101</v>
      </c>
      <c r="B175" t="s">
        <v>145</v>
      </c>
      <c r="C175">
        <v>0.03</v>
      </c>
      <c r="D175">
        <v>0.03</v>
      </c>
      <c r="E175">
        <v>312</v>
      </c>
      <c r="F175" t="s">
        <v>2282</v>
      </c>
      <c r="G175" t="s">
        <v>2281</v>
      </c>
    </row>
    <row r="176" spans="1:7" x14ac:dyDescent="0.25">
      <c r="A176" s="16" t="str">
        <f>HYPERLINK("http://amigo.geneontology.org/amigo/term/GO:0006970","GO:0006970")</f>
        <v>GO:0006970</v>
      </c>
      <c r="B176" t="s">
        <v>960</v>
      </c>
      <c r="C176">
        <v>0.03</v>
      </c>
      <c r="D176">
        <v>0.03</v>
      </c>
      <c r="E176">
        <v>249</v>
      </c>
      <c r="F176" t="s">
        <v>2280</v>
      </c>
      <c r="G176" t="s">
        <v>2279</v>
      </c>
    </row>
    <row r="177" spans="1:7" x14ac:dyDescent="0.25">
      <c r="A177" s="16" t="str">
        <f>HYPERLINK("http://amigo.geneontology.org/amigo/term/GO:0006575","GO:0006575")</f>
        <v>GO:0006575</v>
      </c>
      <c r="B177" t="s">
        <v>23</v>
      </c>
      <c r="C177">
        <v>0.03</v>
      </c>
      <c r="D177">
        <v>0.03</v>
      </c>
      <c r="E177">
        <v>464</v>
      </c>
      <c r="F177" t="s">
        <v>2278</v>
      </c>
      <c r="G177" t="s">
        <v>2277</v>
      </c>
    </row>
    <row r="178" spans="1:7" x14ac:dyDescent="0.25">
      <c r="A178" s="16" t="str">
        <f>HYPERLINK("http://amigo.geneontology.org/amigo/term/GO:0009396","GO:0009396")</f>
        <v>GO:0009396</v>
      </c>
      <c r="B178" t="s">
        <v>1506</v>
      </c>
      <c r="C178">
        <v>0.03</v>
      </c>
      <c r="D178">
        <v>0.03</v>
      </c>
      <c r="E178">
        <v>29</v>
      </c>
      <c r="F178" t="s">
        <v>1775</v>
      </c>
      <c r="G178" t="s">
        <v>2252</v>
      </c>
    </row>
    <row r="179" spans="1:7" x14ac:dyDescent="0.25">
      <c r="A179" s="16" t="str">
        <f>HYPERLINK("http://amigo.geneontology.org/amigo/term/GO:0046653","GO:0046653")</f>
        <v>GO:0046653</v>
      </c>
      <c r="B179" t="s">
        <v>208</v>
      </c>
      <c r="C179">
        <v>0.03</v>
      </c>
      <c r="D179">
        <v>0.03</v>
      </c>
      <c r="E179">
        <v>29</v>
      </c>
      <c r="F179" t="s">
        <v>1775</v>
      </c>
      <c r="G179" t="s">
        <v>2252</v>
      </c>
    </row>
    <row r="180" spans="1:7" x14ac:dyDescent="0.25">
      <c r="A180" s="16" t="str">
        <f>HYPERLINK("http://amigo.geneontology.org/amigo/term/GO:0043100","GO:0043100")</f>
        <v>GO:0043100</v>
      </c>
      <c r="B180" t="s">
        <v>1507</v>
      </c>
      <c r="C180">
        <v>0.03</v>
      </c>
      <c r="D180">
        <v>0.03</v>
      </c>
      <c r="E180">
        <v>3</v>
      </c>
      <c r="F180" t="s">
        <v>603</v>
      </c>
      <c r="G180" t="s">
        <v>2251</v>
      </c>
    </row>
    <row r="181" spans="1:7" x14ac:dyDescent="0.25">
      <c r="A181" s="16" t="str">
        <f>HYPERLINK("http://amigo.geneontology.org/amigo/term/GO:0046107","GO:0046107")</f>
        <v>GO:0046107</v>
      </c>
      <c r="B181" t="s">
        <v>1508</v>
      </c>
      <c r="C181">
        <v>0.03</v>
      </c>
      <c r="D181">
        <v>0.03</v>
      </c>
      <c r="E181">
        <v>3</v>
      </c>
      <c r="F181" t="s">
        <v>603</v>
      </c>
      <c r="G181" t="s">
        <v>2251</v>
      </c>
    </row>
    <row r="182" spans="1:7" x14ac:dyDescent="0.25">
      <c r="A182" s="16" t="str">
        <f>HYPERLINK("http://amigo.geneontology.org/amigo/term/GO:0006223","GO:0006223")</f>
        <v>GO:0006223</v>
      </c>
      <c r="B182" t="s">
        <v>1509</v>
      </c>
      <c r="C182">
        <v>0.03</v>
      </c>
      <c r="D182">
        <v>0.03</v>
      </c>
      <c r="E182">
        <v>3</v>
      </c>
      <c r="F182" t="s">
        <v>603</v>
      </c>
      <c r="G182" t="s">
        <v>2251</v>
      </c>
    </row>
    <row r="183" spans="1:7" x14ac:dyDescent="0.25">
      <c r="A183" s="16" t="str">
        <f>HYPERLINK("http://amigo.geneontology.org/amigo/term/GO:0005982","GO:0005982")</f>
        <v>GO:0005982</v>
      </c>
      <c r="B183" t="s">
        <v>1510</v>
      </c>
      <c r="C183">
        <v>0.03</v>
      </c>
      <c r="D183">
        <v>0.03</v>
      </c>
      <c r="E183">
        <v>72</v>
      </c>
      <c r="F183" t="s">
        <v>2276</v>
      </c>
      <c r="G183" t="s">
        <v>2275</v>
      </c>
    </row>
    <row r="184" spans="1:7" x14ac:dyDescent="0.25">
      <c r="A184" s="16" t="str">
        <f>HYPERLINK("http://amigo.geneontology.org/amigo/term/GO:0009251","GO:0009251")</f>
        <v>GO:0009251</v>
      </c>
      <c r="B184" t="s">
        <v>1511</v>
      </c>
      <c r="C184">
        <v>0.03</v>
      </c>
      <c r="D184">
        <v>0.04</v>
      </c>
      <c r="E184">
        <v>75</v>
      </c>
      <c r="F184" t="s">
        <v>2263</v>
      </c>
      <c r="G184" t="s">
        <v>2275</v>
      </c>
    </row>
    <row r="185" spans="1:7" x14ac:dyDescent="0.25">
      <c r="A185" s="16" t="str">
        <f>HYPERLINK("http://amigo.geneontology.org/amigo/term/GO:0044247","GO:0044247")</f>
        <v>GO:0044247</v>
      </c>
      <c r="B185" t="s">
        <v>1512</v>
      </c>
      <c r="C185">
        <v>0.03</v>
      </c>
      <c r="D185">
        <v>0.03</v>
      </c>
      <c r="E185">
        <v>73</v>
      </c>
      <c r="F185" t="s">
        <v>2272</v>
      </c>
      <c r="G185" t="s">
        <v>2275</v>
      </c>
    </row>
    <row r="186" spans="1:7" x14ac:dyDescent="0.25">
      <c r="A186" s="16" t="str">
        <f>HYPERLINK("http://amigo.geneontology.org/amigo/term/GO:0042044","GO:0042044")</f>
        <v>GO:0042044</v>
      </c>
      <c r="B186" t="s">
        <v>1513</v>
      </c>
      <c r="C186">
        <v>0.03</v>
      </c>
      <c r="D186">
        <v>0.03</v>
      </c>
      <c r="E186">
        <v>27</v>
      </c>
      <c r="F186" t="s">
        <v>2274</v>
      </c>
      <c r="G186" t="s">
        <v>2273</v>
      </c>
    </row>
    <row r="187" spans="1:7" x14ac:dyDescent="0.25">
      <c r="A187" s="16" t="str">
        <f>HYPERLINK("http://amigo.geneontology.org/amigo/term/GO:0006833","GO:0006833")</f>
        <v>GO:0006833</v>
      </c>
      <c r="B187" t="s">
        <v>1514</v>
      </c>
      <c r="C187">
        <v>0.03</v>
      </c>
      <c r="D187">
        <v>0.03</v>
      </c>
      <c r="E187">
        <v>27</v>
      </c>
      <c r="F187" t="s">
        <v>2274</v>
      </c>
      <c r="G187" t="s">
        <v>2273</v>
      </c>
    </row>
    <row r="188" spans="1:7" x14ac:dyDescent="0.25">
      <c r="A188" s="16" t="str">
        <f>HYPERLINK("http://amigo.geneontology.org/amigo/term/GO:0006541","GO:0006541")</f>
        <v>GO:0006541</v>
      </c>
      <c r="B188" t="s">
        <v>1515</v>
      </c>
      <c r="C188">
        <v>0.03</v>
      </c>
      <c r="D188">
        <v>0.03</v>
      </c>
      <c r="E188">
        <v>73</v>
      </c>
      <c r="F188" t="s">
        <v>2272</v>
      </c>
      <c r="G188" t="s">
        <v>2271</v>
      </c>
    </row>
    <row r="189" spans="1:7" x14ac:dyDescent="0.25">
      <c r="A189" s="16" t="str">
        <f>HYPERLINK("http://amigo.geneontology.org/amigo/term/GO:0032543","GO:0032543")</f>
        <v>GO:0032543</v>
      </c>
      <c r="B189" t="s">
        <v>1516</v>
      </c>
      <c r="C189">
        <v>0.03</v>
      </c>
      <c r="D189">
        <v>0.04</v>
      </c>
      <c r="E189">
        <v>31</v>
      </c>
      <c r="F189" t="s">
        <v>2270</v>
      </c>
      <c r="G189" t="s">
        <v>2269</v>
      </c>
    </row>
    <row r="190" spans="1:7" x14ac:dyDescent="0.25">
      <c r="A190" s="16" t="str">
        <f>HYPERLINK("http://amigo.geneontology.org/amigo/term/GO:0010236","GO:0010236")</f>
        <v>GO:0010236</v>
      </c>
      <c r="B190" t="s">
        <v>1517</v>
      </c>
      <c r="C190">
        <v>0.03</v>
      </c>
      <c r="D190">
        <v>0.03</v>
      </c>
      <c r="E190">
        <v>3</v>
      </c>
      <c r="F190" t="s">
        <v>603</v>
      </c>
      <c r="G190" t="s">
        <v>2268</v>
      </c>
    </row>
    <row r="191" spans="1:7" x14ac:dyDescent="0.25">
      <c r="A191" s="16" t="str">
        <f>HYPERLINK("http://amigo.geneontology.org/amigo/term/GO:0006164","GO:0006164")</f>
        <v>GO:0006164</v>
      </c>
      <c r="B191" t="s">
        <v>1518</v>
      </c>
      <c r="C191">
        <v>0.03</v>
      </c>
      <c r="D191">
        <v>0.03</v>
      </c>
      <c r="E191">
        <v>324</v>
      </c>
      <c r="F191" t="s">
        <v>2267</v>
      </c>
      <c r="G191" t="s">
        <v>2248</v>
      </c>
    </row>
    <row r="192" spans="1:7" x14ac:dyDescent="0.25">
      <c r="A192" s="16" t="str">
        <f>HYPERLINK("http://amigo.geneontology.org/amigo/term/GO:0009308","GO:0009308")</f>
        <v>GO:0009308</v>
      </c>
      <c r="B192" t="s">
        <v>438</v>
      </c>
      <c r="C192">
        <v>0.03</v>
      </c>
      <c r="D192">
        <v>0.03</v>
      </c>
      <c r="E192">
        <v>245</v>
      </c>
      <c r="F192" t="s">
        <v>2266</v>
      </c>
      <c r="G192" t="s">
        <v>2265</v>
      </c>
    </row>
    <row r="193" spans="1:7" x14ac:dyDescent="0.25">
      <c r="A193" s="16" t="str">
        <f>HYPERLINK("http://amigo.geneontology.org/amigo/term/GO:0006563","GO:0006563")</f>
        <v>GO:0006563</v>
      </c>
      <c r="B193" t="s">
        <v>40</v>
      </c>
      <c r="C193">
        <v>0.03</v>
      </c>
      <c r="D193">
        <v>0.03</v>
      </c>
      <c r="E193">
        <v>74</v>
      </c>
      <c r="F193" t="s">
        <v>2264</v>
      </c>
      <c r="G193" t="s">
        <v>2231</v>
      </c>
    </row>
    <row r="194" spans="1:7" x14ac:dyDescent="0.25">
      <c r="A194" s="16" t="str">
        <f>HYPERLINK("http://amigo.geneontology.org/amigo/term/GO:0006534","GO:0006534")</f>
        <v>GO:0006534</v>
      </c>
      <c r="B194" t="s">
        <v>1519</v>
      </c>
      <c r="C194">
        <v>0.03</v>
      </c>
      <c r="D194">
        <v>0.04</v>
      </c>
      <c r="E194">
        <v>75</v>
      </c>
      <c r="F194" t="s">
        <v>2263</v>
      </c>
      <c r="G194" t="s">
        <v>2231</v>
      </c>
    </row>
    <row r="195" spans="1:7" x14ac:dyDescent="0.25">
      <c r="A195" s="16" t="str">
        <f>HYPERLINK("http://amigo.geneontology.org/amigo/term/GO:0009070","GO:0009070")</f>
        <v>GO:0009070</v>
      </c>
      <c r="B195" t="s">
        <v>43</v>
      </c>
      <c r="C195">
        <v>0.03</v>
      </c>
      <c r="D195">
        <v>0.04</v>
      </c>
      <c r="E195">
        <v>78</v>
      </c>
      <c r="F195" t="s">
        <v>2262</v>
      </c>
      <c r="G195" t="s">
        <v>2231</v>
      </c>
    </row>
    <row r="196" spans="1:7" x14ac:dyDescent="0.25">
      <c r="A196" s="16" t="str">
        <f>HYPERLINK("http://amigo.geneontology.org/amigo/term/GO:0048564","GO:0048564")</f>
        <v>GO:0048564</v>
      </c>
      <c r="B196" t="s">
        <v>1520</v>
      </c>
      <c r="C196">
        <v>0.03</v>
      </c>
      <c r="D196">
        <v>0.03</v>
      </c>
      <c r="E196">
        <v>28</v>
      </c>
      <c r="F196" t="s">
        <v>2256</v>
      </c>
      <c r="G196" t="s">
        <v>2261</v>
      </c>
    </row>
    <row r="197" spans="1:7" x14ac:dyDescent="0.25">
      <c r="A197" s="16" t="str">
        <f>HYPERLINK("http://amigo.geneontology.org/amigo/term/GO:0042435","GO:0042435")</f>
        <v>GO:0042435</v>
      </c>
      <c r="B197" t="s">
        <v>1017</v>
      </c>
      <c r="C197">
        <v>0.03</v>
      </c>
      <c r="D197">
        <v>0.03</v>
      </c>
      <c r="E197">
        <v>30</v>
      </c>
      <c r="F197" t="s">
        <v>2260</v>
      </c>
      <c r="G197" t="s">
        <v>2259</v>
      </c>
    </row>
    <row r="198" spans="1:7" x14ac:dyDescent="0.25">
      <c r="A198" s="16" t="str">
        <f>HYPERLINK("http://amigo.geneontology.org/amigo/term/GO:0080060","GO:0080060")</f>
        <v>GO:0080060</v>
      </c>
      <c r="B198" t="s">
        <v>1521</v>
      </c>
      <c r="C198">
        <v>0.03</v>
      </c>
      <c r="D198">
        <v>0.03</v>
      </c>
      <c r="E198">
        <v>3</v>
      </c>
      <c r="F198" t="s">
        <v>603</v>
      </c>
      <c r="G198" t="s">
        <v>2258</v>
      </c>
    </row>
    <row r="199" spans="1:7" x14ac:dyDescent="0.25">
      <c r="A199" s="16" t="str">
        <f>HYPERLINK("http://amigo.geneontology.org/amigo/term/GO:0090322","GO:0090322")</f>
        <v>GO:0090322</v>
      </c>
      <c r="B199" t="s">
        <v>1522</v>
      </c>
      <c r="C199">
        <v>0.03</v>
      </c>
      <c r="D199">
        <v>0.03</v>
      </c>
      <c r="E199">
        <v>3</v>
      </c>
      <c r="F199" t="s">
        <v>603</v>
      </c>
      <c r="G199" t="s">
        <v>2257</v>
      </c>
    </row>
    <row r="200" spans="1:7" x14ac:dyDescent="0.25">
      <c r="A200" s="16" t="str">
        <f>HYPERLINK("http://amigo.geneontology.org/amigo/term/GO:0006801","GO:0006801")</f>
        <v>GO:0006801</v>
      </c>
      <c r="B200" t="s">
        <v>400</v>
      </c>
      <c r="C200">
        <v>0.03</v>
      </c>
      <c r="D200">
        <v>0.03</v>
      </c>
      <c r="E200">
        <v>28</v>
      </c>
      <c r="F200" t="s">
        <v>2256</v>
      </c>
      <c r="G200" t="s">
        <v>2229</v>
      </c>
    </row>
    <row r="201" spans="1:7" x14ac:dyDescent="0.25">
      <c r="A201" s="16" t="str">
        <f>HYPERLINK("http://amigo.geneontology.org/amigo/term/GO:0046176","GO:0046176")</f>
        <v>GO:0046176</v>
      </c>
      <c r="B201" t="s">
        <v>1523</v>
      </c>
      <c r="C201">
        <v>0.03</v>
      </c>
      <c r="D201">
        <v>0.03</v>
      </c>
      <c r="E201">
        <v>3</v>
      </c>
      <c r="F201" t="s">
        <v>603</v>
      </c>
      <c r="G201" t="s">
        <v>2255</v>
      </c>
    </row>
    <row r="202" spans="1:7" x14ac:dyDescent="0.25">
      <c r="A202" s="16" t="str">
        <f>HYPERLINK("http://amigo.geneontology.org/amigo/term/GO:0046177","GO:0046177")</f>
        <v>GO:0046177</v>
      </c>
      <c r="B202" t="s">
        <v>1524</v>
      </c>
      <c r="C202">
        <v>0.03</v>
      </c>
      <c r="D202">
        <v>0.03</v>
      </c>
      <c r="E202">
        <v>3</v>
      </c>
      <c r="F202" t="s">
        <v>603</v>
      </c>
      <c r="G202" t="s">
        <v>2255</v>
      </c>
    </row>
    <row r="203" spans="1:7" x14ac:dyDescent="0.25">
      <c r="A203" s="16" t="str">
        <f>HYPERLINK("http://amigo.geneontology.org/amigo/term/GO:2000071","GO:2000071")</f>
        <v>GO:2000071</v>
      </c>
      <c r="B203" t="s">
        <v>1525</v>
      </c>
      <c r="C203">
        <v>0.03</v>
      </c>
      <c r="D203">
        <v>0.03</v>
      </c>
      <c r="E203">
        <v>3</v>
      </c>
      <c r="F203" t="s">
        <v>603</v>
      </c>
      <c r="G203" t="s">
        <v>2254</v>
      </c>
    </row>
    <row r="204" spans="1:7" x14ac:dyDescent="0.25">
      <c r="A204" s="16" t="str">
        <f>HYPERLINK("http://amigo.geneontology.org/amigo/term/GO:0042559","GO:0042559")</f>
        <v>GO:0042559</v>
      </c>
      <c r="B204" t="s">
        <v>1526</v>
      </c>
      <c r="C204">
        <v>0.04</v>
      </c>
      <c r="D204">
        <v>0.05</v>
      </c>
      <c r="E204">
        <v>37</v>
      </c>
      <c r="F204" t="s">
        <v>2253</v>
      </c>
      <c r="G204" t="s">
        <v>2252</v>
      </c>
    </row>
    <row r="205" spans="1:7" x14ac:dyDescent="0.25">
      <c r="A205" s="16" t="str">
        <f>HYPERLINK("http://amigo.geneontology.org/amigo/term/GO:0043650","GO:0043650")</f>
        <v>GO:0043650</v>
      </c>
      <c r="B205" t="s">
        <v>1359</v>
      </c>
      <c r="C205">
        <v>0.04</v>
      </c>
      <c r="D205">
        <v>0.04</v>
      </c>
      <c r="E205">
        <v>33</v>
      </c>
      <c r="F205" t="s">
        <v>1758</v>
      </c>
      <c r="G205" t="s">
        <v>2252</v>
      </c>
    </row>
    <row r="206" spans="1:7" x14ac:dyDescent="0.25">
      <c r="A206" s="16" t="str">
        <f>HYPERLINK("http://amigo.geneontology.org/amigo/term/GO:0019860","GO:0019860")</f>
        <v>GO:0019860</v>
      </c>
      <c r="B206" t="s">
        <v>1527</v>
      </c>
      <c r="C206">
        <v>0.04</v>
      </c>
      <c r="D206">
        <v>0.05</v>
      </c>
      <c r="E206">
        <v>5</v>
      </c>
      <c r="F206" t="s">
        <v>1732</v>
      </c>
      <c r="G206" t="s">
        <v>2251</v>
      </c>
    </row>
    <row r="207" spans="1:7" x14ac:dyDescent="0.25">
      <c r="A207" s="16" t="str">
        <f>HYPERLINK("http://amigo.geneontology.org/amigo/term/GO:0048830","GO:0048830")</f>
        <v>GO:0048830</v>
      </c>
      <c r="B207" t="s">
        <v>1528</v>
      </c>
      <c r="C207">
        <v>0.04</v>
      </c>
      <c r="D207">
        <v>0.04</v>
      </c>
      <c r="E207">
        <v>4</v>
      </c>
      <c r="F207" t="s">
        <v>1760</v>
      </c>
      <c r="G207" t="s">
        <v>2250</v>
      </c>
    </row>
    <row r="208" spans="1:7" x14ac:dyDescent="0.25">
      <c r="A208" s="16" t="str">
        <f>HYPERLINK("http://amigo.geneontology.org/amigo/term/GO:0072522","GO:0072522")</f>
        <v>GO:0072522</v>
      </c>
      <c r="B208" t="s">
        <v>1529</v>
      </c>
      <c r="C208">
        <v>0.04</v>
      </c>
      <c r="D208">
        <v>0.05</v>
      </c>
      <c r="E208">
        <v>349</v>
      </c>
      <c r="F208" t="s">
        <v>2249</v>
      </c>
      <c r="G208" t="s">
        <v>2248</v>
      </c>
    </row>
    <row r="209" spans="1:7" x14ac:dyDescent="0.25">
      <c r="A209" s="16" t="str">
        <f>HYPERLINK("http://amigo.geneontology.org/amigo/term/GO:0046271","GO:0046271")</f>
        <v>GO:0046271</v>
      </c>
      <c r="B209" t="s">
        <v>1530</v>
      </c>
      <c r="C209">
        <v>0.04</v>
      </c>
      <c r="D209">
        <v>0.05</v>
      </c>
      <c r="E209">
        <v>85</v>
      </c>
      <c r="F209" t="s">
        <v>2247</v>
      </c>
      <c r="G209" t="s">
        <v>2246</v>
      </c>
    </row>
    <row r="210" spans="1:7" x14ac:dyDescent="0.25">
      <c r="A210" s="16" t="str">
        <f>HYPERLINK("http://amigo.geneontology.org/amigo/term/GO:0046274","GO:0046274")</f>
        <v>GO:0046274</v>
      </c>
      <c r="B210" t="s">
        <v>1531</v>
      </c>
      <c r="C210">
        <v>0.04</v>
      </c>
      <c r="D210">
        <v>0.05</v>
      </c>
      <c r="E210">
        <v>85</v>
      </c>
      <c r="F210" t="s">
        <v>2247</v>
      </c>
      <c r="G210" t="s">
        <v>2246</v>
      </c>
    </row>
    <row r="211" spans="1:7" x14ac:dyDescent="0.25">
      <c r="A211" s="16" t="str">
        <f>HYPERLINK("http://amigo.geneontology.org/amigo/term/GO:0009161","GO:0009161")</f>
        <v>GO:0009161</v>
      </c>
      <c r="B211" t="s">
        <v>1532</v>
      </c>
      <c r="C211">
        <v>0.04</v>
      </c>
      <c r="D211">
        <v>0.05</v>
      </c>
      <c r="E211">
        <v>84</v>
      </c>
      <c r="F211" t="s">
        <v>2245</v>
      </c>
      <c r="G211" t="s">
        <v>2243</v>
      </c>
    </row>
    <row r="212" spans="1:7" x14ac:dyDescent="0.25">
      <c r="A212" s="16" t="str">
        <f>HYPERLINK("http://amigo.geneontology.org/amigo/term/GO:0009156","GO:0009156")</f>
        <v>GO:0009156</v>
      </c>
      <c r="B212" t="s">
        <v>1533</v>
      </c>
      <c r="C212">
        <v>0.04</v>
      </c>
      <c r="D212">
        <v>0.05</v>
      </c>
      <c r="E212">
        <v>83</v>
      </c>
      <c r="F212" t="s">
        <v>2244</v>
      </c>
      <c r="G212" t="s">
        <v>2243</v>
      </c>
    </row>
    <row r="213" spans="1:7" x14ac:dyDescent="0.25">
      <c r="A213" s="16" t="str">
        <f>HYPERLINK("http://amigo.geneontology.org/amigo/term/GO:0009639","GO:0009639")</f>
        <v>GO:0009639</v>
      </c>
      <c r="B213" t="s">
        <v>1534</v>
      </c>
      <c r="C213">
        <v>0.04</v>
      </c>
      <c r="D213">
        <v>0.05</v>
      </c>
      <c r="E213">
        <v>86</v>
      </c>
      <c r="F213" t="s">
        <v>2242</v>
      </c>
      <c r="G213" t="s">
        <v>2241</v>
      </c>
    </row>
    <row r="214" spans="1:7" x14ac:dyDescent="0.25">
      <c r="A214" s="16" t="str">
        <f>HYPERLINK("http://amigo.geneontology.org/amigo/term/GO:0080148","GO:0080148")</f>
        <v>GO:0080148</v>
      </c>
      <c r="B214" t="s">
        <v>1535</v>
      </c>
      <c r="C214">
        <v>0.04</v>
      </c>
      <c r="D214">
        <v>0.05</v>
      </c>
      <c r="E214">
        <v>5</v>
      </c>
      <c r="F214" t="s">
        <v>1732</v>
      </c>
      <c r="G214" t="s">
        <v>2240</v>
      </c>
    </row>
    <row r="215" spans="1:7" x14ac:dyDescent="0.25">
      <c r="A215" s="16" t="str">
        <f>HYPERLINK("http://amigo.geneontology.org/amigo/term/GO:0015833","GO:0015833")</f>
        <v>GO:0015833</v>
      </c>
      <c r="B215" t="s">
        <v>1536</v>
      </c>
      <c r="C215">
        <v>0.05</v>
      </c>
      <c r="D215">
        <v>0.05</v>
      </c>
      <c r="E215">
        <v>88</v>
      </c>
      <c r="F215" t="s">
        <v>2239</v>
      </c>
      <c r="G215" t="s">
        <v>2238</v>
      </c>
    </row>
    <row r="216" spans="1:7" x14ac:dyDescent="0.25">
      <c r="A216" s="16" t="str">
        <f>HYPERLINK("http://amigo.geneontology.org/amigo/term/GO:0006857","GO:0006857")</f>
        <v>GO:0006857</v>
      </c>
      <c r="B216" t="s">
        <v>1537</v>
      </c>
      <c r="C216">
        <v>0.05</v>
      </c>
      <c r="D216">
        <v>0.05</v>
      </c>
      <c r="E216">
        <v>88</v>
      </c>
      <c r="F216" t="s">
        <v>2239</v>
      </c>
      <c r="G216" t="s">
        <v>2238</v>
      </c>
    </row>
    <row r="217" spans="1:7" x14ac:dyDescent="0.25">
      <c r="A217" s="16" t="str">
        <f>HYPERLINK("http://amigo.geneontology.org/amigo/term/GO:0009451","GO:0009451")</f>
        <v>GO:0009451</v>
      </c>
      <c r="B217" t="s">
        <v>1538</v>
      </c>
      <c r="C217">
        <v>0.05</v>
      </c>
      <c r="D217">
        <v>0.05</v>
      </c>
      <c r="E217">
        <v>355</v>
      </c>
      <c r="F217" t="s">
        <v>2237</v>
      </c>
      <c r="G217" t="s">
        <v>2236</v>
      </c>
    </row>
    <row r="218" spans="1:7" x14ac:dyDescent="0.25">
      <c r="A218" s="16" t="str">
        <f>HYPERLINK("http://amigo.geneontology.org/amigo/term/GO:0009408","GO:0009408")</f>
        <v>GO:0009408</v>
      </c>
      <c r="B218" t="s">
        <v>1539</v>
      </c>
      <c r="C218">
        <v>0.05</v>
      </c>
      <c r="D218">
        <v>0.05</v>
      </c>
      <c r="E218">
        <v>147</v>
      </c>
      <c r="F218" t="s">
        <v>2235</v>
      </c>
      <c r="G218" t="s">
        <v>2234</v>
      </c>
    </row>
    <row r="219" spans="1:7" x14ac:dyDescent="0.25">
      <c r="A219" s="16" t="str">
        <f>HYPERLINK("http://amigo.geneontology.org/amigo/term/GO:0009072","GO:0009072")</f>
        <v>GO:0009072</v>
      </c>
      <c r="B219" t="s">
        <v>429</v>
      </c>
      <c r="C219">
        <v>0.05</v>
      </c>
      <c r="D219">
        <v>0.05</v>
      </c>
      <c r="E219">
        <v>214</v>
      </c>
      <c r="F219" t="s">
        <v>2233</v>
      </c>
      <c r="G219" t="s">
        <v>2232</v>
      </c>
    </row>
    <row r="220" spans="1:7" x14ac:dyDescent="0.25">
      <c r="A220" s="16" t="str">
        <f>HYPERLINK("http://amigo.geneontology.org/amigo/term/GO:0000097","GO:0000097")</f>
        <v>GO:0000097</v>
      </c>
      <c r="B220" t="s">
        <v>1540</v>
      </c>
      <c r="C220">
        <v>0.05</v>
      </c>
      <c r="D220">
        <v>0.05</v>
      </c>
      <c r="E220">
        <v>90</v>
      </c>
      <c r="F220" t="s">
        <v>1752</v>
      </c>
      <c r="G220" t="s">
        <v>2231</v>
      </c>
    </row>
    <row r="221" spans="1:7" x14ac:dyDescent="0.25">
      <c r="A221" s="16" t="str">
        <f>HYPERLINK("http://amigo.geneontology.org/amigo/term/GO:0006415","GO:0006415")</f>
        <v>GO:0006415</v>
      </c>
      <c r="B221" t="s">
        <v>1541</v>
      </c>
      <c r="C221">
        <v>0.05</v>
      </c>
      <c r="D221">
        <v>0.05</v>
      </c>
      <c r="E221">
        <v>39</v>
      </c>
      <c r="F221" t="s">
        <v>1750</v>
      </c>
      <c r="G221" t="s">
        <v>2230</v>
      </c>
    </row>
    <row r="222" spans="1:7" x14ac:dyDescent="0.25">
      <c r="A222" s="16" t="str">
        <f>HYPERLINK("http://amigo.geneontology.org/amigo/term/GO:0034599","GO:0034599")</f>
        <v>GO:0034599</v>
      </c>
      <c r="B222" t="s">
        <v>152</v>
      </c>
      <c r="C222">
        <v>0.05</v>
      </c>
      <c r="D222">
        <v>0.05</v>
      </c>
      <c r="E222">
        <v>39</v>
      </c>
      <c r="F222" t="s">
        <v>1750</v>
      </c>
      <c r="G222" t="s">
        <v>2229</v>
      </c>
    </row>
    <row r="223" spans="1:7" x14ac:dyDescent="0.25">
      <c r="A223" s="16" t="str">
        <f>HYPERLINK("http://amigo.geneontology.org/amigo/term/GO:0045489","GO:0045489")</f>
        <v>GO:0045489</v>
      </c>
      <c r="B223" t="s">
        <v>1542</v>
      </c>
      <c r="C223">
        <v>0.05</v>
      </c>
      <c r="D223">
        <v>0.05</v>
      </c>
      <c r="E223">
        <v>39</v>
      </c>
      <c r="F223" t="s">
        <v>1750</v>
      </c>
      <c r="G223" t="s">
        <v>2228</v>
      </c>
    </row>
    <row r="224" spans="1:7" x14ac:dyDescent="0.25">
      <c r="A224" s="16" t="str">
        <f>HYPERLINK("http://amigo.geneontology.org/amigo/term/GO:0051049","GO:0051049")</f>
        <v>GO:0051049</v>
      </c>
      <c r="B224" t="s">
        <v>1333</v>
      </c>
      <c r="C224">
        <v>0.05</v>
      </c>
      <c r="D224">
        <v>0.05</v>
      </c>
      <c r="E224">
        <v>90</v>
      </c>
      <c r="F224" t="s">
        <v>1752</v>
      </c>
      <c r="G224" t="s">
        <v>2227</v>
      </c>
    </row>
    <row r="225" spans="1:7" x14ac:dyDescent="0.25">
      <c r="A225" s="16" t="str">
        <f>HYPERLINK("http://amigo.geneontology.org/amigo/term/GO:0046148","GO:0046148")</f>
        <v>GO:0046148</v>
      </c>
      <c r="B225" t="s">
        <v>1543</v>
      </c>
      <c r="C225">
        <v>0.05</v>
      </c>
      <c r="D225">
        <v>0.05</v>
      </c>
      <c r="E225">
        <v>148</v>
      </c>
      <c r="F225" t="s">
        <v>2226</v>
      </c>
      <c r="G225" t="s">
        <v>2225</v>
      </c>
    </row>
    <row r="226" spans="1:7" x14ac:dyDescent="0.25">
      <c r="A226" s="16" t="str">
        <f>HYPERLINK("http://amigo.geneontology.org/amigo/term/GO:0009845","GO:0009845")</f>
        <v>GO:0009845</v>
      </c>
      <c r="B226" t="s">
        <v>1544</v>
      </c>
      <c r="C226">
        <v>0.05</v>
      </c>
      <c r="D226">
        <v>0.05</v>
      </c>
      <c r="E226">
        <v>39</v>
      </c>
      <c r="F226" t="s">
        <v>1750</v>
      </c>
      <c r="G226" t="s">
        <v>2224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workbookViewId="0">
      <pane xSplit="2" ySplit="10" topLeftCell="C101" activePane="bottomRight" state="frozen"/>
      <selection pane="topRight" activeCell="C1" sqref="C1"/>
      <selection pane="bottomLeft" activeCell="A11" sqref="A11"/>
      <selection pane="bottomRight" activeCell="A11" sqref="A11:A127"/>
    </sheetView>
  </sheetViews>
  <sheetFormatPr defaultRowHeight="15" x14ac:dyDescent="0.25"/>
  <sheetData>
    <row r="1" spans="1:7" x14ac:dyDescent="0.25">
      <c r="A1" t="s">
        <v>0</v>
      </c>
      <c r="B1">
        <v>234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HYPERLINK("http://amigo.geneontology.org/amigo/term/GO:0110102","GO:0110102")</f>
        <v>GO:0110102</v>
      </c>
      <c r="B11" t="s">
        <v>1068</v>
      </c>
      <c r="C11" s="1">
        <v>9.5119999999999997E-5</v>
      </c>
      <c r="D11" s="1">
        <v>1.0280000000000001E-4</v>
      </c>
      <c r="E11">
        <v>5</v>
      </c>
      <c r="F11" t="s">
        <v>274</v>
      </c>
      <c r="G11" t="s">
        <v>2516</v>
      </c>
    </row>
    <row r="12" spans="1:7" x14ac:dyDescent="0.25">
      <c r="A12" s="16" t="str">
        <f>HYPERLINK("http://amigo.geneontology.org/amigo/term/GO:0006575","GO:0006575")</f>
        <v>GO:0006575</v>
      </c>
      <c r="B12" t="s">
        <v>23</v>
      </c>
      <c r="C12" s="1">
        <v>1.133E-4</v>
      </c>
      <c r="D12" s="1">
        <v>1.2239999999999999E-4</v>
      </c>
      <c r="E12">
        <v>464</v>
      </c>
      <c r="F12" t="s">
        <v>2559</v>
      </c>
      <c r="G12" t="s">
        <v>2558</v>
      </c>
    </row>
    <row r="13" spans="1:7" x14ac:dyDescent="0.25">
      <c r="A13" s="16" t="str">
        <f>HYPERLINK("http://amigo.geneontology.org/amigo/term/GO:0043289","GO:0043289")</f>
        <v>GO:0043289</v>
      </c>
      <c r="B13" t="s">
        <v>1069</v>
      </c>
      <c r="C13" s="1">
        <v>1.4239999999999999E-4</v>
      </c>
      <c r="D13" s="1">
        <v>1.539E-4</v>
      </c>
      <c r="E13">
        <v>6</v>
      </c>
      <c r="F13" t="s">
        <v>324</v>
      </c>
      <c r="G13" t="s">
        <v>2504</v>
      </c>
    </row>
    <row r="14" spans="1:7" x14ac:dyDescent="0.25">
      <c r="A14" s="16" t="str">
        <f>HYPERLINK("http://amigo.geneontology.org/amigo/term/GO:1902645","GO:1902645")</f>
        <v>GO:1902645</v>
      </c>
      <c r="B14" t="s">
        <v>1070</v>
      </c>
      <c r="C14" s="1">
        <v>1.4239999999999999E-4</v>
      </c>
      <c r="D14" s="1">
        <v>1.539E-4</v>
      </c>
      <c r="E14">
        <v>6</v>
      </c>
      <c r="F14" t="s">
        <v>324</v>
      </c>
      <c r="G14" t="s">
        <v>2504</v>
      </c>
    </row>
    <row r="15" spans="1:7" x14ac:dyDescent="0.25">
      <c r="A15" s="16" t="str">
        <f>HYPERLINK("http://amigo.geneontology.org/amigo/term/GO:0009688","GO:0009688")</f>
        <v>GO:0009688</v>
      </c>
      <c r="B15" t="s">
        <v>1071</v>
      </c>
      <c r="C15" s="1">
        <v>1.4239999999999999E-4</v>
      </c>
      <c r="D15" s="1">
        <v>1.539E-4</v>
      </c>
      <c r="E15">
        <v>6</v>
      </c>
      <c r="F15" t="s">
        <v>324</v>
      </c>
      <c r="G15" t="s">
        <v>2504</v>
      </c>
    </row>
    <row r="16" spans="1:7" x14ac:dyDescent="0.25">
      <c r="A16" s="16" t="str">
        <f>HYPERLINK("http://amigo.geneontology.org/amigo/term/GO:0009439","GO:0009439")</f>
        <v>GO:0009439</v>
      </c>
      <c r="B16" t="s">
        <v>1072</v>
      </c>
      <c r="C16" s="1">
        <v>1.4239999999999999E-4</v>
      </c>
      <c r="D16" s="1">
        <v>1.539E-4</v>
      </c>
      <c r="E16">
        <v>6</v>
      </c>
      <c r="F16" t="s">
        <v>324</v>
      </c>
      <c r="G16" t="s">
        <v>2557</v>
      </c>
    </row>
    <row r="17" spans="1:7" x14ac:dyDescent="0.25">
      <c r="A17" s="16" t="str">
        <f>HYPERLINK("http://amigo.geneontology.org/amigo/term/GO:0006749","GO:0006749")</f>
        <v>GO:0006749</v>
      </c>
      <c r="B17" t="s">
        <v>48</v>
      </c>
      <c r="C17" s="1">
        <v>2.7310000000000002E-4</v>
      </c>
      <c r="D17" s="1">
        <v>2.9500000000000001E-4</v>
      </c>
      <c r="E17">
        <v>399</v>
      </c>
      <c r="F17" t="s">
        <v>2556</v>
      </c>
      <c r="G17" t="s">
        <v>2555</v>
      </c>
    </row>
    <row r="18" spans="1:7" x14ac:dyDescent="0.25">
      <c r="A18" s="16" t="str">
        <f>HYPERLINK("http://amigo.geneontology.org/amigo/term/GO:0043288","GO:0043288")</f>
        <v>GO:0043288</v>
      </c>
      <c r="B18" t="s">
        <v>873</v>
      </c>
      <c r="C18" s="1">
        <v>3.3960000000000001E-4</v>
      </c>
      <c r="D18" s="1">
        <v>3.6680000000000003E-4</v>
      </c>
      <c r="E18">
        <v>9</v>
      </c>
      <c r="F18" t="s">
        <v>392</v>
      </c>
      <c r="G18" t="s">
        <v>2504</v>
      </c>
    </row>
    <row r="19" spans="1:7" x14ac:dyDescent="0.25">
      <c r="A19" s="16" t="str">
        <f>HYPERLINK("http://amigo.geneontology.org/amigo/term/GO:1902644","GO:1902644")</f>
        <v>GO:1902644</v>
      </c>
      <c r="B19" t="s">
        <v>874</v>
      </c>
      <c r="C19" s="1">
        <v>3.3960000000000001E-4</v>
      </c>
      <c r="D19" s="1">
        <v>3.6680000000000003E-4</v>
      </c>
      <c r="E19">
        <v>9</v>
      </c>
      <c r="F19" t="s">
        <v>392</v>
      </c>
      <c r="G19" t="s">
        <v>2504</v>
      </c>
    </row>
    <row r="20" spans="1:7" x14ac:dyDescent="0.25">
      <c r="A20" s="16" t="str">
        <f>HYPERLINK("http://amigo.geneontology.org/amigo/term/GO:0009687","GO:0009687")</f>
        <v>GO:0009687</v>
      </c>
      <c r="B20" t="s">
        <v>875</v>
      </c>
      <c r="C20" s="1">
        <v>3.3960000000000001E-4</v>
      </c>
      <c r="D20" s="1">
        <v>3.6680000000000003E-4</v>
      </c>
      <c r="E20">
        <v>9</v>
      </c>
      <c r="F20" t="s">
        <v>392</v>
      </c>
      <c r="G20" t="s">
        <v>2504</v>
      </c>
    </row>
    <row r="21" spans="1:7" x14ac:dyDescent="0.25">
      <c r="A21" s="16" t="str">
        <f>HYPERLINK("http://amigo.geneontology.org/amigo/term/GO:0006790","GO:0006790")</f>
        <v>GO:0006790</v>
      </c>
      <c r="B21" t="s">
        <v>103</v>
      </c>
      <c r="C21" s="1">
        <v>7.4430000000000004E-4</v>
      </c>
      <c r="D21" s="1">
        <v>8.0369999999999997E-4</v>
      </c>
      <c r="E21">
        <v>770</v>
      </c>
      <c r="F21" t="s">
        <v>2554</v>
      </c>
      <c r="G21" t="s">
        <v>2553</v>
      </c>
    </row>
    <row r="22" spans="1:7" x14ac:dyDescent="0.25">
      <c r="A22" s="16" t="str">
        <f>HYPERLINK("http://amigo.geneontology.org/amigo/term/GO:0006351","GO:0006351")</f>
        <v>GO:0006351</v>
      </c>
      <c r="B22" t="s">
        <v>1073</v>
      </c>
      <c r="C22" s="1">
        <v>8.6790000000000001E-4</v>
      </c>
      <c r="D22" s="1">
        <v>9.3700000000000001E-4</v>
      </c>
      <c r="E22">
        <v>1683</v>
      </c>
      <c r="F22" t="s">
        <v>2552</v>
      </c>
      <c r="G22" t="s">
        <v>2525</v>
      </c>
    </row>
    <row r="23" spans="1:7" x14ac:dyDescent="0.25">
      <c r="A23" s="16" t="str">
        <f>HYPERLINK("http://amigo.geneontology.org/amigo/term/GO:0097659","GO:0097659")</f>
        <v>GO:0097659</v>
      </c>
      <c r="B23" t="s">
        <v>1074</v>
      </c>
      <c r="C23" s="1">
        <v>8.7779999999999998E-4</v>
      </c>
      <c r="D23" s="1">
        <v>9.4740000000000004E-4</v>
      </c>
      <c r="E23">
        <v>1685</v>
      </c>
      <c r="F23" t="s">
        <v>2552</v>
      </c>
      <c r="G23" t="s">
        <v>2525</v>
      </c>
    </row>
    <row r="24" spans="1:7" x14ac:dyDescent="0.25">
      <c r="A24" s="16" t="str">
        <f>HYPERLINK("http://amigo.geneontology.org/amigo/term/GO:0032774","GO:0032774")</f>
        <v>GO:0032774</v>
      </c>
      <c r="B24" t="s">
        <v>1075</v>
      </c>
      <c r="C24" s="1">
        <v>9.1299999999999997E-4</v>
      </c>
      <c r="D24" s="1">
        <v>9.8520000000000009E-4</v>
      </c>
      <c r="E24">
        <v>1692</v>
      </c>
      <c r="F24" t="s">
        <v>2552</v>
      </c>
      <c r="G24" t="s">
        <v>2525</v>
      </c>
    </row>
    <row r="25" spans="1:7" x14ac:dyDescent="0.25">
      <c r="A25" s="16" t="str">
        <f>HYPERLINK("http://amigo.geneontology.org/amigo/term/GO:0045944","GO:0045944")</f>
        <v>GO:0045944</v>
      </c>
      <c r="B25" t="s">
        <v>1076</v>
      </c>
      <c r="C25" s="1">
        <v>1.5479999999999999E-3</v>
      </c>
      <c r="D25" s="1">
        <v>1.67E-3</v>
      </c>
      <c r="E25">
        <v>267</v>
      </c>
      <c r="F25" t="s">
        <v>2551</v>
      </c>
      <c r="G25" t="s">
        <v>2472</v>
      </c>
    </row>
    <row r="26" spans="1:7" x14ac:dyDescent="0.25">
      <c r="A26" s="16" t="str">
        <f>HYPERLINK("http://amigo.geneontology.org/amigo/term/GO:0016106","GO:0016106")</f>
        <v>GO:0016106</v>
      </c>
      <c r="B26" t="s">
        <v>1077</v>
      </c>
      <c r="C26" s="1">
        <v>1.5809999999999999E-3</v>
      </c>
      <c r="D26" s="1">
        <v>1.7049999999999999E-3</v>
      </c>
      <c r="E26">
        <v>19</v>
      </c>
      <c r="F26" t="s">
        <v>593</v>
      </c>
      <c r="G26" t="s">
        <v>2504</v>
      </c>
    </row>
    <row r="27" spans="1:7" x14ac:dyDescent="0.25">
      <c r="A27" s="16" t="str">
        <f>HYPERLINK("http://amigo.geneontology.org/amigo/term/GO:0006796","GO:0006796")</f>
        <v>GO:0006796</v>
      </c>
      <c r="B27" t="s">
        <v>716</v>
      </c>
      <c r="C27" s="1">
        <v>1.7769999999999999E-3</v>
      </c>
      <c r="D27" s="1">
        <v>1.916E-3</v>
      </c>
      <c r="E27">
        <v>6989</v>
      </c>
      <c r="F27" t="s">
        <v>2550</v>
      </c>
      <c r="G27" t="s">
        <v>2548</v>
      </c>
    </row>
    <row r="28" spans="1:7" x14ac:dyDescent="0.25">
      <c r="A28" s="16" t="str">
        <f>HYPERLINK("http://amigo.geneontology.org/amigo/term/GO:0006793","GO:0006793")</f>
        <v>GO:0006793</v>
      </c>
      <c r="B28" t="s">
        <v>717</v>
      </c>
      <c r="C28" s="1">
        <v>1.8699999999999999E-3</v>
      </c>
      <c r="D28" s="1">
        <v>2.016E-3</v>
      </c>
      <c r="E28">
        <v>7010</v>
      </c>
      <c r="F28" t="s">
        <v>2549</v>
      </c>
      <c r="G28" t="s">
        <v>2548</v>
      </c>
    </row>
    <row r="29" spans="1:7" x14ac:dyDescent="0.25">
      <c r="A29" s="16" t="str">
        <f>HYPERLINK("http://amigo.geneontology.org/amigo/term/GO:0006357","GO:0006357")</f>
        <v>GO:0006357</v>
      </c>
      <c r="B29" t="s">
        <v>1078</v>
      </c>
      <c r="C29" s="1">
        <v>2.019E-3</v>
      </c>
      <c r="D29" s="1">
        <v>2.1770000000000001E-3</v>
      </c>
      <c r="E29">
        <v>563</v>
      </c>
      <c r="F29" t="s">
        <v>2547</v>
      </c>
      <c r="G29" t="s">
        <v>2546</v>
      </c>
    </row>
    <row r="30" spans="1:7" x14ac:dyDescent="0.25">
      <c r="A30" s="16" t="str">
        <f>HYPERLINK("http://amigo.geneontology.org/amigo/term/GO:0006714","GO:0006714")</f>
        <v>GO:0006714</v>
      </c>
      <c r="B30" t="s">
        <v>987</v>
      </c>
      <c r="C30" s="1">
        <v>2.1220000000000002E-3</v>
      </c>
      <c r="D30" s="1">
        <v>2.287E-3</v>
      </c>
      <c r="E30">
        <v>22</v>
      </c>
      <c r="F30" t="s">
        <v>650</v>
      </c>
      <c r="G30" t="s">
        <v>2504</v>
      </c>
    </row>
    <row r="31" spans="1:7" x14ac:dyDescent="0.25">
      <c r="A31" s="16" t="str">
        <f>HYPERLINK("http://amigo.geneontology.org/amigo/term/GO:0006721","GO:0006721")</f>
        <v>GO:0006721</v>
      </c>
      <c r="B31" t="s">
        <v>1079</v>
      </c>
      <c r="C31" s="1">
        <v>2.1549999999999998E-3</v>
      </c>
      <c r="D31" s="1">
        <v>2.3219999999999998E-3</v>
      </c>
      <c r="E31">
        <v>173</v>
      </c>
      <c r="F31" t="s">
        <v>2545</v>
      </c>
      <c r="G31" t="s">
        <v>2533</v>
      </c>
    </row>
    <row r="32" spans="1:7" x14ac:dyDescent="0.25">
      <c r="A32" s="16" t="str">
        <f>HYPERLINK("http://amigo.geneontology.org/amigo/term/GO:0018130","GO:0018130")</f>
        <v>GO:0018130</v>
      </c>
      <c r="B32" t="s">
        <v>1080</v>
      </c>
      <c r="C32" s="1">
        <v>4.1460000000000004E-3</v>
      </c>
      <c r="D32" s="1">
        <v>4.4660000000000004E-3</v>
      </c>
      <c r="E32">
        <v>2659</v>
      </c>
      <c r="F32" t="s">
        <v>2544</v>
      </c>
      <c r="G32" t="s">
        <v>2536</v>
      </c>
    </row>
    <row r="33" spans="1:7" x14ac:dyDescent="0.25">
      <c r="A33" s="16" t="str">
        <f>HYPERLINK("http://amigo.geneontology.org/amigo/term/GO:0016101","GO:0016101")</f>
        <v>GO:0016101</v>
      </c>
      <c r="B33" t="s">
        <v>1081</v>
      </c>
      <c r="C33" s="1">
        <v>6.2509999999999996E-3</v>
      </c>
      <c r="D33" s="1">
        <v>6.7320000000000001E-3</v>
      </c>
      <c r="E33">
        <v>38</v>
      </c>
      <c r="F33" t="s">
        <v>1759</v>
      </c>
      <c r="G33" t="s">
        <v>2543</v>
      </c>
    </row>
    <row r="34" spans="1:7" x14ac:dyDescent="0.25">
      <c r="A34" s="16" t="str">
        <f>HYPERLINK("http://amigo.geneontology.org/amigo/term/GO:0061077","GO:0061077")</f>
        <v>GO:0061077</v>
      </c>
      <c r="B34" t="s">
        <v>1082</v>
      </c>
      <c r="C34" s="1">
        <v>6.2509999999999996E-3</v>
      </c>
      <c r="D34" s="1">
        <v>6.7320000000000001E-3</v>
      </c>
      <c r="E34">
        <v>38</v>
      </c>
      <c r="F34" t="s">
        <v>1759</v>
      </c>
      <c r="G34" t="s">
        <v>2516</v>
      </c>
    </row>
    <row r="35" spans="1:7" x14ac:dyDescent="0.25">
      <c r="A35" s="16" t="str">
        <f>HYPERLINK("http://amigo.geneontology.org/amigo/term/GO:0044255","GO:0044255")</f>
        <v>GO:0044255</v>
      </c>
      <c r="B35" t="s">
        <v>1083</v>
      </c>
      <c r="C35" s="1">
        <v>7.1659999999999996E-3</v>
      </c>
      <c r="D35" s="1">
        <v>7.7149999999999996E-3</v>
      </c>
      <c r="E35">
        <v>1282</v>
      </c>
      <c r="F35" t="s">
        <v>2542</v>
      </c>
      <c r="G35" t="s">
        <v>2541</v>
      </c>
    </row>
    <row r="36" spans="1:7" x14ac:dyDescent="0.25">
      <c r="A36" s="16" t="str">
        <f>HYPERLINK("http://amigo.geneontology.org/amigo/term/GO:0120255","GO:0120255")</f>
        <v>GO:0120255</v>
      </c>
      <c r="B36" t="s">
        <v>921</v>
      </c>
      <c r="C36" s="1">
        <v>7.9489999999999995E-3</v>
      </c>
      <c r="D36" s="1">
        <v>8.5559999999999994E-3</v>
      </c>
      <c r="E36">
        <v>43</v>
      </c>
      <c r="F36" t="s">
        <v>2540</v>
      </c>
      <c r="G36" t="s">
        <v>2504</v>
      </c>
    </row>
    <row r="37" spans="1:7" x14ac:dyDescent="0.25">
      <c r="A37" s="16" t="str">
        <f>HYPERLINK("http://amigo.geneontology.org/amigo/term/GO:0016310","GO:0016310")</f>
        <v>GO:0016310</v>
      </c>
      <c r="B37" t="s">
        <v>713</v>
      </c>
      <c r="C37" s="1">
        <v>8.1370000000000001E-3</v>
      </c>
      <c r="D37" s="1">
        <v>8.7559999999999999E-3</v>
      </c>
      <c r="E37">
        <v>5575</v>
      </c>
      <c r="F37" t="s">
        <v>2539</v>
      </c>
      <c r="G37" t="s">
        <v>2538</v>
      </c>
    </row>
    <row r="38" spans="1:7" x14ac:dyDescent="0.25">
      <c r="A38" s="16" t="str">
        <f>HYPERLINK("http://amigo.geneontology.org/amigo/term/GO:1901362","GO:1901362")</f>
        <v>GO:1901362</v>
      </c>
      <c r="B38" t="s">
        <v>616</v>
      </c>
      <c r="C38" s="1">
        <v>8.7980000000000003E-3</v>
      </c>
      <c r="D38" s="1">
        <v>9.4660000000000005E-3</v>
      </c>
      <c r="E38">
        <v>2877</v>
      </c>
      <c r="F38" t="s">
        <v>2537</v>
      </c>
      <c r="G38" t="s">
        <v>2536</v>
      </c>
    </row>
    <row r="39" spans="1:7" x14ac:dyDescent="0.25">
      <c r="A39" s="16" t="str">
        <f>HYPERLINK("http://amigo.geneontology.org/amigo/term/GO:0120254","GO:0120254")</f>
        <v>GO:0120254</v>
      </c>
      <c r="B39" t="s">
        <v>768</v>
      </c>
      <c r="C39" s="1">
        <v>9.0550000000000005E-3</v>
      </c>
      <c r="D39" s="1">
        <v>9.7409999999999997E-3</v>
      </c>
      <c r="E39">
        <v>46</v>
      </c>
      <c r="F39" t="s">
        <v>2535</v>
      </c>
      <c r="G39" t="s">
        <v>2504</v>
      </c>
    </row>
    <row r="40" spans="1:7" x14ac:dyDescent="0.25">
      <c r="A40" s="16" t="str">
        <f>HYPERLINK("http://amigo.geneontology.org/amigo/term/GO:0006720","GO:0006720")</f>
        <v>GO:0006720</v>
      </c>
      <c r="B40" t="s">
        <v>675</v>
      </c>
      <c r="C40" s="1">
        <v>9.1549999999999999E-3</v>
      </c>
      <c r="D40" s="1">
        <v>9.8460000000000006E-3</v>
      </c>
      <c r="E40">
        <v>261</v>
      </c>
      <c r="F40" t="s">
        <v>2534</v>
      </c>
      <c r="G40" t="s">
        <v>2533</v>
      </c>
    </row>
    <row r="41" spans="1:7" x14ac:dyDescent="0.25">
      <c r="A41" s="16" t="str">
        <f>HYPERLINK("http://amigo.geneontology.org/amigo/term/GO:0006593","GO:0006593")</f>
        <v>GO:0006593</v>
      </c>
      <c r="B41" t="s">
        <v>1084</v>
      </c>
      <c r="C41" s="1">
        <v>9.2720000000000007E-3</v>
      </c>
      <c r="D41" s="1">
        <v>9.9699999999999997E-3</v>
      </c>
      <c r="E41">
        <v>3</v>
      </c>
      <c r="F41" t="s">
        <v>603</v>
      </c>
      <c r="G41" t="s">
        <v>2454</v>
      </c>
    </row>
    <row r="42" spans="1:7" x14ac:dyDescent="0.25">
      <c r="A42" s="16" t="str">
        <f>HYPERLINK("http://amigo.geneontology.org/amigo/term/GO:0009413","GO:0009413")</f>
        <v>GO:0009413</v>
      </c>
      <c r="B42" t="s">
        <v>1085</v>
      </c>
      <c r="C42" s="1">
        <v>9.2720000000000007E-3</v>
      </c>
      <c r="D42" s="1">
        <v>9.9699999999999997E-3</v>
      </c>
      <c r="E42">
        <v>3</v>
      </c>
      <c r="F42" t="s">
        <v>603</v>
      </c>
      <c r="G42" t="s">
        <v>2454</v>
      </c>
    </row>
    <row r="43" spans="1:7" x14ac:dyDescent="0.25">
      <c r="A43" s="16" t="str">
        <f>HYPERLINK("http://amigo.geneontology.org/amigo/term/GO:0019544","GO:0019544")</f>
        <v>GO:0019544</v>
      </c>
      <c r="B43" t="s">
        <v>1086</v>
      </c>
      <c r="C43" s="1">
        <v>9.2720000000000007E-3</v>
      </c>
      <c r="D43" s="1">
        <v>9.9699999999999997E-3</v>
      </c>
      <c r="E43">
        <v>3</v>
      </c>
      <c r="F43" t="s">
        <v>603</v>
      </c>
      <c r="G43" t="s">
        <v>2454</v>
      </c>
    </row>
    <row r="44" spans="1:7" x14ac:dyDescent="0.25">
      <c r="A44" s="16" t="str">
        <f>HYPERLINK("http://amigo.geneontology.org/amigo/term/GO:0006468","GO:0006468")</f>
        <v>GO:0006468</v>
      </c>
      <c r="B44" t="s">
        <v>712</v>
      </c>
      <c r="C44">
        <v>0.01</v>
      </c>
      <c r="D44">
        <v>0.01</v>
      </c>
      <c r="E44">
        <v>5255</v>
      </c>
      <c r="F44" t="s">
        <v>2532</v>
      </c>
      <c r="G44" t="s">
        <v>2531</v>
      </c>
    </row>
    <row r="45" spans="1:7" x14ac:dyDescent="0.25">
      <c r="A45" s="16" t="str">
        <f>HYPERLINK("http://amigo.geneontology.org/amigo/term/GO:2001141","GO:2001141")</f>
        <v>GO:2001141</v>
      </c>
      <c r="B45" t="s">
        <v>812</v>
      </c>
      <c r="C45">
        <v>0.01</v>
      </c>
      <c r="D45">
        <v>0.02</v>
      </c>
      <c r="E45">
        <v>4290</v>
      </c>
      <c r="F45" t="s">
        <v>2530</v>
      </c>
      <c r="G45" t="s">
        <v>2493</v>
      </c>
    </row>
    <row r="46" spans="1:7" x14ac:dyDescent="0.25">
      <c r="A46" s="16" t="str">
        <f>HYPERLINK("http://amigo.geneontology.org/amigo/term/GO:1903506","GO:1903506")</f>
        <v>GO:1903506</v>
      </c>
      <c r="B46" t="s">
        <v>813</v>
      </c>
      <c r="C46">
        <v>0.01</v>
      </c>
      <c r="D46">
        <v>0.02</v>
      </c>
      <c r="E46">
        <v>4290</v>
      </c>
      <c r="F46" t="s">
        <v>2530</v>
      </c>
      <c r="G46" t="s">
        <v>2493</v>
      </c>
    </row>
    <row r="47" spans="1:7" x14ac:dyDescent="0.25">
      <c r="A47" s="16" t="str">
        <f>HYPERLINK("http://amigo.geneontology.org/amigo/term/GO:0006355","GO:0006355")</f>
        <v>GO:0006355</v>
      </c>
      <c r="B47" t="s">
        <v>811</v>
      </c>
      <c r="C47">
        <v>0.01</v>
      </c>
      <c r="D47">
        <v>0.02</v>
      </c>
      <c r="E47">
        <v>4287</v>
      </c>
      <c r="F47" t="s">
        <v>2530</v>
      </c>
      <c r="G47" t="s">
        <v>2493</v>
      </c>
    </row>
    <row r="48" spans="1:7" x14ac:dyDescent="0.25">
      <c r="A48" s="16" t="str">
        <f>HYPERLINK("http://amigo.geneontology.org/amigo/term/GO:1901700","GO:1901700")</f>
        <v>GO:1901700</v>
      </c>
      <c r="B48" t="s">
        <v>183</v>
      </c>
      <c r="C48">
        <v>0.01</v>
      </c>
      <c r="D48">
        <v>0.02</v>
      </c>
      <c r="E48">
        <v>819</v>
      </c>
      <c r="F48" t="s">
        <v>2529</v>
      </c>
      <c r="G48" t="s">
        <v>2528</v>
      </c>
    </row>
    <row r="49" spans="1:7" x14ac:dyDescent="0.25">
      <c r="A49" s="16" t="str">
        <f>HYPERLINK("http://amigo.geneontology.org/amigo/term/GO:0009741","GO:0009741")</f>
        <v>GO:0009741</v>
      </c>
      <c r="B49" t="s">
        <v>967</v>
      </c>
      <c r="C49">
        <v>0.01</v>
      </c>
      <c r="D49">
        <v>0.02</v>
      </c>
      <c r="E49">
        <v>58</v>
      </c>
      <c r="F49" t="s">
        <v>1711</v>
      </c>
      <c r="G49" t="s">
        <v>2527</v>
      </c>
    </row>
    <row r="50" spans="1:7" x14ac:dyDescent="0.25">
      <c r="A50" s="16" t="str">
        <f>HYPERLINK("http://amigo.geneontology.org/amigo/term/GO:0034654","GO:0034654")</f>
        <v>GO:0034654</v>
      </c>
      <c r="B50" t="s">
        <v>1087</v>
      </c>
      <c r="C50">
        <v>0.01</v>
      </c>
      <c r="D50">
        <v>0.01</v>
      </c>
      <c r="E50">
        <v>2248</v>
      </c>
      <c r="F50" t="s">
        <v>2526</v>
      </c>
      <c r="G50" t="s">
        <v>2525</v>
      </c>
    </row>
    <row r="51" spans="1:7" x14ac:dyDescent="0.25">
      <c r="A51" s="16" t="str">
        <f>HYPERLINK("http://amigo.geneontology.org/amigo/term/GO:0006629","GO:0006629")</f>
        <v>GO:0006629</v>
      </c>
      <c r="B51" t="s">
        <v>685</v>
      </c>
      <c r="C51">
        <v>0.01</v>
      </c>
      <c r="D51">
        <v>0.01</v>
      </c>
      <c r="E51">
        <v>2008</v>
      </c>
      <c r="F51" t="s">
        <v>2524</v>
      </c>
      <c r="G51" t="s">
        <v>2523</v>
      </c>
    </row>
    <row r="52" spans="1:7" x14ac:dyDescent="0.25">
      <c r="A52" s="16" t="str">
        <f>HYPERLINK("http://amigo.geneontology.org/amigo/term/GO:1902680","GO:1902680")</f>
        <v>GO:1902680</v>
      </c>
      <c r="B52" t="s">
        <v>1088</v>
      </c>
      <c r="C52">
        <v>0.01</v>
      </c>
      <c r="D52">
        <v>0.01</v>
      </c>
      <c r="E52">
        <v>432</v>
      </c>
      <c r="F52" t="s">
        <v>2522</v>
      </c>
      <c r="G52" t="s">
        <v>2472</v>
      </c>
    </row>
    <row r="53" spans="1:7" x14ac:dyDescent="0.25">
      <c r="A53" s="16" t="str">
        <f>HYPERLINK("http://amigo.geneontology.org/amigo/term/GO:1903508","GO:1903508")</f>
        <v>GO:1903508</v>
      </c>
      <c r="B53" t="s">
        <v>1089</v>
      </c>
      <c r="C53">
        <v>0.01</v>
      </c>
      <c r="D53">
        <v>0.01</v>
      </c>
      <c r="E53">
        <v>432</v>
      </c>
      <c r="F53" t="s">
        <v>2522</v>
      </c>
      <c r="G53" t="s">
        <v>2472</v>
      </c>
    </row>
    <row r="54" spans="1:7" x14ac:dyDescent="0.25">
      <c r="A54" s="16" t="str">
        <f>HYPERLINK("http://amigo.geneontology.org/amigo/term/GO:0045893","GO:0045893")</f>
        <v>GO:0045893</v>
      </c>
      <c r="B54" t="s">
        <v>1090</v>
      </c>
      <c r="C54">
        <v>0.01</v>
      </c>
      <c r="D54">
        <v>0.01</v>
      </c>
      <c r="E54">
        <v>432</v>
      </c>
      <c r="F54" t="s">
        <v>2522</v>
      </c>
      <c r="G54" t="s">
        <v>2472</v>
      </c>
    </row>
    <row r="55" spans="1:7" x14ac:dyDescent="0.25">
      <c r="A55" s="16" t="str">
        <f>HYPERLINK("http://amigo.geneontology.org/amigo/term/GO:0006066","GO:0006066")</f>
        <v>GO:0006066</v>
      </c>
      <c r="B55" t="s">
        <v>1091</v>
      </c>
      <c r="C55">
        <v>0.01</v>
      </c>
      <c r="D55">
        <v>0.01</v>
      </c>
      <c r="E55">
        <v>159</v>
      </c>
      <c r="F55" t="s">
        <v>2521</v>
      </c>
      <c r="G55" t="s">
        <v>2520</v>
      </c>
    </row>
    <row r="56" spans="1:7" x14ac:dyDescent="0.25">
      <c r="A56" s="16" t="str">
        <f>HYPERLINK("http://amigo.geneontology.org/amigo/term/GO:0016114","GO:0016114")</f>
        <v>GO:0016114</v>
      </c>
      <c r="B56" t="s">
        <v>1092</v>
      </c>
      <c r="C56">
        <v>0.01</v>
      </c>
      <c r="D56">
        <v>0.01</v>
      </c>
      <c r="E56">
        <v>147</v>
      </c>
      <c r="F56" t="s">
        <v>2519</v>
      </c>
      <c r="G56" t="s">
        <v>2489</v>
      </c>
    </row>
    <row r="57" spans="1:7" x14ac:dyDescent="0.25">
      <c r="A57" s="16" t="str">
        <f>HYPERLINK("http://amigo.geneontology.org/amigo/term/GO:0009448","GO:0009448")</f>
        <v>GO:0009448</v>
      </c>
      <c r="B57" t="s">
        <v>1093</v>
      </c>
      <c r="C57">
        <v>0.01</v>
      </c>
      <c r="D57">
        <v>0.01</v>
      </c>
      <c r="E57">
        <v>4</v>
      </c>
      <c r="F57" t="s">
        <v>1760</v>
      </c>
      <c r="G57" t="s">
        <v>2503</v>
      </c>
    </row>
    <row r="58" spans="1:7" x14ac:dyDescent="0.25">
      <c r="A58" s="16" t="str">
        <f>HYPERLINK("http://amigo.geneontology.org/amigo/term/GO:0006285","GO:0006285")</f>
        <v>GO:0006285</v>
      </c>
      <c r="B58" t="s">
        <v>1094</v>
      </c>
      <c r="C58">
        <v>0.01</v>
      </c>
      <c r="D58">
        <v>0.01</v>
      </c>
      <c r="E58">
        <v>4</v>
      </c>
      <c r="F58" t="s">
        <v>1760</v>
      </c>
      <c r="G58" t="s">
        <v>2518</v>
      </c>
    </row>
    <row r="59" spans="1:7" x14ac:dyDescent="0.25">
      <c r="A59" s="16" t="str">
        <f>HYPERLINK("http://amigo.geneontology.org/amigo/term/GO:0015977","GO:0015977")</f>
        <v>GO:0015977</v>
      </c>
      <c r="B59" t="s">
        <v>1095</v>
      </c>
      <c r="C59">
        <v>0.01</v>
      </c>
      <c r="D59">
        <v>0.01</v>
      </c>
      <c r="E59">
        <v>51</v>
      </c>
      <c r="F59" t="s">
        <v>2517</v>
      </c>
      <c r="G59" t="s">
        <v>2516</v>
      </c>
    </row>
    <row r="60" spans="1:7" x14ac:dyDescent="0.25">
      <c r="A60" s="16" t="str">
        <f>HYPERLINK("http://amigo.geneontology.org/amigo/term/GO:0044237","GO:0044237")</f>
        <v>GO:0044237</v>
      </c>
      <c r="B60" t="s">
        <v>806</v>
      </c>
      <c r="C60">
        <v>0.02</v>
      </c>
      <c r="D60">
        <v>0.02</v>
      </c>
      <c r="E60">
        <v>20463</v>
      </c>
      <c r="F60" t="s">
        <v>2515</v>
      </c>
      <c r="G60" t="s">
        <v>2514</v>
      </c>
    </row>
    <row r="61" spans="1:7" x14ac:dyDescent="0.25">
      <c r="A61" s="16" t="str">
        <f>HYPERLINK("http://amigo.geneontology.org/amigo/term/GO:0019219","GO:0019219")</f>
        <v>GO:0019219</v>
      </c>
      <c r="B61" t="s">
        <v>821</v>
      </c>
      <c r="C61">
        <v>0.02</v>
      </c>
      <c r="D61">
        <v>0.02</v>
      </c>
      <c r="E61">
        <v>4433</v>
      </c>
      <c r="F61" t="s">
        <v>2513</v>
      </c>
      <c r="G61" t="s">
        <v>2493</v>
      </c>
    </row>
    <row r="62" spans="1:7" x14ac:dyDescent="0.25">
      <c r="A62" s="16" t="str">
        <f>HYPERLINK("http://amigo.geneontology.org/amigo/term/GO:0051252","GO:0051252")</f>
        <v>GO:0051252</v>
      </c>
      <c r="B62" t="s">
        <v>816</v>
      </c>
      <c r="C62">
        <v>0.02</v>
      </c>
      <c r="D62">
        <v>0.02</v>
      </c>
      <c r="E62">
        <v>4387</v>
      </c>
      <c r="F62" t="s">
        <v>2513</v>
      </c>
      <c r="G62" t="s">
        <v>2493</v>
      </c>
    </row>
    <row r="63" spans="1:7" x14ac:dyDescent="0.25">
      <c r="A63" s="16" t="str">
        <f>HYPERLINK("http://amigo.geneontology.org/amigo/term/GO:0019438","GO:0019438")</f>
        <v>GO:0019438</v>
      </c>
      <c r="B63" t="s">
        <v>613</v>
      </c>
      <c r="C63">
        <v>0.02</v>
      </c>
      <c r="D63">
        <v>0.02</v>
      </c>
      <c r="E63">
        <v>2655</v>
      </c>
      <c r="F63" t="s">
        <v>2512</v>
      </c>
      <c r="G63" t="s">
        <v>2511</v>
      </c>
    </row>
    <row r="64" spans="1:7" x14ac:dyDescent="0.25">
      <c r="A64" s="16" t="str">
        <f>HYPERLINK("http://amigo.geneontology.org/amigo/term/GO:0006644","GO:0006644")</f>
        <v>GO:0006644</v>
      </c>
      <c r="B64" t="s">
        <v>1096</v>
      </c>
      <c r="C64">
        <v>0.02</v>
      </c>
      <c r="D64">
        <v>0.02</v>
      </c>
      <c r="E64">
        <v>471</v>
      </c>
      <c r="F64" t="s">
        <v>2507</v>
      </c>
      <c r="G64" t="s">
        <v>2510</v>
      </c>
    </row>
    <row r="65" spans="1:7" x14ac:dyDescent="0.25">
      <c r="A65" s="16" t="str">
        <f>HYPERLINK("http://amigo.geneontology.org/amigo/term/GO:0009891","GO:0009891")</f>
        <v>GO:0009891</v>
      </c>
      <c r="B65" t="s">
        <v>1097</v>
      </c>
      <c r="C65">
        <v>0.02</v>
      </c>
      <c r="D65">
        <v>0.02</v>
      </c>
      <c r="E65">
        <v>478</v>
      </c>
      <c r="F65" t="s">
        <v>2508</v>
      </c>
      <c r="G65" t="s">
        <v>2472</v>
      </c>
    </row>
    <row r="66" spans="1:7" x14ac:dyDescent="0.25">
      <c r="A66" s="16" t="str">
        <f>HYPERLINK("http://amigo.geneontology.org/amigo/term/GO:0010557","GO:0010557")</f>
        <v>GO:0010557</v>
      </c>
      <c r="B66" t="s">
        <v>1098</v>
      </c>
      <c r="C66">
        <v>0.02</v>
      </c>
      <c r="D66">
        <v>0.02</v>
      </c>
      <c r="E66">
        <v>468</v>
      </c>
      <c r="F66" t="s">
        <v>2509</v>
      </c>
      <c r="G66" t="s">
        <v>2472</v>
      </c>
    </row>
    <row r="67" spans="1:7" x14ac:dyDescent="0.25">
      <c r="A67" s="16" t="str">
        <f>HYPERLINK("http://amigo.geneontology.org/amigo/term/GO:0031328","GO:0031328")</f>
        <v>GO:0031328</v>
      </c>
      <c r="B67" t="s">
        <v>1099</v>
      </c>
      <c r="C67">
        <v>0.02</v>
      </c>
      <c r="D67">
        <v>0.02</v>
      </c>
      <c r="E67">
        <v>474</v>
      </c>
      <c r="F67" t="s">
        <v>2508</v>
      </c>
      <c r="G67" t="s">
        <v>2472</v>
      </c>
    </row>
    <row r="68" spans="1:7" x14ac:dyDescent="0.25">
      <c r="A68" s="16" t="str">
        <f>HYPERLINK("http://amigo.geneontology.org/amigo/term/GO:0045935","GO:0045935")</f>
        <v>GO:0045935</v>
      </c>
      <c r="B68" t="s">
        <v>1100</v>
      </c>
      <c r="C68">
        <v>0.02</v>
      </c>
      <c r="D68">
        <v>0.02</v>
      </c>
      <c r="E68">
        <v>471</v>
      </c>
      <c r="F68" t="s">
        <v>2507</v>
      </c>
      <c r="G68" t="s">
        <v>2472</v>
      </c>
    </row>
    <row r="69" spans="1:7" x14ac:dyDescent="0.25">
      <c r="A69" s="16" t="str">
        <f>HYPERLINK("http://amigo.geneontology.org/amigo/term/GO:0051254","GO:0051254")</f>
        <v>GO:0051254</v>
      </c>
      <c r="B69" t="s">
        <v>1101</v>
      </c>
      <c r="C69">
        <v>0.02</v>
      </c>
      <c r="D69">
        <v>0.02</v>
      </c>
      <c r="E69">
        <v>465</v>
      </c>
      <c r="F69" t="s">
        <v>2506</v>
      </c>
      <c r="G69" t="s">
        <v>2472</v>
      </c>
    </row>
    <row r="70" spans="1:7" x14ac:dyDescent="0.25">
      <c r="A70" s="16" t="str">
        <f>HYPERLINK("http://amigo.geneontology.org/amigo/term/GO:0046165","GO:0046165")</f>
        <v>GO:0046165</v>
      </c>
      <c r="B70" t="s">
        <v>1102</v>
      </c>
      <c r="C70">
        <v>0.02</v>
      </c>
      <c r="D70">
        <v>0.02</v>
      </c>
      <c r="E70">
        <v>71</v>
      </c>
      <c r="F70" t="s">
        <v>2505</v>
      </c>
      <c r="G70" t="s">
        <v>2504</v>
      </c>
    </row>
    <row r="71" spans="1:7" x14ac:dyDescent="0.25">
      <c r="A71" s="16" t="str">
        <f>HYPERLINK("http://amigo.geneontology.org/amigo/term/GO:0006768","GO:0006768")</f>
        <v>GO:0006768</v>
      </c>
      <c r="B71" t="s">
        <v>1103</v>
      </c>
      <c r="C71">
        <v>0.02</v>
      </c>
      <c r="D71">
        <v>0.03</v>
      </c>
      <c r="E71">
        <v>8</v>
      </c>
      <c r="F71" t="s">
        <v>1700</v>
      </c>
      <c r="G71" t="s">
        <v>2503</v>
      </c>
    </row>
    <row r="72" spans="1:7" x14ac:dyDescent="0.25">
      <c r="A72" s="16" t="str">
        <f>HYPERLINK("http://amigo.geneontology.org/amigo/term/GO:0009102","GO:0009102")</f>
        <v>GO:0009102</v>
      </c>
      <c r="B72" t="s">
        <v>1104</v>
      </c>
      <c r="C72">
        <v>0.02</v>
      </c>
      <c r="D72">
        <v>0.03</v>
      </c>
      <c r="E72">
        <v>8</v>
      </c>
      <c r="F72" t="s">
        <v>1700</v>
      </c>
      <c r="G72" t="s">
        <v>2503</v>
      </c>
    </row>
    <row r="73" spans="1:7" x14ac:dyDescent="0.25">
      <c r="A73" s="16" t="str">
        <f>HYPERLINK("http://amigo.geneontology.org/amigo/term/GO:0010035","GO:0010035")</f>
        <v>GO:0010035</v>
      </c>
      <c r="B73" t="s">
        <v>72</v>
      </c>
      <c r="C73">
        <v>0.02</v>
      </c>
      <c r="D73">
        <v>0.03</v>
      </c>
      <c r="E73">
        <v>519</v>
      </c>
      <c r="F73" t="s">
        <v>2502</v>
      </c>
      <c r="G73" t="s">
        <v>2501</v>
      </c>
    </row>
    <row r="74" spans="1:7" x14ac:dyDescent="0.25">
      <c r="A74" s="16" t="str">
        <f>HYPERLINK("http://amigo.geneontology.org/amigo/term/GO:0006658","GO:0006658")</f>
        <v>GO:0006658</v>
      </c>
      <c r="B74" t="s">
        <v>1105</v>
      </c>
      <c r="C74">
        <v>0.02</v>
      </c>
      <c r="D74">
        <v>0.02</v>
      </c>
      <c r="E74">
        <v>6</v>
      </c>
      <c r="F74" t="s">
        <v>1720</v>
      </c>
      <c r="G74" t="s">
        <v>2500</v>
      </c>
    </row>
    <row r="75" spans="1:7" x14ac:dyDescent="0.25">
      <c r="A75" s="16" t="str">
        <f>HYPERLINK("http://amigo.geneontology.org/amigo/term/GO:0006659","GO:0006659")</f>
        <v>GO:0006659</v>
      </c>
      <c r="B75" t="s">
        <v>1106</v>
      </c>
      <c r="C75">
        <v>0.02</v>
      </c>
      <c r="D75">
        <v>0.02</v>
      </c>
      <c r="E75">
        <v>6</v>
      </c>
      <c r="F75" t="s">
        <v>1720</v>
      </c>
      <c r="G75" t="s">
        <v>2500</v>
      </c>
    </row>
    <row r="76" spans="1:7" x14ac:dyDescent="0.25">
      <c r="A76" s="16" t="str">
        <f>HYPERLINK("http://amigo.geneontology.org/amigo/term/GO:0051014","GO:0051014")</f>
        <v>GO:0051014</v>
      </c>
      <c r="B76" t="s">
        <v>1107</v>
      </c>
      <c r="C76">
        <v>0.02</v>
      </c>
      <c r="D76">
        <v>0.02</v>
      </c>
      <c r="E76">
        <v>7</v>
      </c>
      <c r="F76" t="s">
        <v>1725</v>
      </c>
      <c r="G76" t="s">
        <v>2456</v>
      </c>
    </row>
    <row r="77" spans="1:7" x14ac:dyDescent="0.25">
      <c r="A77" s="16" t="str">
        <f>HYPERLINK("http://amigo.geneontology.org/amigo/term/GO:0051646","GO:0051646")</f>
        <v>GO:0051646</v>
      </c>
      <c r="B77" t="s">
        <v>1108</v>
      </c>
      <c r="C77">
        <v>0.02</v>
      </c>
      <c r="D77">
        <v>0.02</v>
      </c>
      <c r="E77">
        <v>6</v>
      </c>
      <c r="F77" t="s">
        <v>1720</v>
      </c>
      <c r="G77" t="s">
        <v>2454</v>
      </c>
    </row>
    <row r="78" spans="1:7" x14ac:dyDescent="0.25">
      <c r="A78" s="16" t="str">
        <f>HYPERLINK("http://amigo.geneontology.org/amigo/term/GO:0002213","GO:0002213")</f>
        <v>GO:0002213</v>
      </c>
      <c r="B78" t="s">
        <v>863</v>
      </c>
      <c r="C78">
        <v>0.02</v>
      </c>
      <c r="D78">
        <v>0.03</v>
      </c>
      <c r="E78">
        <v>8</v>
      </c>
      <c r="F78" t="s">
        <v>1700</v>
      </c>
      <c r="G78" t="s">
        <v>2499</v>
      </c>
    </row>
    <row r="79" spans="1:7" x14ac:dyDescent="0.25">
      <c r="A79" s="16" t="str">
        <f>HYPERLINK("http://amigo.geneontology.org/amigo/term/GO:0050789","GO:0050789")</f>
        <v>GO:0050789</v>
      </c>
      <c r="B79" t="s">
        <v>795</v>
      </c>
      <c r="C79">
        <v>0.03</v>
      </c>
      <c r="D79">
        <v>0.03</v>
      </c>
      <c r="E79">
        <v>7510</v>
      </c>
      <c r="F79" t="s">
        <v>2498</v>
      </c>
      <c r="G79" t="s">
        <v>2497</v>
      </c>
    </row>
    <row r="80" spans="1:7" x14ac:dyDescent="0.25">
      <c r="A80" s="16" t="str">
        <f>HYPERLINK("http://amigo.geneontology.org/amigo/term/GO:0010468","GO:0010468")</f>
        <v>GO:0010468</v>
      </c>
      <c r="B80" t="s">
        <v>843</v>
      </c>
      <c r="C80">
        <v>0.03</v>
      </c>
      <c r="D80">
        <v>0.03</v>
      </c>
      <c r="E80">
        <v>4846</v>
      </c>
      <c r="F80" t="s">
        <v>2496</v>
      </c>
      <c r="G80" t="s">
        <v>2495</v>
      </c>
    </row>
    <row r="81" spans="1:7" x14ac:dyDescent="0.25">
      <c r="A81" s="16" t="str">
        <f>HYPERLINK("http://amigo.geneontology.org/amigo/term/GO:0009889","GO:0009889")</f>
        <v>GO:0009889</v>
      </c>
      <c r="B81" t="s">
        <v>824</v>
      </c>
      <c r="C81">
        <v>0.03</v>
      </c>
      <c r="D81">
        <v>0.03</v>
      </c>
      <c r="E81">
        <v>4605</v>
      </c>
      <c r="F81" t="s">
        <v>2494</v>
      </c>
      <c r="G81" t="s">
        <v>2493</v>
      </c>
    </row>
    <row r="82" spans="1:7" x14ac:dyDescent="0.25">
      <c r="A82" s="16" t="str">
        <f>HYPERLINK("http://amigo.geneontology.org/amigo/term/GO:0010556","GO:0010556")</f>
        <v>GO:0010556</v>
      </c>
      <c r="B82" t="s">
        <v>858</v>
      </c>
      <c r="C82">
        <v>0.03</v>
      </c>
      <c r="D82">
        <v>0.03</v>
      </c>
      <c r="E82">
        <v>4551</v>
      </c>
      <c r="F82" t="s">
        <v>2494</v>
      </c>
      <c r="G82" t="s">
        <v>2493</v>
      </c>
    </row>
    <row r="83" spans="1:7" x14ac:dyDescent="0.25">
      <c r="A83" s="16" t="str">
        <f>HYPERLINK("http://amigo.geneontology.org/amigo/term/GO:0031326","GO:0031326")</f>
        <v>GO:0031326</v>
      </c>
      <c r="B83" t="s">
        <v>822</v>
      </c>
      <c r="C83">
        <v>0.03</v>
      </c>
      <c r="D83">
        <v>0.03</v>
      </c>
      <c r="E83">
        <v>4599</v>
      </c>
      <c r="F83" t="s">
        <v>2494</v>
      </c>
      <c r="G83" t="s">
        <v>2493</v>
      </c>
    </row>
    <row r="84" spans="1:7" x14ac:dyDescent="0.25">
      <c r="A84" s="16" t="str">
        <f>HYPERLINK("http://amigo.geneontology.org/amigo/term/GO:2000112","GO:2000112")</f>
        <v>GO:2000112</v>
      </c>
      <c r="B84" t="s">
        <v>857</v>
      </c>
      <c r="C84">
        <v>0.03</v>
      </c>
      <c r="D84">
        <v>0.03</v>
      </c>
      <c r="E84">
        <v>4546</v>
      </c>
      <c r="F84" t="s">
        <v>2494</v>
      </c>
      <c r="G84" t="s">
        <v>2493</v>
      </c>
    </row>
    <row r="85" spans="1:7" x14ac:dyDescent="0.25">
      <c r="A85" s="16" t="str">
        <f>HYPERLINK("http://amigo.geneontology.org/amigo/term/GO:0016311","GO:0016311")</f>
        <v>GO:0016311</v>
      </c>
      <c r="B85" t="s">
        <v>1109</v>
      </c>
      <c r="C85">
        <v>0.03</v>
      </c>
      <c r="D85">
        <v>0.04</v>
      </c>
      <c r="E85">
        <v>392</v>
      </c>
      <c r="F85" t="s">
        <v>2492</v>
      </c>
      <c r="G85" t="s">
        <v>2491</v>
      </c>
    </row>
    <row r="86" spans="1:7" x14ac:dyDescent="0.25">
      <c r="A86" s="16" t="str">
        <f>HYPERLINK("http://amigo.geneontology.org/amigo/term/GO:0008299","GO:0008299")</f>
        <v>GO:0008299</v>
      </c>
      <c r="B86" t="s">
        <v>512</v>
      </c>
      <c r="C86">
        <v>0.03</v>
      </c>
      <c r="D86">
        <v>0.04</v>
      </c>
      <c r="E86">
        <v>229</v>
      </c>
      <c r="F86" t="s">
        <v>2490</v>
      </c>
      <c r="G86" t="s">
        <v>2489</v>
      </c>
    </row>
    <row r="87" spans="1:7" x14ac:dyDescent="0.25">
      <c r="A87" s="16" t="str">
        <f>HYPERLINK("http://amigo.geneontology.org/amigo/term/GO:0042357","GO:0042357")</f>
        <v>GO:0042357</v>
      </c>
      <c r="B87" t="s">
        <v>1110</v>
      </c>
      <c r="C87">
        <v>0.03</v>
      </c>
      <c r="D87">
        <v>0.03</v>
      </c>
      <c r="E87">
        <v>10</v>
      </c>
      <c r="F87" t="s">
        <v>2486</v>
      </c>
      <c r="G87" t="s">
        <v>2488</v>
      </c>
    </row>
    <row r="88" spans="1:7" x14ac:dyDescent="0.25">
      <c r="A88" s="16" t="str">
        <f>HYPERLINK("http://amigo.geneontology.org/amigo/term/GO:0009229","GO:0009229")</f>
        <v>GO:0009229</v>
      </c>
      <c r="B88" t="s">
        <v>1111</v>
      </c>
      <c r="C88">
        <v>0.03</v>
      </c>
      <c r="D88">
        <v>0.03</v>
      </c>
      <c r="E88">
        <v>10</v>
      </c>
      <c r="F88" t="s">
        <v>2486</v>
      </c>
      <c r="G88" t="s">
        <v>2488</v>
      </c>
    </row>
    <row r="89" spans="1:7" x14ac:dyDescent="0.25">
      <c r="A89" s="16" t="str">
        <f>HYPERLINK("http://amigo.geneontology.org/amigo/term/GO:0055129","GO:0055129")</f>
        <v>GO:0055129</v>
      </c>
      <c r="B89" t="s">
        <v>1112</v>
      </c>
      <c r="C89">
        <v>0.03</v>
      </c>
      <c r="D89">
        <v>0.04</v>
      </c>
      <c r="E89">
        <v>11</v>
      </c>
      <c r="F89" t="s">
        <v>2487</v>
      </c>
      <c r="G89" t="s">
        <v>2454</v>
      </c>
    </row>
    <row r="90" spans="1:7" x14ac:dyDescent="0.25">
      <c r="A90" s="16" t="str">
        <f>HYPERLINK("http://amigo.geneontology.org/amigo/term/GO:0000038","GO:0000038")</f>
        <v>GO:0000038</v>
      </c>
      <c r="B90" t="s">
        <v>1113</v>
      </c>
      <c r="C90">
        <v>0.03</v>
      </c>
      <c r="D90">
        <v>0.03</v>
      </c>
      <c r="E90">
        <v>10</v>
      </c>
      <c r="F90" t="s">
        <v>2486</v>
      </c>
      <c r="G90" t="s">
        <v>2485</v>
      </c>
    </row>
    <row r="91" spans="1:7" x14ac:dyDescent="0.25">
      <c r="A91" s="16" t="str">
        <f>HYPERLINK("http://amigo.geneontology.org/amigo/term/GO:0071704","GO:0071704")</f>
        <v>GO:0071704</v>
      </c>
      <c r="B91" t="s">
        <v>454</v>
      </c>
      <c r="C91">
        <v>0.04</v>
      </c>
      <c r="D91">
        <v>0.05</v>
      </c>
      <c r="E91">
        <v>22718</v>
      </c>
      <c r="F91" t="s">
        <v>2484</v>
      </c>
      <c r="G91" t="s">
        <v>2483</v>
      </c>
    </row>
    <row r="92" spans="1:7" x14ac:dyDescent="0.25">
      <c r="A92" s="16" t="str">
        <f>HYPERLINK("http://amigo.geneontology.org/amigo/term/GO:0060255","GO:0060255")</f>
        <v>GO:0060255</v>
      </c>
      <c r="B92" t="s">
        <v>944</v>
      </c>
      <c r="C92">
        <v>0.04</v>
      </c>
      <c r="D92">
        <v>0.04</v>
      </c>
      <c r="E92">
        <v>5293</v>
      </c>
      <c r="F92" t="s">
        <v>2482</v>
      </c>
      <c r="G92" t="s">
        <v>2481</v>
      </c>
    </row>
    <row r="93" spans="1:7" x14ac:dyDescent="0.25">
      <c r="A93" s="16" t="str">
        <f>HYPERLINK("http://amigo.geneontology.org/amigo/term/GO:0050794","GO:0050794")</f>
        <v>GO:0050794</v>
      </c>
      <c r="B93" t="s">
        <v>879</v>
      </c>
      <c r="C93">
        <v>0.04</v>
      </c>
      <c r="D93">
        <v>0.04</v>
      </c>
      <c r="E93">
        <v>6861</v>
      </c>
      <c r="F93" t="s">
        <v>2480</v>
      </c>
      <c r="G93" t="s">
        <v>2479</v>
      </c>
    </row>
    <row r="94" spans="1:7" x14ac:dyDescent="0.25">
      <c r="A94" s="16" t="str">
        <f>HYPERLINK("http://amigo.geneontology.org/amigo/term/GO:0051171","GO:0051171")</f>
        <v>GO:0051171</v>
      </c>
      <c r="B94" t="s">
        <v>923</v>
      </c>
      <c r="C94">
        <v>0.04</v>
      </c>
      <c r="D94">
        <v>0.04</v>
      </c>
      <c r="E94">
        <v>4980</v>
      </c>
      <c r="F94" t="s">
        <v>2478</v>
      </c>
      <c r="G94" t="s">
        <v>2477</v>
      </c>
    </row>
    <row r="95" spans="1:7" x14ac:dyDescent="0.25">
      <c r="A95" s="16" t="str">
        <f>HYPERLINK("http://amigo.geneontology.org/amigo/term/GO:0080090","GO:0080090")</f>
        <v>GO:0080090</v>
      </c>
      <c r="B95" t="s">
        <v>957</v>
      </c>
      <c r="C95">
        <v>0.04</v>
      </c>
      <c r="D95">
        <v>0.04</v>
      </c>
      <c r="E95">
        <v>5012</v>
      </c>
      <c r="F95" t="s">
        <v>2478</v>
      </c>
      <c r="G95" t="s">
        <v>2477</v>
      </c>
    </row>
    <row r="96" spans="1:7" x14ac:dyDescent="0.25">
      <c r="A96" s="16" t="str">
        <f>HYPERLINK("http://amigo.geneontology.org/amigo/term/GO:0009893","GO:0009893")</f>
        <v>GO:0009893</v>
      </c>
      <c r="B96" t="s">
        <v>1114</v>
      </c>
      <c r="C96">
        <v>0.04</v>
      </c>
      <c r="D96">
        <v>0.05</v>
      </c>
      <c r="E96">
        <v>615</v>
      </c>
      <c r="F96" t="s">
        <v>2476</v>
      </c>
      <c r="G96" t="s">
        <v>2472</v>
      </c>
    </row>
    <row r="97" spans="1:7" x14ac:dyDescent="0.25">
      <c r="A97" s="16" t="str">
        <f>HYPERLINK("http://amigo.geneontology.org/amigo/term/GO:0010604","GO:0010604")</f>
        <v>GO:0010604</v>
      </c>
      <c r="B97" t="s">
        <v>1115</v>
      </c>
      <c r="C97">
        <v>0.04</v>
      </c>
      <c r="D97">
        <v>0.04</v>
      </c>
      <c r="E97">
        <v>599</v>
      </c>
      <c r="F97" t="s">
        <v>2475</v>
      </c>
      <c r="G97" t="s">
        <v>2472</v>
      </c>
    </row>
    <row r="98" spans="1:7" x14ac:dyDescent="0.25">
      <c r="A98" s="16" t="str">
        <f>HYPERLINK("http://amigo.geneontology.org/amigo/term/GO:0031325","GO:0031325")</f>
        <v>GO:0031325</v>
      </c>
      <c r="B98" t="s">
        <v>1116</v>
      </c>
      <c r="C98">
        <v>0.04</v>
      </c>
      <c r="D98">
        <v>0.04</v>
      </c>
      <c r="E98">
        <v>592</v>
      </c>
      <c r="F98" t="s">
        <v>2474</v>
      </c>
      <c r="G98" t="s">
        <v>2472</v>
      </c>
    </row>
    <row r="99" spans="1:7" x14ac:dyDescent="0.25">
      <c r="A99" s="16" t="str">
        <f>HYPERLINK("http://amigo.geneontology.org/amigo/term/GO:0051173","GO:0051173")</f>
        <v>GO:0051173</v>
      </c>
      <c r="B99" t="s">
        <v>1117</v>
      </c>
      <c r="C99">
        <v>0.04</v>
      </c>
      <c r="D99">
        <v>0.04</v>
      </c>
      <c r="E99">
        <v>584</v>
      </c>
      <c r="F99" t="s">
        <v>2473</v>
      </c>
      <c r="G99" t="s">
        <v>2472</v>
      </c>
    </row>
    <row r="100" spans="1:7" x14ac:dyDescent="0.25">
      <c r="A100" s="16" t="str">
        <f>HYPERLINK("http://amigo.geneontology.org/amigo/term/GO:0010193","GO:0010193")</f>
        <v>GO:0010193</v>
      </c>
      <c r="B100" t="s">
        <v>1118</v>
      </c>
      <c r="C100">
        <v>0.04</v>
      </c>
      <c r="D100">
        <v>0.04</v>
      </c>
      <c r="E100">
        <v>13</v>
      </c>
      <c r="F100" t="s">
        <v>2463</v>
      </c>
      <c r="G100" t="s">
        <v>2471</v>
      </c>
    </row>
    <row r="101" spans="1:7" x14ac:dyDescent="0.25">
      <c r="A101" s="16" t="str">
        <f>HYPERLINK("http://amigo.geneontology.org/amigo/term/GO:0008654","GO:0008654")</f>
        <v>GO:0008654</v>
      </c>
      <c r="B101" t="s">
        <v>1119</v>
      </c>
      <c r="C101">
        <v>0.04</v>
      </c>
      <c r="D101">
        <v>0.05</v>
      </c>
      <c r="E101">
        <v>251</v>
      </c>
      <c r="F101" t="s">
        <v>2470</v>
      </c>
      <c r="G101" t="s">
        <v>2469</v>
      </c>
    </row>
    <row r="102" spans="1:7" x14ac:dyDescent="0.25">
      <c r="A102" s="16" t="str">
        <f>HYPERLINK("http://amigo.geneontology.org/amigo/term/GO:0016042","GO:0016042")</f>
        <v>GO:0016042</v>
      </c>
      <c r="B102" t="s">
        <v>916</v>
      </c>
      <c r="C102">
        <v>0.04</v>
      </c>
      <c r="D102">
        <v>0.04</v>
      </c>
      <c r="E102">
        <v>239</v>
      </c>
      <c r="F102" t="s">
        <v>2468</v>
      </c>
      <c r="G102" t="s">
        <v>2467</v>
      </c>
    </row>
    <row r="103" spans="1:7" x14ac:dyDescent="0.25">
      <c r="A103" s="16" t="str">
        <f>HYPERLINK("http://amigo.geneontology.org/amigo/term/GO:0016115","GO:0016115")</f>
        <v>GO:0016115</v>
      </c>
      <c r="B103" t="s">
        <v>1120</v>
      </c>
      <c r="C103">
        <v>0.04</v>
      </c>
      <c r="D103">
        <v>0.05</v>
      </c>
      <c r="E103">
        <v>14</v>
      </c>
      <c r="F103" t="s">
        <v>2464</v>
      </c>
      <c r="G103" t="s">
        <v>2466</v>
      </c>
    </row>
    <row r="104" spans="1:7" x14ac:dyDescent="0.25">
      <c r="A104" s="16" t="str">
        <f>HYPERLINK("http://amigo.geneontology.org/amigo/term/GO:0016103","GO:0016103")</f>
        <v>GO:0016103</v>
      </c>
      <c r="B104" t="s">
        <v>1121</v>
      </c>
      <c r="C104">
        <v>0.04</v>
      </c>
      <c r="D104">
        <v>0.05</v>
      </c>
      <c r="E104">
        <v>14</v>
      </c>
      <c r="F104" t="s">
        <v>2464</v>
      </c>
      <c r="G104" t="s">
        <v>2466</v>
      </c>
    </row>
    <row r="105" spans="1:7" x14ac:dyDescent="0.25">
      <c r="A105" s="16" t="str">
        <f>HYPERLINK("http://amigo.geneontology.org/amigo/term/GO:0045487","GO:0045487")</f>
        <v>GO:0045487</v>
      </c>
      <c r="B105" t="s">
        <v>1122</v>
      </c>
      <c r="C105">
        <v>0.04</v>
      </c>
      <c r="D105">
        <v>0.05</v>
      </c>
      <c r="E105">
        <v>14</v>
      </c>
      <c r="F105" t="s">
        <v>2464</v>
      </c>
      <c r="G105" t="s">
        <v>2466</v>
      </c>
    </row>
    <row r="106" spans="1:7" x14ac:dyDescent="0.25">
      <c r="A106" s="16" t="str">
        <f>HYPERLINK("http://amigo.geneontology.org/amigo/term/GO:0051693","GO:0051693")</f>
        <v>GO:0051693</v>
      </c>
      <c r="B106" t="s">
        <v>1123</v>
      </c>
      <c r="C106">
        <v>0.04</v>
      </c>
      <c r="D106">
        <v>0.04</v>
      </c>
      <c r="E106">
        <v>12</v>
      </c>
      <c r="F106" t="s">
        <v>2465</v>
      </c>
      <c r="G106" t="s">
        <v>2456</v>
      </c>
    </row>
    <row r="107" spans="1:7" x14ac:dyDescent="0.25">
      <c r="A107" s="16" t="str">
        <f>HYPERLINK("http://amigo.geneontology.org/amigo/term/GO:2000012","GO:2000012")</f>
        <v>GO:2000012</v>
      </c>
      <c r="B107" t="s">
        <v>1124</v>
      </c>
      <c r="C107">
        <v>0.04</v>
      </c>
      <c r="D107">
        <v>0.04</v>
      </c>
      <c r="E107">
        <v>13</v>
      </c>
      <c r="F107" t="s">
        <v>2463</v>
      </c>
      <c r="G107" t="s">
        <v>2456</v>
      </c>
    </row>
    <row r="108" spans="1:7" x14ac:dyDescent="0.25">
      <c r="A108" s="16" t="str">
        <f>HYPERLINK("http://amigo.geneontology.org/amigo/term/GO:0006591","GO:0006591")</f>
        <v>GO:0006591</v>
      </c>
      <c r="B108" t="s">
        <v>1125</v>
      </c>
      <c r="C108">
        <v>0.04</v>
      </c>
      <c r="D108">
        <v>0.05</v>
      </c>
      <c r="E108">
        <v>14</v>
      </c>
      <c r="F108" t="s">
        <v>2464</v>
      </c>
      <c r="G108" t="s">
        <v>2454</v>
      </c>
    </row>
    <row r="109" spans="1:7" x14ac:dyDescent="0.25">
      <c r="A109" s="16" t="str">
        <f>HYPERLINK("http://amigo.geneontology.org/amigo/term/GO:0015706","GO:0015706")</f>
        <v>GO:0015706</v>
      </c>
      <c r="B109" t="s">
        <v>1126</v>
      </c>
      <c r="C109">
        <v>0.04</v>
      </c>
      <c r="D109">
        <v>0.04</v>
      </c>
      <c r="E109">
        <v>13</v>
      </c>
      <c r="F109" t="s">
        <v>2463</v>
      </c>
      <c r="G109" t="s">
        <v>2452</v>
      </c>
    </row>
    <row r="110" spans="1:7" x14ac:dyDescent="0.25">
      <c r="A110" s="16" t="str">
        <f>HYPERLINK("http://amigo.geneontology.org/amigo/term/GO:0007165","GO:0007165")</f>
        <v>GO:0007165</v>
      </c>
      <c r="B110" t="s">
        <v>974</v>
      </c>
      <c r="C110">
        <v>0.05</v>
      </c>
      <c r="D110">
        <v>0.05</v>
      </c>
      <c r="E110">
        <v>1278</v>
      </c>
      <c r="F110" t="s">
        <v>2462</v>
      </c>
      <c r="G110" t="s">
        <v>2461</v>
      </c>
    </row>
    <row r="111" spans="1:7" x14ac:dyDescent="0.25">
      <c r="A111" s="16" t="str">
        <f>HYPERLINK("http://amigo.geneontology.org/amigo/term/GO:0006082","GO:0006082")</f>
        <v>GO:0006082</v>
      </c>
      <c r="B111" t="s">
        <v>93</v>
      </c>
      <c r="C111">
        <v>0.05</v>
      </c>
      <c r="D111">
        <v>0.05</v>
      </c>
      <c r="E111">
        <v>1975</v>
      </c>
      <c r="F111" t="s">
        <v>2460</v>
      </c>
      <c r="G111" t="s">
        <v>2459</v>
      </c>
    </row>
    <row r="112" spans="1:7" x14ac:dyDescent="0.25">
      <c r="A112" s="16" t="str">
        <f>HYPERLINK("http://amigo.geneontology.org/amigo/term/GO:0010496","GO:0010496")</f>
        <v>GO:0010496</v>
      </c>
      <c r="B112" t="s">
        <v>1127</v>
      </c>
      <c r="C112">
        <v>0.05</v>
      </c>
      <c r="D112">
        <v>0.05</v>
      </c>
      <c r="E112">
        <v>15</v>
      </c>
      <c r="F112" t="s">
        <v>2455</v>
      </c>
      <c r="G112" t="s">
        <v>2458</v>
      </c>
    </row>
    <row r="113" spans="1:7" x14ac:dyDescent="0.25">
      <c r="A113" s="16" t="str">
        <f>HYPERLINK("http://amigo.geneontology.org/amigo/term/GO:0010497","GO:0010497")</f>
        <v>GO:0010497</v>
      </c>
      <c r="B113" t="s">
        <v>1128</v>
      </c>
      <c r="C113">
        <v>0.05</v>
      </c>
      <c r="D113">
        <v>0.05</v>
      </c>
      <c r="E113">
        <v>15</v>
      </c>
      <c r="F113" t="s">
        <v>2455</v>
      </c>
      <c r="G113" t="s">
        <v>2458</v>
      </c>
    </row>
    <row r="114" spans="1:7" x14ac:dyDescent="0.25">
      <c r="A114" s="16" t="str">
        <f>HYPERLINK("http://amigo.geneontology.org/amigo/term/GO:0071370","GO:0071370")</f>
        <v>GO:0071370</v>
      </c>
      <c r="B114" t="s">
        <v>1129</v>
      </c>
      <c r="C114">
        <v>0.05</v>
      </c>
      <c r="D114">
        <v>0.05</v>
      </c>
      <c r="E114">
        <v>16</v>
      </c>
      <c r="F114" t="s">
        <v>2453</v>
      </c>
      <c r="G114" t="s">
        <v>2457</v>
      </c>
    </row>
    <row r="115" spans="1:7" x14ac:dyDescent="0.25">
      <c r="A115" s="16" t="str">
        <f>HYPERLINK("http://amigo.geneontology.org/amigo/term/GO:0010476","GO:0010476")</f>
        <v>GO:0010476</v>
      </c>
      <c r="B115" t="s">
        <v>1130</v>
      </c>
      <c r="C115">
        <v>0.05</v>
      </c>
      <c r="D115">
        <v>0.05</v>
      </c>
      <c r="E115">
        <v>16</v>
      </c>
      <c r="F115" t="s">
        <v>2453</v>
      </c>
      <c r="G115" t="s">
        <v>2457</v>
      </c>
    </row>
    <row r="116" spans="1:7" x14ac:dyDescent="0.25">
      <c r="A116" s="16" t="str">
        <f>HYPERLINK("http://amigo.geneontology.org/amigo/term/GO:0009740","GO:0009740")</f>
        <v>GO:0009740</v>
      </c>
      <c r="B116" t="s">
        <v>1131</v>
      </c>
      <c r="C116">
        <v>0.05</v>
      </c>
      <c r="D116">
        <v>0.05</v>
      </c>
      <c r="E116">
        <v>15</v>
      </c>
      <c r="F116" t="s">
        <v>2455</v>
      </c>
      <c r="G116" t="s">
        <v>2457</v>
      </c>
    </row>
    <row r="117" spans="1:7" x14ac:dyDescent="0.25">
      <c r="A117" s="16" t="str">
        <f>HYPERLINK("http://amigo.geneontology.org/amigo/term/GO:1901879","GO:1901879")</f>
        <v>GO:1901879</v>
      </c>
      <c r="B117" t="s">
        <v>1132</v>
      </c>
      <c r="C117">
        <v>0.05</v>
      </c>
      <c r="D117">
        <v>0.05</v>
      </c>
      <c r="E117">
        <v>16</v>
      </c>
      <c r="F117" t="s">
        <v>2453</v>
      </c>
      <c r="G117" t="s">
        <v>2456</v>
      </c>
    </row>
    <row r="118" spans="1:7" x14ac:dyDescent="0.25">
      <c r="A118" s="16" t="str">
        <f>HYPERLINK("http://amigo.geneontology.org/amigo/term/GO:0030834","GO:0030834")</f>
        <v>GO:0030834</v>
      </c>
      <c r="B118" t="s">
        <v>1133</v>
      </c>
      <c r="C118">
        <v>0.05</v>
      </c>
      <c r="D118">
        <v>0.05</v>
      </c>
      <c r="E118">
        <v>16</v>
      </c>
      <c r="F118" t="s">
        <v>2453</v>
      </c>
      <c r="G118" t="s">
        <v>2456</v>
      </c>
    </row>
    <row r="119" spans="1:7" x14ac:dyDescent="0.25">
      <c r="A119" s="16" t="str">
        <f>HYPERLINK("http://amigo.geneontology.org/amigo/term/GO:1901880","GO:1901880")</f>
        <v>GO:1901880</v>
      </c>
      <c r="B119" t="s">
        <v>1134</v>
      </c>
      <c r="C119">
        <v>0.05</v>
      </c>
      <c r="D119">
        <v>0.05</v>
      </c>
      <c r="E119">
        <v>15</v>
      </c>
      <c r="F119" t="s">
        <v>2455</v>
      </c>
      <c r="G119" t="s">
        <v>2456</v>
      </c>
    </row>
    <row r="120" spans="1:7" x14ac:dyDescent="0.25">
      <c r="A120" s="16" t="str">
        <f>HYPERLINK("http://amigo.geneontology.org/amigo/term/GO:0030835","GO:0030835")</f>
        <v>GO:0030835</v>
      </c>
      <c r="B120" t="s">
        <v>1135</v>
      </c>
      <c r="C120">
        <v>0.05</v>
      </c>
      <c r="D120">
        <v>0.05</v>
      </c>
      <c r="E120">
        <v>15</v>
      </c>
      <c r="F120" t="s">
        <v>2455</v>
      </c>
      <c r="G120" t="s">
        <v>2456</v>
      </c>
    </row>
    <row r="121" spans="1:7" x14ac:dyDescent="0.25">
      <c r="A121" s="16" t="str">
        <f>HYPERLINK("http://amigo.geneontology.org/amigo/term/GO:0031333","GO:0031333")</f>
        <v>GO:0031333</v>
      </c>
      <c r="B121" t="s">
        <v>1136</v>
      </c>
      <c r="C121">
        <v>0.05</v>
      </c>
      <c r="D121">
        <v>0.05</v>
      </c>
      <c r="E121">
        <v>15</v>
      </c>
      <c r="F121" t="s">
        <v>2455</v>
      </c>
      <c r="G121" t="s">
        <v>2456</v>
      </c>
    </row>
    <row r="122" spans="1:7" x14ac:dyDescent="0.25">
      <c r="A122" s="16" t="str">
        <f>HYPERLINK("http://amigo.geneontology.org/amigo/term/GO:0032272","GO:0032272")</f>
        <v>GO:0032272</v>
      </c>
      <c r="B122" t="s">
        <v>1137</v>
      </c>
      <c r="C122">
        <v>0.05</v>
      </c>
      <c r="D122">
        <v>0.05</v>
      </c>
      <c r="E122">
        <v>15</v>
      </c>
      <c r="F122" t="s">
        <v>2455</v>
      </c>
      <c r="G122" t="s">
        <v>2456</v>
      </c>
    </row>
    <row r="123" spans="1:7" x14ac:dyDescent="0.25">
      <c r="A123" s="16" t="str">
        <f>HYPERLINK("http://amigo.geneontology.org/amigo/term/GO:0030837","GO:0030837")</f>
        <v>GO:0030837</v>
      </c>
      <c r="B123" t="s">
        <v>1138</v>
      </c>
      <c r="C123">
        <v>0.05</v>
      </c>
      <c r="D123">
        <v>0.05</v>
      </c>
      <c r="E123">
        <v>15</v>
      </c>
      <c r="F123" t="s">
        <v>2455</v>
      </c>
      <c r="G123" t="s">
        <v>2456</v>
      </c>
    </row>
    <row r="124" spans="1:7" x14ac:dyDescent="0.25">
      <c r="A124" s="16" t="str">
        <f>HYPERLINK("http://amigo.geneontology.org/amigo/term/GO:0006527","GO:0006527")</f>
        <v>GO:0006527</v>
      </c>
      <c r="B124" t="s">
        <v>1139</v>
      </c>
      <c r="C124">
        <v>0.05</v>
      </c>
      <c r="D124">
        <v>0.05</v>
      </c>
      <c r="E124">
        <v>16</v>
      </c>
      <c r="F124" t="s">
        <v>2453</v>
      </c>
      <c r="G124" t="s">
        <v>2454</v>
      </c>
    </row>
    <row r="125" spans="1:7" x14ac:dyDescent="0.25">
      <c r="A125" s="16" t="str">
        <f>HYPERLINK("http://amigo.geneontology.org/amigo/term/GO:0042538","GO:0042538")</f>
        <v>GO:0042538</v>
      </c>
      <c r="B125" t="s">
        <v>1140</v>
      </c>
      <c r="C125">
        <v>0.05</v>
      </c>
      <c r="D125">
        <v>0.05</v>
      </c>
      <c r="E125">
        <v>15</v>
      </c>
      <c r="F125" t="s">
        <v>2455</v>
      </c>
      <c r="G125" t="s">
        <v>2454</v>
      </c>
    </row>
    <row r="126" spans="1:7" x14ac:dyDescent="0.25">
      <c r="A126" s="16" t="str">
        <f>HYPERLINK("http://amigo.geneontology.org/amigo/term/GO:0006561","GO:0006561")</f>
        <v>GO:0006561</v>
      </c>
      <c r="B126" t="s">
        <v>1141</v>
      </c>
      <c r="C126">
        <v>0.05</v>
      </c>
      <c r="D126">
        <v>0.05</v>
      </c>
      <c r="E126">
        <v>15</v>
      </c>
      <c r="F126" t="s">
        <v>2455</v>
      </c>
      <c r="G126" t="s">
        <v>2454</v>
      </c>
    </row>
    <row r="127" spans="1:7" x14ac:dyDescent="0.25">
      <c r="A127" s="16" t="str">
        <f>HYPERLINK("http://amigo.geneontology.org/amigo/term/GO:0010167","GO:0010167")</f>
        <v>GO:0010167</v>
      </c>
      <c r="B127" t="s">
        <v>1142</v>
      </c>
      <c r="C127">
        <v>0.05</v>
      </c>
      <c r="D127">
        <v>0.05</v>
      </c>
      <c r="E127">
        <v>16</v>
      </c>
      <c r="F127" t="s">
        <v>2453</v>
      </c>
      <c r="G127" t="s">
        <v>2452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workbookViewId="0">
      <pane xSplit="2" ySplit="10" topLeftCell="C104" activePane="bottomRight" state="frozen"/>
      <selection pane="topRight" activeCell="C1" sqref="C1"/>
      <selection pane="bottomLeft" activeCell="A11" sqref="A11"/>
      <selection pane="bottomRight" activeCell="A11" sqref="A11:A130"/>
    </sheetView>
  </sheetViews>
  <sheetFormatPr defaultRowHeight="15" x14ac:dyDescent="0.25"/>
  <sheetData>
    <row r="1" spans="1:7" x14ac:dyDescent="0.25">
      <c r="A1" t="s">
        <v>0</v>
      </c>
      <c r="B1">
        <v>353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HYPERLINK("http://amigo.geneontology.org/amigo/term/GO:0048598","GO:0048598")</f>
        <v>GO:0048598</v>
      </c>
      <c r="B11" t="s">
        <v>1546</v>
      </c>
      <c r="C11" s="1">
        <v>4.0429999999999999E-7</v>
      </c>
      <c r="D11" s="1">
        <v>4.489E-7</v>
      </c>
      <c r="E11">
        <v>4</v>
      </c>
      <c r="F11" t="s">
        <v>2095</v>
      </c>
      <c r="G11" t="s">
        <v>2594</v>
      </c>
    </row>
    <row r="12" spans="1:7" x14ac:dyDescent="0.25">
      <c r="A12" s="16" t="str">
        <f>HYPERLINK("http://amigo.geneontology.org/amigo/term/GO:0048826","GO:0048826")</f>
        <v>GO:0048826</v>
      </c>
      <c r="B12" t="s">
        <v>1547</v>
      </c>
      <c r="C12" s="1">
        <v>4.0429999999999999E-7</v>
      </c>
      <c r="D12" s="1">
        <v>4.489E-7</v>
      </c>
      <c r="E12">
        <v>4</v>
      </c>
      <c r="F12" t="s">
        <v>2095</v>
      </c>
      <c r="G12" t="s">
        <v>2594</v>
      </c>
    </row>
    <row r="13" spans="1:7" x14ac:dyDescent="0.25">
      <c r="A13" s="16" t="str">
        <f>HYPERLINK("http://amigo.geneontology.org/amigo/term/GO:0010588","GO:0010588")</f>
        <v>GO:0010588</v>
      </c>
      <c r="B13" t="s">
        <v>1548</v>
      </c>
      <c r="C13" s="1">
        <v>4.0429999999999999E-7</v>
      </c>
      <c r="D13" s="1">
        <v>4.489E-7</v>
      </c>
      <c r="E13">
        <v>4</v>
      </c>
      <c r="F13" t="s">
        <v>2095</v>
      </c>
      <c r="G13" t="s">
        <v>2594</v>
      </c>
    </row>
    <row r="14" spans="1:7" x14ac:dyDescent="0.25">
      <c r="A14" s="16" t="str">
        <f>HYPERLINK("http://amigo.geneontology.org/amigo/term/GO:0010016","GO:0010016")</f>
        <v>GO:0010016</v>
      </c>
      <c r="B14" t="s">
        <v>1549</v>
      </c>
      <c r="C14" s="1">
        <v>3.8770000000000003E-6</v>
      </c>
      <c r="D14" s="1">
        <v>4.3030000000000001E-6</v>
      </c>
      <c r="E14">
        <v>50</v>
      </c>
      <c r="F14" t="s">
        <v>2662</v>
      </c>
      <c r="G14" t="s">
        <v>2608</v>
      </c>
    </row>
    <row r="15" spans="1:7" x14ac:dyDescent="0.25">
      <c r="A15" s="16" t="str">
        <f>HYPERLINK("http://amigo.geneontology.org/amigo/term/GO:0010305","GO:0010305")</f>
        <v>GO:0010305</v>
      </c>
      <c r="B15" t="s">
        <v>1550</v>
      </c>
      <c r="C15" s="1">
        <v>8.3450000000000006E-6</v>
      </c>
      <c r="D15" s="1">
        <v>9.2599999999999994E-6</v>
      </c>
      <c r="E15">
        <v>9</v>
      </c>
      <c r="F15" t="s">
        <v>148</v>
      </c>
      <c r="G15" t="s">
        <v>2594</v>
      </c>
    </row>
    <row r="16" spans="1:7" x14ac:dyDescent="0.25">
      <c r="A16" s="16" t="str">
        <f>HYPERLINK("http://amigo.geneontology.org/amigo/term/GO:0005975","GO:0005975")</f>
        <v>GO:0005975</v>
      </c>
      <c r="B16" t="s">
        <v>295</v>
      </c>
      <c r="C16" s="1">
        <v>1.236E-5</v>
      </c>
      <c r="D16" s="1">
        <v>1.3709999999999999E-5</v>
      </c>
      <c r="E16">
        <v>2685</v>
      </c>
      <c r="F16" t="s">
        <v>2661</v>
      </c>
      <c r="G16" t="s">
        <v>2660</v>
      </c>
    </row>
    <row r="17" spans="1:7" x14ac:dyDescent="0.25">
      <c r="A17" s="16" t="str">
        <f>HYPERLINK("http://amigo.geneontology.org/amigo/term/GO:0010087","GO:0010087")</f>
        <v>GO:0010087</v>
      </c>
      <c r="B17" t="s">
        <v>1551</v>
      </c>
      <c r="C17" s="1">
        <v>1.3390000000000001E-5</v>
      </c>
      <c r="D17" s="1">
        <v>1.486E-5</v>
      </c>
      <c r="E17">
        <v>31</v>
      </c>
      <c r="F17" t="s">
        <v>2390</v>
      </c>
      <c r="G17" t="s">
        <v>2613</v>
      </c>
    </row>
    <row r="18" spans="1:7" x14ac:dyDescent="0.25">
      <c r="A18" s="16" t="str">
        <f>HYPERLINK("http://amigo.geneontology.org/amigo/term/GO:1900865","GO:1900865")</f>
        <v>GO:1900865</v>
      </c>
      <c r="B18" t="s">
        <v>1552</v>
      </c>
      <c r="C18" s="1">
        <v>1.628E-5</v>
      </c>
      <c r="D18" s="1">
        <v>1.8050000000000002E-5</v>
      </c>
      <c r="E18">
        <v>11</v>
      </c>
      <c r="F18" t="s">
        <v>177</v>
      </c>
      <c r="G18" t="s">
        <v>2594</v>
      </c>
    </row>
    <row r="19" spans="1:7" x14ac:dyDescent="0.25">
      <c r="A19" s="16" t="str">
        <f>HYPERLINK("http://amigo.geneontology.org/amigo/term/GO:0048825","GO:0048825")</f>
        <v>GO:0048825</v>
      </c>
      <c r="B19" t="s">
        <v>1553</v>
      </c>
      <c r="C19" s="1">
        <v>2.1630000000000001E-5</v>
      </c>
      <c r="D19" s="1">
        <v>2.3980000000000001E-5</v>
      </c>
      <c r="E19">
        <v>12</v>
      </c>
      <c r="F19" t="s">
        <v>194</v>
      </c>
      <c r="G19" t="s">
        <v>2594</v>
      </c>
    </row>
    <row r="20" spans="1:7" x14ac:dyDescent="0.25">
      <c r="A20" s="16" t="str">
        <f>HYPERLINK("http://amigo.geneontology.org/amigo/term/GO:0009965","GO:0009965")</f>
        <v>GO:0009965</v>
      </c>
      <c r="B20" t="s">
        <v>1554</v>
      </c>
      <c r="C20" s="1">
        <v>2.8019999999999999E-5</v>
      </c>
      <c r="D20" s="1">
        <v>3.1050000000000003E-5</v>
      </c>
      <c r="E20">
        <v>13</v>
      </c>
      <c r="F20" t="s">
        <v>206</v>
      </c>
      <c r="G20" t="s">
        <v>2594</v>
      </c>
    </row>
    <row r="21" spans="1:7" x14ac:dyDescent="0.25">
      <c r="A21" s="16" t="str">
        <f>HYPERLINK("http://amigo.geneontology.org/amigo/term/GO:0010051","GO:0010051")</f>
        <v>GO:0010051</v>
      </c>
      <c r="B21" t="s">
        <v>1555</v>
      </c>
      <c r="C21" s="1">
        <v>4.4270000000000001E-5</v>
      </c>
      <c r="D21" s="1">
        <v>4.905E-5</v>
      </c>
      <c r="E21">
        <v>15</v>
      </c>
      <c r="F21" t="s">
        <v>232</v>
      </c>
      <c r="G21" t="s">
        <v>2594</v>
      </c>
    </row>
    <row r="22" spans="1:7" x14ac:dyDescent="0.25">
      <c r="A22" s="16" t="str">
        <f>HYPERLINK("http://amigo.geneontology.org/amigo/term/GO:0000165","GO:0000165")</f>
        <v>GO:0000165</v>
      </c>
      <c r="B22" t="s">
        <v>1556</v>
      </c>
      <c r="C22" s="1">
        <v>7.8560000000000007E-5</v>
      </c>
      <c r="D22" s="1">
        <v>8.7039999999999993E-5</v>
      </c>
      <c r="E22">
        <v>18</v>
      </c>
      <c r="F22" t="s">
        <v>279</v>
      </c>
      <c r="G22" t="s">
        <v>2659</v>
      </c>
    </row>
    <row r="23" spans="1:7" x14ac:dyDescent="0.25">
      <c r="A23" s="16" t="str">
        <f>HYPERLINK("http://amigo.geneontology.org/amigo/term/GO:0010187","GO:0010187")</f>
        <v>GO:0010187</v>
      </c>
      <c r="B23" t="s">
        <v>1557</v>
      </c>
      <c r="C23" s="1">
        <v>1.3009999999999999E-4</v>
      </c>
      <c r="D23" s="1">
        <v>1.4410000000000001E-4</v>
      </c>
      <c r="E23">
        <v>4</v>
      </c>
      <c r="F23" t="s">
        <v>1839</v>
      </c>
      <c r="G23" t="s">
        <v>2641</v>
      </c>
    </row>
    <row r="24" spans="1:7" x14ac:dyDescent="0.25">
      <c r="A24" s="16" t="str">
        <f>HYPERLINK("http://amigo.geneontology.org/amigo/term/GO:1900140","GO:1900140")</f>
        <v>GO:1900140</v>
      </c>
      <c r="B24" t="s">
        <v>1558</v>
      </c>
      <c r="C24" s="1">
        <v>3.3859999999999999E-4</v>
      </c>
      <c r="D24" s="1">
        <v>3.7500000000000001E-4</v>
      </c>
      <c r="E24">
        <v>29</v>
      </c>
      <c r="F24" t="s">
        <v>2658</v>
      </c>
      <c r="G24" t="s">
        <v>2657</v>
      </c>
    </row>
    <row r="25" spans="1:7" x14ac:dyDescent="0.25">
      <c r="A25" s="16" t="str">
        <f>HYPERLINK("http://amigo.geneontology.org/amigo/term/GO:0010029","GO:0010029")</f>
        <v>GO:0010029</v>
      </c>
      <c r="B25" t="s">
        <v>1559</v>
      </c>
      <c r="C25" s="1">
        <v>3.3859999999999999E-4</v>
      </c>
      <c r="D25" s="1">
        <v>3.7500000000000001E-4</v>
      </c>
      <c r="E25">
        <v>29</v>
      </c>
      <c r="F25" t="s">
        <v>2658</v>
      </c>
      <c r="G25" t="s">
        <v>2657</v>
      </c>
    </row>
    <row r="26" spans="1:7" x14ac:dyDescent="0.25">
      <c r="A26" s="16" t="str">
        <f>HYPERLINK("http://amigo.geneontology.org/amigo/term/GO:0042335","GO:0042335")</f>
        <v>GO:0042335</v>
      </c>
      <c r="B26" t="s">
        <v>1560</v>
      </c>
      <c r="C26" s="1">
        <v>4.5100000000000001E-4</v>
      </c>
      <c r="D26" s="1">
        <v>4.9930000000000005E-4</v>
      </c>
      <c r="E26">
        <v>7</v>
      </c>
      <c r="F26" t="s">
        <v>1829</v>
      </c>
      <c r="G26" t="s">
        <v>2641</v>
      </c>
    </row>
    <row r="27" spans="1:7" x14ac:dyDescent="0.25">
      <c r="A27" s="16" t="str">
        <f>HYPERLINK("http://amigo.geneontology.org/amigo/term/GO:1901668","GO:1901668")</f>
        <v>GO:1901668</v>
      </c>
      <c r="B27" t="s">
        <v>149</v>
      </c>
      <c r="C27" s="1">
        <v>7.6840000000000003E-4</v>
      </c>
      <c r="D27" s="1">
        <v>8.5039999999999996E-4</v>
      </c>
      <c r="E27">
        <v>9</v>
      </c>
      <c r="F27" t="s">
        <v>392</v>
      </c>
      <c r="G27" t="s">
        <v>2650</v>
      </c>
    </row>
    <row r="28" spans="1:7" x14ac:dyDescent="0.25">
      <c r="A28" s="16" t="str">
        <f>HYPERLINK("http://amigo.geneontology.org/amigo/term/GO:1901671","GO:1901671")</f>
        <v>GO:1901671</v>
      </c>
      <c r="B28" t="s">
        <v>151</v>
      </c>
      <c r="C28" s="1">
        <v>7.6840000000000003E-4</v>
      </c>
      <c r="D28" s="1">
        <v>8.5039999999999996E-4</v>
      </c>
      <c r="E28">
        <v>9</v>
      </c>
      <c r="F28" t="s">
        <v>392</v>
      </c>
      <c r="G28" t="s">
        <v>2650</v>
      </c>
    </row>
    <row r="29" spans="1:7" x14ac:dyDescent="0.25">
      <c r="A29" s="16" t="str">
        <f>HYPERLINK("http://amigo.geneontology.org/amigo/term/GO:0009934","GO:0009934")</f>
        <v>GO:0009934</v>
      </c>
      <c r="B29" t="s">
        <v>1561</v>
      </c>
      <c r="C29" s="1">
        <v>9.5750000000000002E-4</v>
      </c>
      <c r="D29" s="1">
        <v>1.06E-3</v>
      </c>
      <c r="E29">
        <v>10</v>
      </c>
      <c r="F29" t="s">
        <v>408</v>
      </c>
      <c r="G29" t="s">
        <v>2641</v>
      </c>
    </row>
    <row r="30" spans="1:7" x14ac:dyDescent="0.25">
      <c r="A30" s="16" t="str">
        <f>HYPERLINK("http://amigo.geneontology.org/amigo/term/GO:0003002","GO:0003002")</f>
        <v>GO:0003002</v>
      </c>
      <c r="B30" t="s">
        <v>479</v>
      </c>
      <c r="C30" s="1">
        <v>1.0169999999999999E-3</v>
      </c>
      <c r="D30" s="1">
        <v>1.1249999999999999E-3</v>
      </c>
      <c r="E30">
        <v>42</v>
      </c>
      <c r="F30" t="s">
        <v>480</v>
      </c>
      <c r="G30" t="s">
        <v>2594</v>
      </c>
    </row>
    <row r="31" spans="1:7" x14ac:dyDescent="0.25">
      <c r="A31" s="16" t="str">
        <f>HYPERLINK("http://amigo.geneontology.org/amigo/term/GO:0048581","GO:0048581")</f>
        <v>GO:0048581</v>
      </c>
      <c r="B31" t="s">
        <v>1562</v>
      </c>
      <c r="C31" s="1">
        <v>1.0169999999999999E-3</v>
      </c>
      <c r="D31" s="1">
        <v>1.1249999999999999E-3</v>
      </c>
      <c r="E31">
        <v>42</v>
      </c>
      <c r="F31" t="s">
        <v>480</v>
      </c>
      <c r="G31" t="s">
        <v>2651</v>
      </c>
    </row>
    <row r="32" spans="1:7" x14ac:dyDescent="0.25">
      <c r="A32" s="16" t="str">
        <f>HYPERLINK("http://amigo.geneontology.org/amigo/term/GO:2000026","GO:2000026")</f>
        <v>GO:2000026</v>
      </c>
      <c r="B32" t="s">
        <v>1563</v>
      </c>
      <c r="C32" s="1">
        <v>1.5430000000000001E-3</v>
      </c>
      <c r="D32" s="1">
        <v>1.707E-3</v>
      </c>
      <c r="E32">
        <v>177</v>
      </c>
      <c r="F32" t="s">
        <v>2656</v>
      </c>
      <c r="G32" t="s">
        <v>2648</v>
      </c>
    </row>
    <row r="33" spans="1:7" x14ac:dyDescent="0.25">
      <c r="A33" s="16" t="str">
        <f>HYPERLINK("http://amigo.geneontology.org/amigo/term/GO:0048580","GO:0048580")</f>
        <v>GO:0048580</v>
      </c>
      <c r="B33" t="s">
        <v>1564</v>
      </c>
      <c r="C33" s="1">
        <v>1.5430000000000001E-3</v>
      </c>
      <c r="D33" s="1">
        <v>1.707E-3</v>
      </c>
      <c r="E33">
        <v>177</v>
      </c>
      <c r="F33" t="s">
        <v>2656</v>
      </c>
      <c r="G33" t="s">
        <v>2648</v>
      </c>
    </row>
    <row r="34" spans="1:7" x14ac:dyDescent="0.25">
      <c r="A34" s="16" t="str">
        <f>HYPERLINK("http://amigo.geneontology.org/amigo/term/GO:0009793","GO:0009793")</f>
        <v>GO:0009793</v>
      </c>
      <c r="B34" t="s">
        <v>525</v>
      </c>
      <c r="C34" s="1">
        <v>1.8289999999999999E-3</v>
      </c>
      <c r="D34" s="1">
        <v>2.0219999999999999E-3</v>
      </c>
      <c r="E34">
        <v>184</v>
      </c>
      <c r="F34" t="s">
        <v>2655</v>
      </c>
      <c r="G34" t="s">
        <v>2573</v>
      </c>
    </row>
    <row r="35" spans="1:7" x14ac:dyDescent="0.25">
      <c r="A35" s="16" t="str">
        <f>HYPERLINK("http://amigo.geneontology.org/amigo/term/GO:0009790","GO:0009790")</f>
        <v>GO:0009790</v>
      </c>
      <c r="B35" t="s">
        <v>522</v>
      </c>
      <c r="C35" s="1">
        <v>1.9620000000000002E-3</v>
      </c>
      <c r="D35" s="1">
        <v>2.1689999999999999E-3</v>
      </c>
      <c r="E35">
        <v>187</v>
      </c>
      <c r="F35" t="s">
        <v>2654</v>
      </c>
      <c r="G35" t="s">
        <v>2573</v>
      </c>
    </row>
    <row r="36" spans="1:7" x14ac:dyDescent="0.25">
      <c r="A36" s="16" t="str">
        <f>HYPERLINK("http://amigo.geneontology.org/amigo/term/GO:0007389","GO:0007389")</f>
        <v>GO:0007389</v>
      </c>
      <c r="B36" t="s">
        <v>631</v>
      </c>
      <c r="C36" s="1">
        <v>1.9980000000000002E-3</v>
      </c>
      <c r="D36" s="1">
        <v>2.209E-3</v>
      </c>
      <c r="E36">
        <v>53</v>
      </c>
      <c r="F36" t="s">
        <v>632</v>
      </c>
      <c r="G36" t="s">
        <v>2594</v>
      </c>
    </row>
    <row r="37" spans="1:7" x14ac:dyDescent="0.25">
      <c r="A37" s="16" t="str">
        <f>HYPERLINK("http://amigo.geneontology.org/amigo/term/GO:0051353","GO:0051353")</f>
        <v>GO:0051353</v>
      </c>
      <c r="B37" t="s">
        <v>237</v>
      </c>
      <c r="C37" s="1">
        <v>2.2000000000000001E-3</v>
      </c>
      <c r="D37" s="1">
        <v>2.431E-3</v>
      </c>
      <c r="E37">
        <v>15</v>
      </c>
      <c r="F37" t="s">
        <v>1802</v>
      </c>
      <c r="G37" t="s">
        <v>2650</v>
      </c>
    </row>
    <row r="38" spans="1:7" x14ac:dyDescent="0.25">
      <c r="A38" s="16" t="str">
        <f>HYPERLINK("http://amigo.geneontology.org/amigo/term/GO:0009926","GO:0009926")</f>
        <v>GO:0009926</v>
      </c>
      <c r="B38" t="s">
        <v>1565</v>
      </c>
      <c r="C38" s="1">
        <v>2.2000000000000001E-3</v>
      </c>
      <c r="D38" s="1">
        <v>2.431E-3</v>
      </c>
      <c r="E38">
        <v>15</v>
      </c>
      <c r="F38" t="s">
        <v>1802</v>
      </c>
      <c r="G38" t="s">
        <v>2641</v>
      </c>
    </row>
    <row r="39" spans="1:7" x14ac:dyDescent="0.25">
      <c r="A39" s="16" t="str">
        <f>HYPERLINK("http://amigo.geneontology.org/amigo/term/GO:0051241","GO:0051241")</f>
        <v>GO:0051241</v>
      </c>
      <c r="B39" t="s">
        <v>1320</v>
      </c>
      <c r="C39" s="1">
        <v>2.7160000000000001E-3</v>
      </c>
      <c r="D39" s="1">
        <v>3.0010000000000002E-3</v>
      </c>
      <c r="E39">
        <v>59</v>
      </c>
      <c r="F39" t="s">
        <v>1784</v>
      </c>
      <c r="G39" t="s">
        <v>2651</v>
      </c>
    </row>
    <row r="40" spans="1:7" x14ac:dyDescent="0.25">
      <c r="A40" s="16" t="str">
        <f>HYPERLINK("http://amigo.geneontology.org/amigo/term/GO:0042793","GO:0042793")</f>
        <v>GO:0042793</v>
      </c>
      <c r="B40" t="s">
        <v>1422</v>
      </c>
      <c r="C40" s="1">
        <v>3.176E-3</v>
      </c>
      <c r="D40" s="1">
        <v>3.5079999999999998E-3</v>
      </c>
      <c r="E40">
        <v>18</v>
      </c>
      <c r="F40" t="s">
        <v>542</v>
      </c>
      <c r="G40" t="s">
        <v>2653</v>
      </c>
    </row>
    <row r="41" spans="1:7" x14ac:dyDescent="0.25">
      <c r="A41" s="16" t="str">
        <f>HYPERLINK("http://amigo.geneontology.org/amigo/term/GO:0019566","GO:0019566")</f>
        <v>GO:0019566</v>
      </c>
      <c r="B41" t="s">
        <v>1566</v>
      </c>
      <c r="C41" s="1">
        <v>3.176E-3</v>
      </c>
      <c r="D41" s="1">
        <v>3.5079999999999998E-3</v>
      </c>
      <c r="E41">
        <v>18</v>
      </c>
      <c r="F41" t="s">
        <v>542</v>
      </c>
      <c r="G41" t="s">
        <v>2624</v>
      </c>
    </row>
    <row r="42" spans="1:7" x14ac:dyDescent="0.25">
      <c r="A42" s="16" t="str">
        <f>HYPERLINK("http://amigo.geneontology.org/amigo/term/GO:0046373","GO:0046373")</f>
        <v>GO:0046373</v>
      </c>
      <c r="B42" t="s">
        <v>1567</v>
      </c>
      <c r="C42" s="1">
        <v>3.176E-3</v>
      </c>
      <c r="D42" s="1">
        <v>3.5079999999999998E-3</v>
      </c>
      <c r="E42">
        <v>18</v>
      </c>
      <c r="F42" t="s">
        <v>542</v>
      </c>
      <c r="G42" t="s">
        <v>2624</v>
      </c>
    </row>
    <row r="43" spans="1:7" x14ac:dyDescent="0.25">
      <c r="A43" s="16" t="str">
        <f>HYPERLINK("http://amigo.geneontology.org/amigo/term/GO:0051093","GO:0051093")</f>
        <v>GO:0051093</v>
      </c>
      <c r="B43" t="s">
        <v>1323</v>
      </c>
      <c r="C43" s="1">
        <v>3.4220000000000001E-3</v>
      </c>
      <c r="D43" s="1">
        <v>3.7789999999999998E-3</v>
      </c>
      <c r="E43">
        <v>64</v>
      </c>
      <c r="F43" t="s">
        <v>2652</v>
      </c>
      <c r="G43" t="s">
        <v>2651</v>
      </c>
    </row>
    <row r="44" spans="1:7" x14ac:dyDescent="0.25">
      <c r="A44" s="16" t="str">
        <f>HYPERLINK("http://amigo.geneontology.org/amigo/term/GO:0051341","GO:0051341")</f>
        <v>GO:0051341</v>
      </c>
      <c r="B44" t="s">
        <v>310</v>
      </c>
      <c r="C44" s="1">
        <v>3.539E-3</v>
      </c>
      <c r="D44" s="1">
        <v>3.9069999999999999E-3</v>
      </c>
      <c r="E44">
        <v>19</v>
      </c>
      <c r="F44" t="s">
        <v>593</v>
      </c>
      <c r="G44" t="s">
        <v>2650</v>
      </c>
    </row>
    <row r="45" spans="1:7" x14ac:dyDescent="0.25">
      <c r="A45" s="16" t="str">
        <f>HYPERLINK("http://amigo.geneontology.org/amigo/term/GO:0090698","GO:0090698")</f>
        <v>GO:0090698</v>
      </c>
      <c r="B45" t="s">
        <v>977</v>
      </c>
      <c r="C45" s="1">
        <v>4.0600000000000002E-3</v>
      </c>
      <c r="D45" s="1">
        <v>4.4809999999999997E-3</v>
      </c>
      <c r="E45">
        <v>68</v>
      </c>
      <c r="F45" t="s">
        <v>2649</v>
      </c>
      <c r="G45" t="s">
        <v>2594</v>
      </c>
    </row>
    <row r="46" spans="1:7" x14ac:dyDescent="0.25">
      <c r="A46" s="16" t="str">
        <f>HYPERLINK("http://amigo.geneontology.org/amigo/term/GO:1902584","GO:1902584")</f>
        <v>GO:1902584</v>
      </c>
      <c r="B46" t="s">
        <v>1568</v>
      </c>
      <c r="C46" s="1">
        <v>4.3189999999999999E-3</v>
      </c>
      <c r="D46" s="1">
        <v>4.7660000000000003E-3</v>
      </c>
      <c r="E46">
        <v>21</v>
      </c>
      <c r="F46" t="s">
        <v>653</v>
      </c>
      <c r="G46" t="s">
        <v>2641</v>
      </c>
    </row>
    <row r="47" spans="1:7" x14ac:dyDescent="0.25">
      <c r="A47" s="16" t="str">
        <f>HYPERLINK("http://amigo.geneontology.org/amigo/term/GO:0051239","GO:0051239")</f>
        <v>GO:0051239</v>
      </c>
      <c r="B47" t="s">
        <v>1352</v>
      </c>
      <c r="C47" s="1">
        <v>4.4089999999999997E-3</v>
      </c>
      <c r="D47" s="1">
        <v>4.8640000000000003E-3</v>
      </c>
      <c r="E47">
        <v>226</v>
      </c>
      <c r="F47" t="s">
        <v>1777</v>
      </c>
      <c r="G47" t="s">
        <v>2648</v>
      </c>
    </row>
    <row r="48" spans="1:7" x14ac:dyDescent="0.25">
      <c r="A48" s="16" t="str">
        <f>HYPERLINK("http://amigo.geneontology.org/amigo/term/GO:0048316","GO:0048316")</f>
        <v>GO:0048316</v>
      </c>
      <c r="B48" t="s">
        <v>510</v>
      </c>
      <c r="C48" s="1">
        <v>4.5750000000000001E-3</v>
      </c>
      <c r="D48" s="1">
        <v>5.0460000000000001E-3</v>
      </c>
      <c r="E48">
        <v>228</v>
      </c>
      <c r="F48" t="s">
        <v>2647</v>
      </c>
      <c r="G48" t="s">
        <v>2573</v>
      </c>
    </row>
    <row r="49" spans="1:7" x14ac:dyDescent="0.25">
      <c r="A49" s="16" t="str">
        <f>HYPERLINK("http://amigo.geneontology.org/amigo/term/GO:0055085","GO:0055085")</f>
        <v>GO:0055085</v>
      </c>
      <c r="B49" t="s">
        <v>861</v>
      </c>
      <c r="C49" s="1">
        <v>5.3660000000000001E-3</v>
      </c>
      <c r="D49" s="1">
        <v>5.9170000000000004E-3</v>
      </c>
      <c r="E49">
        <v>3222</v>
      </c>
      <c r="F49" t="s">
        <v>2646</v>
      </c>
      <c r="G49" t="s">
        <v>2645</v>
      </c>
    </row>
    <row r="50" spans="1:7" x14ac:dyDescent="0.25">
      <c r="A50" s="16" t="str">
        <f>HYPERLINK("http://amigo.geneontology.org/amigo/term/GO:0010154","GO:0010154")</f>
        <v>GO:0010154</v>
      </c>
      <c r="B50" t="s">
        <v>507</v>
      </c>
      <c r="C50" s="1">
        <v>5.3759999999999997E-3</v>
      </c>
      <c r="D50" s="1">
        <v>5.927E-3</v>
      </c>
      <c r="E50">
        <v>237</v>
      </c>
      <c r="F50" t="s">
        <v>2644</v>
      </c>
      <c r="G50" t="s">
        <v>2573</v>
      </c>
    </row>
    <row r="51" spans="1:7" x14ac:dyDescent="0.25">
      <c r="A51" s="16" t="str">
        <f>HYPERLINK("http://amigo.geneontology.org/amigo/term/GO:0009914","GO:0009914")</f>
        <v>GO:0009914</v>
      </c>
      <c r="B51" t="s">
        <v>1569</v>
      </c>
      <c r="C51" s="1">
        <v>5.6239999999999997E-3</v>
      </c>
      <c r="D51" s="1">
        <v>6.1989999999999996E-3</v>
      </c>
      <c r="E51">
        <v>24</v>
      </c>
      <c r="F51" t="s">
        <v>1781</v>
      </c>
      <c r="G51" t="s">
        <v>2641</v>
      </c>
    </row>
    <row r="52" spans="1:7" x14ac:dyDescent="0.25">
      <c r="A52" s="16" t="str">
        <f>HYPERLINK("http://amigo.geneontology.org/amigo/term/GO:0060918","GO:0060918")</f>
        <v>GO:0060918</v>
      </c>
      <c r="B52" t="s">
        <v>1570</v>
      </c>
      <c r="C52" s="1">
        <v>5.6239999999999997E-3</v>
      </c>
      <c r="D52" s="1">
        <v>6.1989999999999996E-3</v>
      </c>
      <c r="E52">
        <v>24</v>
      </c>
      <c r="F52" t="s">
        <v>1781</v>
      </c>
      <c r="G52" t="s">
        <v>2641</v>
      </c>
    </row>
    <row r="53" spans="1:7" x14ac:dyDescent="0.25">
      <c r="A53" s="16" t="str">
        <f>HYPERLINK("http://amigo.geneontology.org/amigo/term/GO:1901700","GO:1901700")</f>
        <v>GO:1901700</v>
      </c>
      <c r="B53" t="s">
        <v>183</v>
      </c>
      <c r="C53" s="1">
        <v>5.6969999999999998E-3</v>
      </c>
      <c r="D53" s="1">
        <v>6.2779999999999997E-3</v>
      </c>
      <c r="E53">
        <v>819</v>
      </c>
      <c r="F53" t="s">
        <v>2643</v>
      </c>
      <c r="G53" t="s">
        <v>2642</v>
      </c>
    </row>
    <row r="54" spans="1:7" x14ac:dyDescent="0.25">
      <c r="A54" s="16" t="str">
        <f>HYPERLINK("http://amigo.geneontology.org/amigo/term/GO:2000070","GO:2000070")</f>
        <v>GO:2000070</v>
      </c>
      <c r="B54" t="s">
        <v>1571</v>
      </c>
      <c r="C54" s="1">
        <v>6.5820000000000002E-3</v>
      </c>
      <c r="D54" s="1">
        <v>7.2509999999999996E-3</v>
      </c>
      <c r="E54">
        <v>26</v>
      </c>
      <c r="F54" t="s">
        <v>2290</v>
      </c>
      <c r="G54" t="s">
        <v>2641</v>
      </c>
    </row>
    <row r="55" spans="1:7" x14ac:dyDescent="0.25">
      <c r="A55" s="16" t="str">
        <f>HYPERLINK("http://amigo.geneontology.org/amigo/term/GO:0048366","GO:0048366")</f>
        <v>GO:0048366</v>
      </c>
      <c r="B55" t="s">
        <v>1030</v>
      </c>
      <c r="C55" s="1">
        <v>6.8380000000000003E-3</v>
      </c>
      <c r="D55" s="1">
        <v>7.5319999999999996E-3</v>
      </c>
      <c r="E55">
        <v>82</v>
      </c>
      <c r="F55" t="s">
        <v>2640</v>
      </c>
      <c r="G55" t="s">
        <v>2594</v>
      </c>
    </row>
    <row r="56" spans="1:7" x14ac:dyDescent="0.25">
      <c r="A56" s="16" t="str">
        <f>HYPERLINK("http://amigo.geneontology.org/amigo/term/GO:0050793","GO:0050793")</f>
        <v>GO:0050793</v>
      </c>
      <c r="B56" t="s">
        <v>1572</v>
      </c>
      <c r="C56" s="1">
        <v>7.6169999999999996E-3</v>
      </c>
      <c r="D56" s="1">
        <v>8.3870000000000004E-3</v>
      </c>
      <c r="E56">
        <v>363</v>
      </c>
      <c r="F56" t="s">
        <v>2639</v>
      </c>
      <c r="G56" t="s">
        <v>2638</v>
      </c>
    </row>
    <row r="57" spans="1:7" x14ac:dyDescent="0.25">
      <c r="A57" s="16" t="str">
        <f>HYPERLINK("http://amigo.geneontology.org/amigo/term/GO:0048367","GO:0048367")</f>
        <v>GO:0048367</v>
      </c>
      <c r="B57" t="s">
        <v>909</v>
      </c>
      <c r="C57" s="1">
        <v>8.116E-3</v>
      </c>
      <c r="D57" s="1">
        <v>8.9350000000000002E-3</v>
      </c>
      <c r="E57">
        <v>262</v>
      </c>
      <c r="F57" t="s">
        <v>2637</v>
      </c>
      <c r="G57" t="s">
        <v>2608</v>
      </c>
    </row>
    <row r="58" spans="1:7" x14ac:dyDescent="0.25">
      <c r="A58" s="16" t="str">
        <f>HYPERLINK("http://amigo.geneontology.org/amigo/term/GO:0009964","GO:0009964")</f>
        <v>GO:0009964</v>
      </c>
      <c r="B58" t="s">
        <v>1573</v>
      </c>
      <c r="C58" s="1">
        <v>9.332E-3</v>
      </c>
      <c r="D58">
        <v>0.01</v>
      </c>
      <c r="E58">
        <v>2</v>
      </c>
      <c r="F58" t="s">
        <v>552</v>
      </c>
      <c r="G58" t="s">
        <v>2607</v>
      </c>
    </row>
    <row r="59" spans="1:7" x14ac:dyDescent="0.25">
      <c r="A59" s="16" t="str">
        <f>HYPERLINK("http://amigo.geneontology.org/amigo/term/GO:0098755","GO:0098755")</f>
        <v>GO:0098755</v>
      </c>
      <c r="B59" t="s">
        <v>1574</v>
      </c>
      <c r="C59" s="1">
        <v>9.332E-3</v>
      </c>
      <c r="D59">
        <v>0.01</v>
      </c>
      <c r="E59">
        <v>2</v>
      </c>
      <c r="F59" t="s">
        <v>552</v>
      </c>
      <c r="G59" t="s">
        <v>2588</v>
      </c>
    </row>
    <row r="60" spans="1:7" x14ac:dyDescent="0.25">
      <c r="A60" s="16" t="str">
        <f>HYPERLINK("http://amigo.geneontology.org/amigo/term/GO:0033993","GO:0033993")</f>
        <v>GO:0033993</v>
      </c>
      <c r="B60" t="s">
        <v>810</v>
      </c>
      <c r="C60">
        <v>0.01</v>
      </c>
      <c r="D60">
        <v>0.01</v>
      </c>
      <c r="E60">
        <v>399</v>
      </c>
      <c r="F60" t="s">
        <v>2636</v>
      </c>
      <c r="G60" t="s">
        <v>2635</v>
      </c>
    </row>
    <row r="61" spans="1:7" x14ac:dyDescent="0.25">
      <c r="A61" s="16" t="str">
        <f>HYPERLINK("http://amigo.geneontology.org/amigo/term/GO:0071396","GO:0071396")</f>
        <v>GO:0071396</v>
      </c>
      <c r="B61" t="s">
        <v>931</v>
      </c>
      <c r="C61">
        <v>0.01</v>
      </c>
      <c r="D61">
        <v>0.01</v>
      </c>
      <c r="E61">
        <v>192</v>
      </c>
      <c r="F61" t="s">
        <v>2634</v>
      </c>
      <c r="G61" t="s">
        <v>2603</v>
      </c>
    </row>
    <row r="62" spans="1:7" x14ac:dyDescent="0.25">
      <c r="A62" s="16" t="str">
        <f>HYPERLINK("http://amigo.geneontology.org/amigo/term/GO:0097306","GO:0097306")</f>
        <v>GO:0097306</v>
      </c>
      <c r="B62" t="s">
        <v>1575</v>
      </c>
      <c r="C62">
        <v>0.01</v>
      </c>
      <c r="D62">
        <v>0.01</v>
      </c>
      <c r="E62">
        <v>105</v>
      </c>
      <c r="F62" t="s">
        <v>2633</v>
      </c>
      <c r="G62" t="s">
        <v>2631</v>
      </c>
    </row>
    <row r="63" spans="1:7" x14ac:dyDescent="0.25">
      <c r="A63" s="16" t="str">
        <f>HYPERLINK("http://amigo.geneontology.org/amigo/term/GO:0071215","GO:0071215")</f>
        <v>GO:0071215</v>
      </c>
      <c r="B63" t="s">
        <v>1576</v>
      </c>
      <c r="C63">
        <v>0.01</v>
      </c>
      <c r="D63">
        <v>0.01</v>
      </c>
      <c r="E63">
        <v>105</v>
      </c>
      <c r="F63" t="s">
        <v>2633</v>
      </c>
      <c r="G63" t="s">
        <v>2631</v>
      </c>
    </row>
    <row r="64" spans="1:7" x14ac:dyDescent="0.25">
      <c r="A64" s="16" t="str">
        <f>HYPERLINK("http://amigo.geneontology.org/amigo/term/GO:0009738","GO:0009738")</f>
        <v>GO:0009738</v>
      </c>
      <c r="B64" t="s">
        <v>1577</v>
      </c>
      <c r="C64">
        <v>0.01</v>
      </c>
      <c r="D64">
        <v>0.01</v>
      </c>
      <c r="E64">
        <v>97</v>
      </c>
      <c r="F64" t="s">
        <v>2632</v>
      </c>
      <c r="G64" t="s">
        <v>2631</v>
      </c>
    </row>
    <row r="65" spans="1:7" x14ac:dyDescent="0.25">
      <c r="A65" s="16" t="str">
        <f>HYPERLINK("http://amigo.geneontology.org/amigo/term/GO:0005996","GO:0005996")</f>
        <v>GO:0005996</v>
      </c>
      <c r="B65" t="s">
        <v>1578</v>
      </c>
      <c r="C65">
        <v>0.01</v>
      </c>
      <c r="D65">
        <v>0.01</v>
      </c>
      <c r="E65">
        <v>292</v>
      </c>
      <c r="F65" t="s">
        <v>2630</v>
      </c>
      <c r="G65" t="s">
        <v>2629</v>
      </c>
    </row>
    <row r="66" spans="1:7" x14ac:dyDescent="0.25">
      <c r="A66" s="16" t="str">
        <f>HYPERLINK("http://amigo.geneontology.org/amigo/term/GO:0006260","GO:0006260")</f>
        <v>GO:0006260</v>
      </c>
      <c r="B66" t="s">
        <v>1579</v>
      </c>
      <c r="C66">
        <v>0.01</v>
      </c>
      <c r="D66">
        <v>0.01</v>
      </c>
      <c r="E66">
        <v>281</v>
      </c>
      <c r="F66" t="s">
        <v>2628</v>
      </c>
      <c r="G66" t="s">
        <v>2627</v>
      </c>
    </row>
    <row r="67" spans="1:7" x14ac:dyDescent="0.25">
      <c r="A67" s="16" t="str">
        <f>HYPERLINK("http://amigo.geneontology.org/amigo/term/GO:1901657","GO:1901657")</f>
        <v>GO:1901657</v>
      </c>
      <c r="B67" t="s">
        <v>197</v>
      </c>
      <c r="C67">
        <v>0.01</v>
      </c>
      <c r="D67">
        <v>0.01</v>
      </c>
      <c r="E67">
        <v>99</v>
      </c>
      <c r="F67" t="s">
        <v>1756</v>
      </c>
      <c r="G67" t="s">
        <v>2625</v>
      </c>
    </row>
    <row r="68" spans="1:7" x14ac:dyDescent="0.25">
      <c r="A68" s="16" t="str">
        <f>HYPERLINK("http://amigo.geneontology.org/amigo/term/GO:0009116","GO:0009116")</f>
        <v>GO:0009116</v>
      </c>
      <c r="B68" t="s">
        <v>181</v>
      </c>
      <c r="C68">
        <v>0.01</v>
      </c>
      <c r="D68">
        <v>0.01</v>
      </c>
      <c r="E68">
        <v>96</v>
      </c>
      <c r="F68" t="s">
        <v>2626</v>
      </c>
      <c r="G68" t="s">
        <v>2625</v>
      </c>
    </row>
    <row r="69" spans="1:7" x14ac:dyDescent="0.25">
      <c r="A69" s="16" t="str">
        <f>HYPERLINK("http://amigo.geneontology.org/amigo/term/GO:0019321","GO:0019321")</f>
        <v>GO:0019321</v>
      </c>
      <c r="B69" t="s">
        <v>1580</v>
      </c>
      <c r="C69">
        <v>0.01</v>
      </c>
      <c r="D69">
        <v>0.01</v>
      </c>
      <c r="E69">
        <v>34</v>
      </c>
      <c r="F69" t="s">
        <v>1748</v>
      </c>
      <c r="G69" t="s">
        <v>2624</v>
      </c>
    </row>
    <row r="70" spans="1:7" x14ac:dyDescent="0.25">
      <c r="A70" s="16" t="str">
        <f>HYPERLINK("http://amigo.geneontology.org/amigo/term/GO:0006821","GO:0006821")</f>
        <v>GO:0006821</v>
      </c>
      <c r="B70" t="s">
        <v>1581</v>
      </c>
      <c r="C70">
        <v>0.01</v>
      </c>
      <c r="D70">
        <v>0.01</v>
      </c>
      <c r="E70">
        <v>34</v>
      </c>
      <c r="F70" t="s">
        <v>1748</v>
      </c>
      <c r="G70" t="s">
        <v>2623</v>
      </c>
    </row>
    <row r="71" spans="1:7" x14ac:dyDescent="0.25">
      <c r="A71" s="16" t="str">
        <f>HYPERLINK("http://amigo.geneontology.org/amigo/term/GO:0006722","GO:0006722")</f>
        <v>GO:0006722</v>
      </c>
      <c r="B71" t="s">
        <v>527</v>
      </c>
      <c r="C71">
        <v>0.01</v>
      </c>
      <c r="D71">
        <v>0.01</v>
      </c>
      <c r="E71">
        <v>36</v>
      </c>
      <c r="F71" t="s">
        <v>2622</v>
      </c>
      <c r="G71" t="s">
        <v>2621</v>
      </c>
    </row>
    <row r="72" spans="1:7" x14ac:dyDescent="0.25">
      <c r="A72" s="16" t="str">
        <f>HYPERLINK("http://amigo.geneontology.org/amigo/term/GO:0016104","GO:0016104")</f>
        <v>GO:0016104</v>
      </c>
      <c r="B72" t="s">
        <v>529</v>
      </c>
      <c r="C72">
        <v>0.01</v>
      </c>
      <c r="D72">
        <v>0.01</v>
      </c>
      <c r="E72">
        <v>36</v>
      </c>
      <c r="F72" t="s">
        <v>2622</v>
      </c>
      <c r="G72" t="s">
        <v>2621</v>
      </c>
    </row>
    <row r="73" spans="1:7" x14ac:dyDescent="0.25">
      <c r="A73" s="16" t="str">
        <f>HYPERLINK("http://amigo.geneontology.org/amigo/term/GO:0042254","GO:0042254")</f>
        <v>GO:0042254</v>
      </c>
      <c r="B73" t="s">
        <v>1582</v>
      </c>
      <c r="C73">
        <v>0.02</v>
      </c>
      <c r="D73">
        <v>0.02</v>
      </c>
      <c r="E73">
        <v>447</v>
      </c>
      <c r="F73" t="s">
        <v>2620</v>
      </c>
      <c r="G73" t="s">
        <v>2619</v>
      </c>
    </row>
    <row r="74" spans="1:7" x14ac:dyDescent="0.25">
      <c r="A74" s="16" t="str">
        <f>HYPERLINK("http://amigo.geneontology.org/amigo/term/GO:0007165","GO:0007165")</f>
        <v>GO:0007165</v>
      </c>
      <c r="B74" t="s">
        <v>974</v>
      </c>
      <c r="C74">
        <v>0.02</v>
      </c>
      <c r="D74">
        <v>0.02</v>
      </c>
      <c r="E74">
        <v>1278</v>
      </c>
      <c r="F74" t="s">
        <v>2618</v>
      </c>
      <c r="G74" t="s">
        <v>2617</v>
      </c>
    </row>
    <row r="75" spans="1:7" x14ac:dyDescent="0.25">
      <c r="A75" s="16" t="str">
        <f>HYPERLINK("http://amigo.geneontology.org/amigo/term/GO:0009635","GO:0009635")</f>
        <v>GO:0009635</v>
      </c>
      <c r="B75" t="s">
        <v>1583</v>
      </c>
      <c r="C75">
        <v>0.02</v>
      </c>
      <c r="D75">
        <v>0.03</v>
      </c>
      <c r="E75">
        <v>5</v>
      </c>
      <c r="F75" t="s">
        <v>1732</v>
      </c>
      <c r="G75" t="s">
        <v>2616</v>
      </c>
    </row>
    <row r="76" spans="1:7" x14ac:dyDescent="0.25">
      <c r="A76" s="16" t="str">
        <f>HYPERLINK("http://amigo.geneontology.org/amigo/term/GO:0006012","GO:0006012")</f>
        <v>GO:0006012</v>
      </c>
      <c r="B76" t="s">
        <v>1584</v>
      </c>
      <c r="C76">
        <v>0.02</v>
      </c>
      <c r="D76">
        <v>0.02</v>
      </c>
      <c r="E76">
        <v>43</v>
      </c>
      <c r="F76" t="s">
        <v>2540</v>
      </c>
      <c r="G76" t="s">
        <v>2615</v>
      </c>
    </row>
    <row r="77" spans="1:7" x14ac:dyDescent="0.25">
      <c r="A77" s="16" t="str">
        <f>HYPERLINK("http://amigo.geneontology.org/amigo/term/GO:0009888","GO:0009888")</f>
        <v>GO:0009888</v>
      </c>
      <c r="B77" t="s">
        <v>1585</v>
      </c>
      <c r="C77">
        <v>0.02</v>
      </c>
      <c r="D77">
        <v>0.02</v>
      </c>
      <c r="E77">
        <v>220</v>
      </c>
      <c r="F77" t="s">
        <v>2614</v>
      </c>
      <c r="G77" t="s">
        <v>2613</v>
      </c>
    </row>
    <row r="78" spans="1:7" x14ac:dyDescent="0.25">
      <c r="A78" s="16" t="str">
        <f>HYPERLINK("http://amigo.geneontology.org/amigo/term/GO:0009620","GO:0009620")</f>
        <v>GO:0009620</v>
      </c>
      <c r="B78" t="s">
        <v>764</v>
      </c>
      <c r="C78">
        <v>0.02</v>
      </c>
      <c r="D78">
        <v>0.02</v>
      </c>
      <c r="E78">
        <v>127</v>
      </c>
      <c r="F78" t="s">
        <v>2612</v>
      </c>
      <c r="G78" t="s">
        <v>2611</v>
      </c>
    </row>
    <row r="79" spans="1:7" x14ac:dyDescent="0.25">
      <c r="A79" s="16" t="str">
        <f>HYPERLINK("http://amigo.geneontology.org/amigo/term/GO:0050832","GO:0050832")</f>
        <v>GO:0050832</v>
      </c>
      <c r="B79" t="s">
        <v>828</v>
      </c>
      <c r="C79">
        <v>0.02</v>
      </c>
      <c r="D79">
        <v>0.02</v>
      </c>
      <c r="E79">
        <v>115</v>
      </c>
      <c r="F79" t="s">
        <v>1734</v>
      </c>
      <c r="G79" t="s">
        <v>2611</v>
      </c>
    </row>
    <row r="80" spans="1:7" x14ac:dyDescent="0.25">
      <c r="A80" s="16" t="str">
        <f>HYPERLINK("http://amigo.geneontology.org/amigo/term/GO:0006272","GO:0006272")</f>
        <v>GO:0006272</v>
      </c>
      <c r="B80" t="s">
        <v>1586</v>
      </c>
      <c r="C80">
        <v>0.02</v>
      </c>
      <c r="D80">
        <v>0.02</v>
      </c>
      <c r="E80">
        <v>4</v>
      </c>
      <c r="F80" t="s">
        <v>1760</v>
      </c>
      <c r="G80" t="s">
        <v>2610</v>
      </c>
    </row>
    <row r="81" spans="1:7" x14ac:dyDescent="0.25">
      <c r="A81" s="16" t="str">
        <f>HYPERLINK("http://amigo.geneontology.org/amigo/term/GO:0009653","GO:0009653")</f>
        <v>GO:0009653</v>
      </c>
      <c r="B81" t="s">
        <v>1587</v>
      </c>
      <c r="C81">
        <v>0.02</v>
      </c>
      <c r="D81">
        <v>0.02</v>
      </c>
      <c r="E81">
        <v>311</v>
      </c>
      <c r="F81" t="s">
        <v>2609</v>
      </c>
      <c r="G81" t="s">
        <v>2608</v>
      </c>
    </row>
    <row r="82" spans="1:7" x14ac:dyDescent="0.25">
      <c r="A82" s="16" t="str">
        <f>HYPERLINK("http://amigo.geneontology.org/amigo/term/GO:1901661","GO:1901661")</f>
        <v>GO:1901661</v>
      </c>
      <c r="B82" t="s">
        <v>1459</v>
      </c>
      <c r="C82">
        <v>0.02</v>
      </c>
      <c r="D82">
        <v>0.02</v>
      </c>
      <c r="E82">
        <v>46</v>
      </c>
      <c r="F82" t="s">
        <v>2535</v>
      </c>
      <c r="G82" t="s">
        <v>2561</v>
      </c>
    </row>
    <row r="83" spans="1:7" x14ac:dyDescent="0.25">
      <c r="A83" s="16" t="str">
        <f>HYPERLINK("http://amigo.geneontology.org/amigo/term/GO:0042181","GO:0042181")</f>
        <v>GO:0042181</v>
      </c>
      <c r="B83" t="s">
        <v>1460</v>
      </c>
      <c r="C83">
        <v>0.02</v>
      </c>
      <c r="D83">
        <v>0.02</v>
      </c>
      <c r="E83">
        <v>46</v>
      </c>
      <c r="F83" t="s">
        <v>2535</v>
      </c>
      <c r="G83" t="s">
        <v>2561</v>
      </c>
    </row>
    <row r="84" spans="1:7" x14ac:dyDescent="0.25">
      <c r="A84" s="16" t="str">
        <f>HYPERLINK("http://amigo.geneontology.org/amigo/term/GO:1901663","GO:1901663")</f>
        <v>GO:1901663</v>
      </c>
      <c r="B84" t="s">
        <v>1461</v>
      </c>
      <c r="C84">
        <v>0.02</v>
      </c>
      <c r="D84">
        <v>0.02</v>
      </c>
      <c r="E84">
        <v>46</v>
      </c>
      <c r="F84" t="s">
        <v>2535</v>
      </c>
      <c r="G84" t="s">
        <v>2561</v>
      </c>
    </row>
    <row r="85" spans="1:7" x14ac:dyDescent="0.25">
      <c r="A85" s="16" t="str">
        <f>HYPERLINK("http://amigo.geneontology.org/amigo/term/GO:0009962","GO:0009962")</f>
        <v>GO:0009962</v>
      </c>
      <c r="B85" t="s">
        <v>1588</v>
      </c>
      <c r="C85">
        <v>0.02</v>
      </c>
      <c r="D85">
        <v>0.02</v>
      </c>
      <c r="E85">
        <v>4</v>
      </c>
      <c r="F85" t="s">
        <v>1760</v>
      </c>
      <c r="G85" t="s">
        <v>2607</v>
      </c>
    </row>
    <row r="86" spans="1:7" x14ac:dyDescent="0.25">
      <c r="A86" s="16" t="str">
        <f>HYPERLINK("http://amigo.geneontology.org/amigo/term/GO:2000242","GO:2000242")</f>
        <v>GO:2000242</v>
      </c>
      <c r="B86" t="s">
        <v>1589</v>
      </c>
      <c r="C86">
        <v>0.02</v>
      </c>
      <c r="D86">
        <v>0.02</v>
      </c>
      <c r="E86">
        <v>40</v>
      </c>
      <c r="F86" t="s">
        <v>2606</v>
      </c>
      <c r="G86" t="s">
        <v>2605</v>
      </c>
    </row>
    <row r="87" spans="1:7" x14ac:dyDescent="0.25">
      <c r="A87" s="16" t="str">
        <f>HYPERLINK("http://amigo.geneontology.org/amigo/term/GO:0051447","GO:0051447")</f>
        <v>GO:0051447</v>
      </c>
      <c r="B87" t="s">
        <v>1590</v>
      </c>
      <c r="C87">
        <v>0.02</v>
      </c>
      <c r="D87">
        <v>0.03</v>
      </c>
      <c r="E87">
        <v>5</v>
      </c>
      <c r="F87" t="s">
        <v>1732</v>
      </c>
      <c r="G87" t="s">
        <v>2560</v>
      </c>
    </row>
    <row r="88" spans="1:7" x14ac:dyDescent="0.25">
      <c r="A88" s="16" t="str">
        <f>HYPERLINK("http://amigo.geneontology.org/amigo/term/GO:0045835","GO:0045835")</f>
        <v>GO:0045835</v>
      </c>
      <c r="B88" t="s">
        <v>1591</v>
      </c>
      <c r="C88">
        <v>0.02</v>
      </c>
      <c r="D88">
        <v>0.03</v>
      </c>
      <c r="E88">
        <v>5</v>
      </c>
      <c r="F88" t="s">
        <v>1732</v>
      </c>
      <c r="G88" t="s">
        <v>2560</v>
      </c>
    </row>
    <row r="89" spans="1:7" x14ac:dyDescent="0.25">
      <c r="A89" s="16" t="str">
        <f>HYPERLINK("http://amigo.geneontology.org/amigo/term/GO:0045128","GO:0045128")</f>
        <v>GO:0045128</v>
      </c>
      <c r="B89" t="s">
        <v>1592</v>
      </c>
      <c r="C89">
        <v>0.02</v>
      </c>
      <c r="D89">
        <v>0.02</v>
      </c>
      <c r="E89">
        <v>4</v>
      </c>
      <c r="F89" t="s">
        <v>1760</v>
      </c>
      <c r="G89" t="s">
        <v>2560</v>
      </c>
    </row>
    <row r="90" spans="1:7" x14ac:dyDescent="0.25">
      <c r="A90" s="16" t="str">
        <f>HYPERLINK("http://amigo.geneontology.org/amigo/term/GO:0097437","GO:0097437")</f>
        <v>GO:0097437</v>
      </c>
      <c r="B90" t="s">
        <v>1593</v>
      </c>
      <c r="C90">
        <v>0.02</v>
      </c>
      <c r="D90">
        <v>0.03</v>
      </c>
      <c r="E90">
        <v>5</v>
      </c>
      <c r="F90" t="s">
        <v>1732</v>
      </c>
      <c r="G90" t="s">
        <v>2588</v>
      </c>
    </row>
    <row r="91" spans="1:7" x14ac:dyDescent="0.25">
      <c r="A91" s="16" t="str">
        <f>HYPERLINK("http://amigo.geneontology.org/amigo/term/GO:0010231","GO:0010231")</f>
        <v>GO:0010231</v>
      </c>
      <c r="B91" t="s">
        <v>1594</v>
      </c>
      <c r="C91">
        <v>0.02</v>
      </c>
      <c r="D91">
        <v>0.03</v>
      </c>
      <c r="E91">
        <v>5</v>
      </c>
      <c r="F91" t="s">
        <v>1732</v>
      </c>
      <c r="G91" t="s">
        <v>2588</v>
      </c>
    </row>
    <row r="92" spans="1:7" x14ac:dyDescent="0.25">
      <c r="A92" s="16" t="str">
        <f>HYPERLINK("http://amigo.geneontology.org/amigo/term/GO:1901701","GO:1901701")</f>
        <v>GO:1901701</v>
      </c>
      <c r="B92" t="s">
        <v>773</v>
      </c>
      <c r="C92">
        <v>0.03</v>
      </c>
      <c r="D92">
        <v>0.03</v>
      </c>
      <c r="E92">
        <v>249</v>
      </c>
      <c r="F92" t="s">
        <v>2604</v>
      </c>
      <c r="G92" t="s">
        <v>2603</v>
      </c>
    </row>
    <row r="93" spans="1:7" x14ac:dyDescent="0.25">
      <c r="A93" s="16" t="str">
        <f>HYPERLINK("http://amigo.geneontology.org/amigo/term/GO:0035556","GO:0035556")</f>
        <v>GO:0035556</v>
      </c>
      <c r="B93" t="s">
        <v>1595</v>
      </c>
      <c r="C93">
        <v>0.03</v>
      </c>
      <c r="D93">
        <v>0.03</v>
      </c>
      <c r="E93">
        <v>499</v>
      </c>
      <c r="F93" t="s">
        <v>2602</v>
      </c>
      <c r="G93" t="s">
        <v>2601</v>
      </c>
    </row>
    <row r="94" spans="1:7" x14ac:dyDescent="0.25">
      <c r="A94" s="16" t="str">
        <f>HYPERLINK("http://amigo.geneontology.org/amigo/term/GO:0009658","GO:0009658")</f>
        <v>GO:0009658</v>
      </c>
      <c r="B94" t="s">
        <v>1296</v>
      </c>
      <c r="C94">
        <v>0.03</v>
      </c>
      <c r="D94">
        <v>0.03</v>
      </c>
      <c r="E94">
        <v>142</v>
      </c>
      <c r="F94" t="s">
        <v>2600</v>
      </c>
      <c r="G94" t="s">
        <v>2599</v>
      </c>
    </row>
    <row r="95" spans="1:7" x14ac:dyDescent="0.25">
      <c r="A95" s="16" t="str">
        <f>HYPERLINK("http://amigo.geneontology.org/amigo/term/GO:0010817","GO:0010817")</f>
        <v>GO:0010817</v>
      </c>
      <c r="B95" t="s">
        <v>1242</v>
      </c>
      <c r="C95">
        <v>0.03</v>
      </c>
      <c r="D95">
        <v>0.03</v>
      </c>
      <c r="E95">
        <v>144</v>
      </c>
      <c r="F95" t="s">
        <v>2598</v>
      </c>
      <c r="G95" t="s">
        <v>2597</v>
      </c>
    </row>
    <row r="96" spans="1:7" x14ac:dyDescent="0.25">
      <c r="A96" s="16" t="str">
        <f>HYPERLINK("http://amigo.geneontology.org/amigo/term/GO:1905392","GO:1905392")</f>
        <v>GO:1905392</v>
      </c>
      <c r="B96" t="s">
        <v>1596</v>
      </c>
      <c r="C96">
        <v>0.03</v>
      </c>
      <c r="D96">
        <v>0.03</v>
      </c>
      <c r="E96">
        <v>135</v>
      </c>
      <c r="F96" t="s">
        <v>2596</v>
      </c>
      <c r="G96" t="s">
        <v>2594</v>
      </c>
    </row>
    <row r="97" spans="1:7" x14ac:dyDescent="0.25">
      <c r="A97" s="16" t="str">
        <f>HYPERLINK("http://amigo.geneontology.org/amigo/term/GO:0048827","GO:0048827")</f>
        <v>GO:0048827</v>
      </c>
      <c r="B97" t="s">
        <v>982</v>
      </c>
      <c r="C97">
        <v>0.03</v>
      </c>
      <c r="D97">
        <v>0.03</v>
      </c>
      <c r="E97">
        <v>145</v>
      </c>
      <c r="F97" t="s">
        <v>2595</v>
      </c>
      <c r="G97" t="s">
        <v>2594</v>
      </c>
    </row>
    <row r="98" spans="1:7" x14ac:dyDescent="0.25">
      <c r="A98" s="16" t="str">
        <f>HYPERLINK("http://amigo.geneontology.org/amigo/term/GO:0009233","GO:0009233")</f>
        <v>GO:0009233</v>
      </c>
      <c r="B98" t="s">
        <v>1597</v>
      </c>
      <c r="C98">
        <v>0.03</v>
      </c>
      <c r="D98">
        <v>0.03</v>
      </c>
      <c r="E98">
        <v>6</v>
      </c>
      <c r="F98" t="s">
        <v>1720</v>
      </c>
      <c r="G98" t="s">
        <v>2593</v>
      </c>
    </row>
    <row r="99" spans="1:7" x14ac:dyDescent="0.25">
      <c r="A99" s="16" t="str">
        <f>HYPERLINK("http://amigo.geneontology.org/amigo/term/GO:0009234","GO:0009234")</f>
        <v>GO:0009234</v>
      </c>
      <c r="B99" t="s">
        <v>1598</v>
      </c>
      <c r="C99">
        <v>0.03</v>
      </c>
      <c r="D99">
        <v>0.03</v>
      </c>
      <c r="E99">
        <v>6</v>
      </c>
      <c r="F99" t="s">
        <v>1720</v>
      </c>
      <c r="G99" t="s">
        <v>2593</v>
      </c>
    </row>
    <row r="100" spans="1:7" x14ac:dyDescent="0.25">
      <c r="A100" s="16" t="str">
        <f>HYPERLINK("http://amigo.geneontology.org/amigo/term/GO:0017062","GO:0017062")</f>
        <v>GO:0017062</v>
      </c>
      <c r="B100" t="s">
        <v>1599</v>
      </c>
      <c r="C100">
        <v>0.03</v>
      </c>
      <c r="D100">
        <v>0.03</v>
      </c>
      <c r="E100">
        <v>6</v>
      </c>
      <c r="F100" t="s">
        <v>1720</v>
      </c>
      <c r="G100" t="s">
        <v>2592</v>
      </c>
    </row>
    <row r="101" spans="1:7" x14ac:dyDescent="0.25">
      <c r="A101" s="16" t="str">
        <f>HYPERLINK("http://amigo.geneontology.org/amigo/term/GO:0034551","GO:0034551")</f>
        <v>GO:0034551</v>
      </c>
      <c r="B101" t="s">
        <v>1600</v>
      </c>
      <c r="C101">
        <v>0.03</v>
      </c>
      <c r="D101">
        <v>0.03</v>
      </c>
      <c r="E101">
        <v>6</v>
      </c>
      <c r="F101" t="s">
        <v>1720</v>
      </c>
      <c r="G101" t="s">
        <v>2592</v>
      </c>
    </row>
    <row r="102" spans="1:7" x14ac:dyDescent="0.25">
      <c r="A102" s="16" t="str">
        <f>HYPERLINK("http://amigo.geneontology.org/amigo/term/GO:0070542","GO:0070542")</f>
        <v>GO:0070542</v>
      </c>
      <c r="B102" t="s">
        <v>808</v>
      </c>
      <c r="C102">
        <v>0.03</v>
      </c>
      <c r="D102">
        <v>0.04</v>
      </c>
      <c r="E102">
        <v>62</v>
      </c>
      <c r="F102" t="s">
        <v>2591</v>
      </c>
      <c r="G102" t="s">
        <v>2589</v>
      </c>
    </row>
    <row r="103" spans="1:7" x14ac:dyDescent="0.25">
      <c r="A103" s="16" t="str">
        <f>HYPERLINK("http://amigo.geneontology.org/amigo/term/GO:0009753","GO:0009753")</f>
        <v>GO:0009753</v>
      </c>
      <c r="B103" t="s">
        <v>807</v>
      </c>
      <c r="C103">
        <v>0.03</v>
      </c>
      <c r="D103">
        <v>0.04</v>
      </c>
      <c r="E103">
        <v>61</v>
      </c>
      <c r="F103" t="s">
        <v>2590</v>
      </c>
      <c r="G103" t="s">
        <v>2589</v>
      </c>
    </row>
    <row r="104" spans="1:7" x14ac:dyDescent="0.25">
      <c r="A104" s="16" t="str">
        <f>HYPERLINK("http://amigo.geneontology.org/amigo/term/GO:0010520","GO:0010520")</f>
        <v>GO:0010520</v>
      </c>
      <c r="B104" t="s">
        <v>1601</v>
      </c>
      <c r="C104">
        <v>0.03</v>
      </c>
      <c r="D104">
        <v>0.03</v>
      </c>
      <c r="E104">
        <v>6</v>
      </c>
      <c r="F104" t="s">
        <v>1720</v>
      </c>
      <c r="G104" t="s">
        <v>2560</v>
      </c>
    </row>
    <row r="105" spans="1:7" x14ac:dyDescent="0.25">
      <c r="A105" s="16" t="str">
        <f>HYPERLINK("http://amigo.geneontology.org/amigo/term/GO:0022611","GO:0022611")</f>
        <v>GO:0022611</v>
      </c>
      <c r="B105" t="s">
        <v>1602</v>
      </c>
      <c r="C105">
        <v>0.03</v>
      </c>
      <c r="D105">
        <v>0.03</v>
      </c>
      <c r="E105">
        <v>6</v>
      </c>
      <c r="F105" t="s">
        <v>1720</v>
      </c>
      <c r="G105" t="s">
        <v>2588</v>
      </c>
    </row>
    <row r="106" spans="1:7" x14ac:dyDescent="0.25">
      <c r="A106" s="16" t="str">
        <f>HYPERLINK("http://amigo.geneontology.org/amigo/term/GO:0010162","GO:0010162")</f>
        <v>GO:0010162</v>
      </c>
      <c r="B106" t="s">
        <v>1603</v>
      </c>
      <c r="C106">
        <v>0.03</v>
      </c>
      <c r="D106">
        <v>0.03</v>
      </c>
      <c r="E106">
        <v>6</v>
      </c>
      <c r="F106" t="s">
        <v>1720</v>
      </c>
      <c r="G106" t="s">
        <v>2588</v>
      </c>
    </row>
    <row r="107" spans="1:7" x14ac:dyDescent="0.25">
      <c r="A107" s="16" t="str">
        <f>HYPERLINK("http://amigo.geneontology.org/amigo/term/GO:0006595","GO:0006595")</f>
        <v>GO:0006595</v>
      </c>
      <c r="B107" t="s">
        <v>402</v>
      </c>
      <c r="C107">
        <v>0.03</v>
      </c>
      <c r="D107">
        <v>0.03</v>
      </c>
      <c r="E107">
        <v>55</v>
      </c>
      <c r="F107" t="s">
        <v>2587</v>
      </c>
      <c r="G107" t="s">
        <v>2585</v>
      </c>
    </row>
    <row r="108" spans="1:7" x14ac:dyDescent="0.25">
      <c r="A108" s="16" t="str">
        <f>HYPERLINK("http://amigo.geneontology.org/amigo/term/GO:0006596","GO:0006596")</f>
        <v>GO:0006596</v>
      </c>
      <c r="B108" t="s">
        <v>395</v>
      </c>
      <c r="C108">
        <v>0.03</v>
      </c>
      <c r="D108">
        <v>0.03</v>
      </c>
      <c r="E108">
        <v>53</v>
      </c>
      <c r="F108" t="s">
        <v>2586</v>
      </c>
      <c r="G108" t="s">
        <v>2585</v>
      </c>
    </row>
    <row r="109" spans="1:7" x14ac:dyDescent="0.25">
      <c r="A109" s="16" t="str">
        <f>HYPERLINK("http://amigo.geneontology.org/amigo/term/GO:0042221","GO:0042221")</f>
        <v>GO:0042221</v>
      </c>
      <c r="B109" t="s">
        <v>413</v>
      </c>
      <c r="C109">
        <v>0.04</v>
      </c>
      <c r="D109">
        <v>0.04</v>
      </c>
      <c r="E109">
        <v>1733</v>
      </c>
      <c r="F109" t="s">
        <v>2584</v>
      </c>
      <c r="G109" t="s">
        <v>2583</v>
      </c>
    </row>
    <row r="110" spans="1:7" x14ac:dyDescent="0.25">
      <c r="A110" s="16" t="str">
        <f>HYPERLINK("http://amigo.geneontology.org/amigo/term/GO:0071495","GO:0071495")</f>
        <v>GO:0071495</v>
      </c>
      <c r="B110" t="s">
        <v>1604</v>
      </c>
      <c r="C110">
        <v>0.04</v>
      </c>
      <c r="D110">
        <v>0.05</v>
      </c>
      <c r="E110">
        <v>409</v>
      </c>
      <c r="F110" t="s">
        <v>2582</v>
      </c>
      <c r="G110" t="s">
        <v>2581</v>
      </c>
    </row>
    <row r="111" spans="1:7" x14ac:dyDescent="0.25">
      <c r="A111" s="16" t="str">
        <f>HYPERLINK("http://amigo.geneontology.org/amigo/term/GO:0032870","GO:0032870")</f>
        <v>GO:0032870</v>
      </c>
      <c r="B111" t="s">
        <v>1605</v>
      </c>
      <c r="C111">
        <v>0.04</v>
      </c>
      <c r="D111">
        <v>0.05</v>
      </c>
      <c r="E111">
        <v>408</v>
      </c>
      <c r="F111" t="s">
        <v>2574</v>
      </c>
      <c r="G111" t="s">
        <v>2581</v>
      </c>
    </row>
    <row r="112" spans="1:7" x14ac:dyDescent="0.25">
      <c r="A112" s="16" t="str">
        <f>HYPERLINK("http://amigo.geneontology.org/amigo/term/GO:1905183","GO:1905183")</f>
        <v>GO:1905183</v>
      </c>
      <c r="B112" t="s">
        <v>1606</v>
      </c>
      <c r="C112">
        <v>0.04</v>
      </c>
      <c r="D112">
        <v>0.05</v>
      </c>
      <c r="E112">
        <v>9</v>
      </c>
      <c r="F112" t="s">
        <v>2568</v>
      </c>
      <c r="G112" t="s">
        <v>2580</v>
      </c>
    </row>
    <row r="113" spans="1:7" x14ac:dyDescent="0.25">
      <c r="A113" s="16" t="str">
        <f>HYPERLINK("http://amigo.geneontology.org/amigo/term/GO:0006364","GO:0006364")</f>
        <v>GO:0006364</v>
      </c>
      <c r="B113" t="s">
        <v>1607</v>
      </c>
      <c r="C113">
        <v>0.04</v>
      </c>
      <c r="D113">
        <v>0.05</v>
      </c>
      <c r="E113">
        <v>278</v>
      </c>
      <c r="F113" t="s">
        <v>2579</v>
      </c>
      <c r="G113" t="s">
        <v>2563</v>
      </c>
    </row>
    <row r="114" spans="1:7" x14ac:dyDescent="0.25">
      <c r="A114" s="16" t="str">
        <f>HYPERLINK("http://amigo.geneontology.org/amigo/term/GO:0006749","GO:0006749")</f>
        <v>GO:0006749</v>
      </c>
      <c r="B114" t="s">
        <v>48</v>
      </c>
      <c r="C114">
        <v>0.04</v>
      </c>
      <c r="D114">
        <v>0.04</v>
      </c>
      <c r="E114">
        <v>399</v>
      </c>
      <c r="F114" t="s">
        <v>2578</v>
      </c>
      <c r="G114" t="s">
        <v>2577</v>
      </c>
    </row>
    <row r="115" spans="1:7" x14ac:dyDescent="0.25">
      <c r="A115" s="16" t="str">
        <f>HYPERLINK("http://amigo.geneontology.org/amigo/term/GO:0048731","GO:0048731")</f>
        <v>GO:0048731</v>
      </c>
      <c r="B115" t="s">
        <v>557</v>
      </c>
      <c r="C115">
        <v>0.04</v>
      </c>
      <c r="D115">
        <v>0.04</v>
      </c>
      <c r="E115">
        <v>658</v>
      </c>
      <c r="F115" t="s">
        <v>2576</v>
      </c>
      <c r="G115" t="s">
        <v>2575</v>
      </c>
    </row>
    <row r="116" spans="1:7" x14ac:dyDescent="0.25">
      <c r="A116" s="16" t="str">
        <f>HYPERLINK("http://amigo.geneontology.org/amigo/term/GO:0061458","GO:0061458")</f>
        <v>GO:0061458</v>
      </c>
      <c r="B116" t="s">
        <v>633</v>
      </c>
      <c r="C116">
        <v>0.04</v>
      </c>
      <c r="D116">
        <v>0.05</v>
      </c>
      <c r="E116">
        <v>407</v>
      </c>
      <c r="F116" t="s">
        <v>2574</v>
      </c>
      <c r="G116" t="s">
        <v>2573</v>
      </c>
    </row>
    <row r="117" spans="1:7" x14ac:dyDescent="0.25">
      <c r="A117" s="16" t="str">
        <f>HYPERLINK("http://amigo.geneontology.org/amigo/term/GO:0048608","GO:0048608")</f>
        <v>GO:0048608</v>
      </c>
      <c r="B117" t="s">
        <v>636</v>
      </c>
      <c r="C117">
        <v>0.04</v>
      </c>
      <c r="D117">
        <v>0.05</v>
      </c>
      <c r="E117">
        <v>407</v>
      </c>
      <c r="F117" t="s">
        <v>2574</v>
      </c>
      <c r="G117" t="s">
        <v>2573</v>
      </c>
    </row>
    <row r="118" spans="1:7" x14ac:dyDescent="0.25">
      <c r="A118" s="16" t="str">
        <f>HYPERLINK("http://amigo.geneontology.org/amigo/term/GO:0006766","GO:0006766")</f>
        <v>GO:0006766</v>
      </c>
      <c r="B118" t="s">
        <v>1477</v>
      </c>
      <c r="C118">
        <v>0.04</v>
      </c>
      <c r="D118">
        <v>0.04</v>
      </c>
      <c r="E118">
        <v>160</v>
      </c>
      <c r="F118" t="s">
        <v>2572</v>
      </c>
      <c r="G118" t="s">
        <v>2570</v>
      </c>
    </row>
    <row r="119" spans="1:7" x14ac:dyDescent="0.25">
      <c r="A119" s="16" t="str">
        <f>HYPERLINK("http://amigo.geneontology.org/amigo/term/GO:0009110","GO:0009110")</f>
        <v>GO:0009110</v>
      </c>
      <c r="B119" t="s">
        <v>1468</v>
      </c>
      <c r="C119">
        <v>0.04</v>
      </c>
      <c r="D119">
        <v>0.04</v>
      </c>
      <c r="E119">
        <v>154</v>
      </c>
      <c r="F119" t="s">
        <v>2571</v>
      </c>
      <c r="G119" t="s">
        <v>2570</v>
      </c>
    </row>
    <row r="120" spans="1:7" x14ac:dyDescent="0.25">
      <c r="A120" s="16" t="str">
        <f>HYPERLINK("http://amigo.geneontology.org/amigo/term/GO:0008614","GO:0008614")</f>
        <v>GO:0008614</v>
      </c>
      <c r="B120" t="s">
        <v>1608</v>
      </c>
      <c r="C120">
        <v>0.04</v>
      </c>
      <c r="D120">
        <v>0.05</v>
      </c>
      <c r="E120">
        <v>9</v>
      </c>
      <c r="F120" t="s">
        <v>2568</v>
      </c>
      <c r="G120" t="s">
        <v>2569</v>
      </c>
    </row>
    <row r="121" spans="1:7" x14ac:dyDescent="0.25">
      <c r="A121" s="16" t="str">
        <f>HYPERLINK("http://amigo.geneontology.org/amigo/term/GO:0008615","GO:0008615")</f>
        <v>GO:0008615</v>
      </c>
      <c r="B121" t="s">
        <v>1609</v>
      </c>
      <c r="C121">
        <v>0.04</v>
      </c>
      <c r="D121">
        <v>0.05</v>
      </c>
      <c r="E121">
        <v>9</v>
      </c>
      <c r="F121" t="s">
        <v>2568</v>
      </c>
      <c r="G121" t="s">
        <v>2569</v>
      </c>
    </row>
    <row r="122" spans="1:7" x14ac:dyDescent="0.25">
      <c r="A122" s="16" t="str">
        <f>HYPERLINK("http://amigo.geneontology.org/amigo/term/GO:0043096","GO:0043096")</f>
        <v>GO:0043096</v>
      </c>
      <c r="B122" t="s">
        <v>1610</v>
      </c>
      <c r="C122">
        <v>0.04</v>
      </c>
      <c r="D122">
        <v>0.05</v>
      </c>
      <c r="E122">
        <v>9</v>
      </c>
      <c r="F122" t="s">
        <v>2568</v>
      </c>
      <c r="G122" t="s">
        <v>2567</v>
      </c>
    </row>
    <row r="123" spans="1:7" x14ac:dyDescent="0.25">
      <c r="A123" s="16" t="str">
        <f>HYPERLINK("http://amigo.geneontology.org/amigo/term/GO:0046083","GO:0046083")</f>
        <v>GO:0046083</v>
      </c>
      <c r="B123" t="s">
        <v>1611</v>
      </c>
      <c r="C123">
        <v>0.04</v>
      </c>
      <c r="D123">
        <v>0.05</v>
      </c>
      <c r="E123">
        <v>9</v>
      </c>
      <c r="F123" t="s">
        <v>2568</v>
      </c>
      <c r="G123" t="s">
        <v>2567</v>
      </c>
    </row>
    <row r="124" spans="1:7" x14ac:dyDescent="0.25">
      <c r="A124" s="16" t="str">
        <f>HYPERLINK("http://amigo.geneontology.org/amigo/term/GO:0046084","GO:0046084")</f>
        <v>GO:0046084</v>
      </c>
      <c r="B124" t="s">
        <v>1612</v>
      </c>
      <c r="C124">
        <v>0.04</v>
      </c>
      <c r="D124">
        <v>0.05</v>
      </c>
      <c r="E124">
        <v>9</v>
      </c>
      <c r="F124" t="s">
        <v>2568</v>
      </c>
      <c r="G124" t="s">
        <v>2567</v>
      </c>
    </row>
    <row r="125" spans="1:7" x14ac:dyDescent="0.25">
      <c r="A125" s="16" t="str">
        <f>HYPERLINK("http://amigo.geneontology.org/amigo/term/GO:0006168","GO:0006168")</f>
        <v>GO:0006168</v>
      </c>
      <c r="B125" t="s">
        <v>1613</v>
      </c>
      <c r="C125">
        <v>0.04</v>
      </c>
      <c r="D125">
        <v>0.05</v>
      </c>
      <c r="E125">
        <v>9</v>
      </c>
      <c r="F125" t="s">
        <v>2568</v>
      </c>
      <c r="G125" t="s">
        <v>2567</v>
      </c>
    </row>
    <row r="126" spans="1:7" x14ac:dyDescent="0.25">
      <c r="A126" s="16" t="str">
        <f>HYPERLINK("http://amigo.geneontology.org/amigo/term/GO:0097305","GO:0097305")</f>
        <v>GO:0097305</v>
      </c>
      <c r="B126" t="s">
        <v>934</v>
      </c>
      <c r="C126">
        <v>0.05</v>
      </c>
      <c r="D126">
        <v>0.05</v>
      </c>
      <c r="E126">
        <v>284</v>
      </c>
      <c r="F126" t="s">
        <v>2566</v>
      </c>
      <c r="G126" t="s">
        <v>2565</v>
      </c>
    </row>
    <row r="127" spans="1:7" x14ac:dyDescent="0.25">
      <c r="A127" s="16" t="str">
        <f>HYPERLINK("http://amigo.geneontology.org/amigo/term/GO:0009737","GO:0009737")</f>
        <v>GO:0009737</v>
      </c>
      <c r="B127" t="s">
        <v>935</v>
      </c>
      <c r="C127">
        <v>0.05</v>
      </c>
      <c r="D127">
        <v>0.05</v>
      </c>
      <c r="E127">
        <v>284</v>
      </c>
      <c r="F127" t="s">
        <v>2566</v>
      </c>
      <c r="G127" t="s">
        <v>2565</v>
      </c>
    </row>
    <row r="128" spans="1:7" x14ac:dyDescent="0.25">
      <c r="A128" s="16" t="str">
        <f>HYPERLINK("http://amigo.geneontology.org/amigo/term/GO:0016072","GO:0016072")</f>
        <v>GO:0016072</v>
      </c>
      <c r="B128" t="s">
        <v>1614</v>
      </c>
      <c r="C128">
        <v>0.05</v>
      </c>
      <c r="D128">
        <v>0.05</v>
      </c>
      <c r="E128">
        <v>285</v>
      </c>
      <c r="F128" t="s">
        <v>2564</v>
      </c>
      <c r="G128" t="s">
        <v>2563</v>
      </c>
    </row>
    <row r="129" spans="1:7" x14ac:dyDescent="0.25">
      <c r="A129" s="16" t="str">
        <f>HYPERLINK("http://amigo.geneontology.org/amigo/term/GO:0042180","GO:0042180")</f>
        <v>GO:0042180</v>
      </c>
      <c r="B129" t="s">
        <v>1480</v>
      </c>
      <c r="C129">
        <v>0.05</v>
      </c>
      <c r="D129">
        <v>0.05</v>
      </c>
      <c r="E129">
        <v>75</v>
      </c>
      <c r="F129" t="s">
        <v>2562</v>
      </c>
      <c r="G129" t="s">
        <v>2561</v>
      </c>
    </row>
    <row r="130" spans="1:7" x14ac:dyDescent="0.25">
      <c r="A130" s="16" t="str">
        <f>HYPERLINK("http://amigo.geneontology.org/amigo/term/GO:0040020","GO:0040020")</f>
        <v>GO:0040020</v>
      </c>
      <c r="B130" t="s">
        <v>1615</v>
      </c>
      <c r="C130">
        <v>0.05</v>
      </c>
      <c r="D130">
        <v>0.05</v>
      </c>
      <c r="E130">
        <v>10</v>
      </c>
      <c r="F130" t="s">
        <v>2486</v>
      </c>
      <c r="G130" t="s">
        <v>2560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pane xSplit="2" ySplit="10" topLeftCell="C102" activePane="bottomRight" state="frozen"/>
      <selection pane="topRight" activeCell="C1" sqref="C1"/>
      <selection pane="bottomLeft" activeCell="A11" sqref="A11"/>
      <selection pane="bottomRight" activeCell="A11" sqref="A11:A128"/>
    </sheetView>
  </sheetViews>
  <sheetFormatPr defaultRowHeight="15" x14ac:dyDescent="0.25"/>
  <sheetData>
    <row r="1" spans="1:7" x14ac:dyDescent="0.25">
      <c r="A1" t="s">
        <v>0</v>
      </c>
      <c r="B1">
        <v>375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HYPERLINK("http://amigo.geneontology.org/amigo/term/GO:0030244","GO:0030244")</f>
        <v>GO:0030244</v>
      </c>
      <c r="B11" t="s">
        <v>1146</v>
      </c>
      <c r="C11" s="1">
        <v>3.4490000000000002E-13</v>
      </c>
      <c r="D11" s="1">
        <v>3.7830000000000001E-13</v>
      </c>
      <c r="E11">
        <v>108</v>
      </c>
      <c r="F11" t="s">
        <v>2774</v>
      </c>
      <c r="G11" t="s">
        <v>2765</v>
      </c>
    </row>
    <row r="12" spans="1:7" x14ac:dyDescent="0.25">
      <c r="A12" s="16" t="str">
        <f>HYPERLINK("http://amigo.geneontology.org/amigo/term/GO:0009250","GO:0009250")</f>
        <v>GO:0009250</v>
      </c>
      <c r="B12" t="s">
        <v>1148</v>
      </c>
      <c r="C12" s="1">
        <v>6.7719999999999998E-12</v>
      </c>
      <c r="D12" s="1">
        <v>7.4260000000000001E-12</v>
      </c>
      <c r="E12">
        <v>217</v>
      </c>
      <c r="F12" t="s">
        <v>2773</v>
      </c>
      <c r="G12" t="s">
        <v>2759</v>
      </c>
    </row>
    <row r="13" spans="1:7" x14ac:dyDescent="0.25">
      <c r="A13" s="16" t="str">
        <f>HYPERLINK("http://amigo.geneontology.org/amigo/term/GO:0051274","GO:0051274")</f>
        <v>GO:0051274</v>
      </c>
      <c r="B13" t="s">
        <v>1150</v>
      </c>
      <c r="C13" s="1">
        <v>1.3940000000000001E-11</v>
      </c>
      <c r="D13" s="1">
        <v>1.5280000000000001E-11</v>
      </c>
      <c r="E13">
        <v>147</v>
      </c>
      <c r="F13" t="s">
        <v>2772</v>
      </c>
      <c r="G13" t="s">
        <v>2765</v>
      </c>
    </row>
    <row r="14" spans="1:7" x14ac:dyDescent="0.25">
      <c r="A14" s="16" t="str">
        <f>HYPERLINK("http://amigo.geneontology.org/amigo/term/GO:0030243","GO:0030243")</f>
        <v>GO:0030243</v>
      </c>
      <c r="B14" t="s">
        <v>1152</v>
      </c>
      <c r="C14" s="1">
        <v>4.6989999999999997E-11</v>
      </c>
      <c r="D14" s="1">
        <v>5.1509999999999998E-11</v>
      </c>
      <c r="E14">
        <v>163</v>
      </c>
      <c r="F14" t="s">
        <v>2771</v>
      </c>
      <c r="G14" t="s">
        <v>2765</v>
      </c>
    </row>
    <row r="15" spans="1:7" x14ac:dyDescent="0.25">
      <c r="A15" s="16" t="str">
        <f>HYPERLINK("http://amigo.geneontology.org/amigo/term/GO:0044262","GO:0044262")</f>
        <v>GO:0044262</v>
      </c>
      <c r="B15" t="s">
        <v>280</v>
      </c>
      <c r="C15" s="1">
        <v>1.2E-10</v>
      </c>
      <c r="D15" s="1">
        <v>1.3150000000000001E-10</v>
      </c>
      <c r="E15">
        <v>711</v>
      </c>
      <c r="F15" t="s">
        <v>281</v>
      </c>
      <c r="G15" t="s">
        <v>2770</v>
      </c>
    </row>
    <row r="16" spans="1:7" x14ac:dyDescent="0.25">
      <c r="A16" s="16" t="str">
        <f>HYPERLINK("http://amigo.geneontology.org/amigo/term/GO:0033692","GO:0033692")</f>
        <v>GO:0033692</v>
      </c>
      <c r="B16" t="s">
        <v>1154</v>
      </c>
      <c r="C16" s="1">
        <v>1.367E-10</v>
      </c>
      <c r="D16" s="1">
        <v>1.4979999999999999E-10</v>
      </c>
      <c r="E16">
        <v>272</v>
      </c>
      <c r="F16" t="s">
        <v>2769</v>
      </c>
      <c r="G16" t="s">
        <v>2759</v>
      </c>
    </row>
    <row r="17" spans="1:7" x14ac:dyDescent="0.25">
      <c r="A17" s="16" t="str">
        <f>HYPERLINK("http://amigo.geneontology.org/amigo/term/GO:0006073","GO:0006073")</f>
        <v>GO:0006073</v>
      </c>
      <c r="B17" t="s">
        <v>380</v>
      </c>
      <c r="C17" s="1">
        <v>1.409E-10</v>
      </c>
      <c r="D17" s="1">
        <v>1.544E-10</v>
      </c>
      <c r="E17">
        <v>443</v>
      </c>
      <c r="F17" t="s">
        <v>2768</v>
      </c>
      <c r="G17" t="s">
        <v>2757</v>
      </c>
    </row>
    <row r="18" spans="1:7" x14ac:dyDescent="0.25">
      <c r="A18" s="16" t="str">
        <f>HYPERLINK("http://amigo.geneontology.org/amigo/term/GO:0044042","GO:0044042")</f>
        <v>GO:0044042</v>
      </c>
      <c r="B18" t="s">
        <v>383</v>
      </c>
      <c r="C18" s="1">
        <v>1.51E-10</v>
      </c>
      <c r="D18" s="1">
        <v>1.6529999999999999E-10</v>
      </c>
      <c r="E18">
        <v>445</v>
      </c>
      <c r="F18" t="s">
        <v>2767</v>
      </c>
      <c r="G18" t="s">
        <v>2757</v>
      </c>
    </row>
    <row r="19" spans="1:7" x14ac:dyDescent="0.25">
      <c r="A19" s="16" t="str">
        <f>HYPERLINK("http://amigo.geneontology.org/amigo/term/GO:0051273","GO:0051273")</f>
        <v>GO:0051273</v>
      </c>
      <c r="B19" t="s">
        <v>1156</v>
      </c>
      <c r="C19" s="1">
        <v>5.6270000000000003E-10</v>
      </c>
      <c r="D19" s="1">
        <v>6.1609999999999997E-10</v>
      </c>
      <c r="E19">
        <v>202</v>
      </c>
      <c r="F19" t="s">
        <v>2766</v>
      </c>
      <c r="G19" t="s">
        <v>2765</v>
      </c>
    </row>
    <row r="20" spans="1:7" x14ac:dyDescent="0.25">
      <c r="A20" s="16" t="str">
        <f>HYPERLINK("http://amigo.geneontology.org/amigo/term/GO:0000271","GO:0000271")</f>
        <v>GO:0000271</v>
      </c>
      <c r="B20" t="s">
        <v>1158</v>
      </c>
      <c r="C20" s="1">
        <v>6.6229999999999998E-10</v>
      </c>
      <c r="D20" s="1">
        <v>7.2490000000000005E-10</v>
      </c>
      <c r="E20">
        <v>307</v>
      </c>
      <c r="F20" t="s">
        <v>2764</v>
      </c>
      <c r="G20" t="s">
        <v>2759</v>
      </c>
    </row>
    <row r="21" spans="1:7" x14ac:dyDescent="0.25">
      <c r="A21" s="16" t="str">
        <f>HYPERLINK("http://amigo.geneontology.org/amigo/term/GO:0044264","GO:0044264")</f>
        <v>GO:0044264</v>
      </c>
      <c r="B21" t="s">
        <v>120</v>
      </c>
      <c r="C21" s="1">
        <v>1.264E-9</v>
      </c>
      <c r="D21" s="1">
        <v>1.3830000000000001E-9</v>
      </c>
      <c r="E21">
        <v>512</v>
      </c>
      <c r="F21" t="s">
        <v>2763</v>
      </c>
      <c r="G21" t="s">
        <v>2757</v>
      </c>
    </row>
    <row r="22" spans="1:7" x14ac:dyDescent="0.25">
      <c r="A22" s="16" t="str">
        <f>HYPERLINK("http://amigo.geneontology.org/amigo/term/GO:0016051","GO:0016051")</f>
        <v>GO:0016051</v>
      </c>
      <c r="B22" t="s">
        <v>1160</v>
      </c>
      <c r="C22" s="1">
        <v>1.8910000000000002E-9</v>
      </c>
      <c r="D22" s="1">
        <v>2.0690000000000002E-9</v>
      </c>
      <c r="E22">
        <v>458</v>
      </c>
      <c r="F22" t="s">
        <v>2762</v>
      </c>
      <c r="G22" t="s">
        <v>2761</v>
      </c>
    </row>
    <row r="23" spans="1:7" x14ac:dyDescent="0.25">
      <c r="A23" s="16" t="str">
        <f>HYPERLINK("http://amigo.geneontology.org/amigo/term/GO:0034637","GO:0034637")</f>
        <v>GO:0034637</v>
      </c>
      <c r="B23" t="s">
        <v>1162</v>
      </c>
      <c r="C23" s="1">
        <v>4.4130000000000004E-9</v>
      </c>
      <c r="D23" s="1">
        <v>4.8259999999999997E-9</v>
      </c>
      <c r="E23">
        <v>356</v>
      </c>
      <c r="F23" t="s">
        <v>2760</v>
      </c>
      <c r="G23" t="s">
        <v>2759</v>
      </c>
    </row>
    <row r="24" spans="1:7" x14ac:dyDescent="0.25">
      <c r="A24" s="16" t="str">
        <f>HYPERLINK("http://amigo.geneontology.org/amigo/term/GO:0005976","GO:0005976")</f>
        <v>GO:0005976</v>
      </c>
      <c r="B24" t="s">
        <v>238</v>
      </c>
      <c r="C24" s="1">
        <v>7.9220000000000004E-8</v>
      </c>
      <c r="D24" s="1">
        <v>8.6630000000000002E-8</v>
      </c>
      <c r="E24">
        <v>680</v>
      </c>
      <c r="F24" t="s">
        <v>2758</v>
      </c>
      <c r="G24" t="s">
        <v>2757</v>
      </c>
    </row>
    <row r="25" spans="1:7" x14ac:dyDescent="0.25">
      <c r="A25" s="16" t="str">
        <f>HYPERLINK("http://amigo.geneontology.org/amigo/term/GO:0009832","GO:0009832")</f>
        <v>GO:0009832</v>
      </c>
      <c r="B25" t="s">
        <v>1164</v>
      </c>
      <c r="C25" s="1">
        <v>8.7029999999999995E-7</v>
      </c>
      <c r="D25" s="1">
        <v>9.5140000000000001E-7</v>
      </c>
      <c r="E25">
        <v>102</v>
      </c>
      <c r="F25" t="s">
        <v>2756</v>
      </c>
      <c r="G25" t="s">
        <v>2755</v>
      </c>
    </row>
    <row r="26" spans="1:7" x14ac:dyDescent="0.25">
      <c r="A26" s="16" t="str">
        <f>HYPERLINK("http://amigo.geneontology.org/amigo/term/GO:0000025","GO:0000025")</f>
        <v>GO:0000025</v>
      </c>
      <c r="B26" t="s">
        <v>1166</v>
      </c>
      <c r="C26" s="1">
        <v>2.407E-6</v>
      </c>
      <c r="D26" s="1">
        <v>2.6299999999999998E-6</v>
      </c>
      <c r="E26">
        <v>6</v>
      </c>
      <c r="F26" t="s">
        <v>2059</v>
      </c>
      <c r="G26" t="s">
        <v>2743</v>
      </c>
    </row>
    <row r="27" spans="1:7" x14ac:dyDescent="0.25">
      <c r="A27" s="16" t="str">
        <f>HYPERLINK("http://amigo.geneontology.org/amigo/term/GO:0071555","GO:0071555")</f>
        <v>GO:0071555</v>
      </c>
      <c r="B27" t="s">
        <v>474</v>
      </c>
      <c r="C27" s="1">
        <v>9.5219999999999996E-6</v>
      </c>
      <c r="D27" s="1">
        <v>1.041E-5</v>
      </c>
      <c r="E27">
        <v>676</v>
      </c>
      <c r="F27" t="s">
        <v>2754</v>
      </c>
      <c r="G27" t="s">
        <v>2734</v>
      </c>
    </row>
    <row r="28" spans="1:7" x14ac:dyDescent="0.25">
      <c r="A28" s="16" t="str">
        <f>HYPERLINK("http://amigo.geneontology.org/amigo/term/GO:0015711","GO:0015711")</f>
        <v>GO:0015711</v>
      </c>
      <c r="B28" t="s">
        <v>1168</v>
      </c>
      <c r="C28" s="1">
        <v>9.7580000000000004E-6</v>
      </c>
      <c r="D28" s="1">
        <v>1.066E-5</v>
      </c>
      <c r="E28">
        <v>97</v>
      </c>
      <c r="F28" t="s">
        <v>2753</v>
      </c>
      <c r="G28" t="s">
        <v>2752</v>
      </c>
    </row>
    <row r="29" spans="1:7" x14ac:dyDescent="0.25">
      <c r="A29" s="16" t="str">
        <f>HYPERLINK("http://amigo.geneontology.org/amigo/term/GO:0000023","GO:0000023")</f>
        <v>GO:0000023</v>
      </c>
      <c r="B29" t="s">
        <v>1170</v>
      </c>
      <c r="C29" s="1">
        <v>9.9960000000000005E-6</v>
      </c>
      <c r="D29" s="1">
        <v>1.092E-5</v>
      </c>
      <c r="E29">
        <v>9</v>
      </c>
      <c r="F29" t="s">
        <v>148</v>
      </c>
      <c r="G29" t="s">
        <v>2743</v>
      </c>
    </row>
    <row r="30" spans="1:7" x14ac:dyDescent="0.25">
      <c r="A30" s="16" t="str">
        <f>HYPERLINK("http://amigo.geneontology.org/amigo/term/GO:0045229","GO:0045229")</f>
        <v>GO:0045229</v>
      </c>
      <c r="B30" t="s">
        <v>471</v>
      </c>
      <c r="C30" s="1">
        <v>1.588E-5</v>
      </c>
      <c r="D30" s="1">
        <v>1.734E-5</v>
      </c>
      <c r="E30">
        <v>708</v>
      </c>
      <c r="F30" t="s">
        <v>2751</v>
      </c>
      <c r="G30" t="s">
        <v>2734</v>
      </c>
    </row>
    <row r="31" spans="1:7" x14ac:dyDescent="0.25">
      <c r="A31" s="16" t="str">
        <f>HYPERLINK("http://amigo.geneontology.org/amigo/term/GO:0006820","GO:0006820")</f>
        <v>GO:0006820</v>
      </c>
      <c r="B31" t="s">
        <v>1172</v>
      </c>
      <c r="C31" s="1">
        <v>1.7390000000000001E-5</v>
      </c>
      <c r="D31" s="1">
        <v>1.8989999999999999E-5</v>
      </c>
      <c r="E31">
        <v>290</v>
      </c>
      <c r="F31" t="s">
        <v>2750</v>
      </c>
      <c r="G31" t="s">
        <v>2749</v>
      </c>
    </row>
    <row r="32" spans="1:7" x14ac:dyDescent="0.25">
      <c r="A32" s="16" t="str">
        <f>HYPERLINK("http://amigo.geneontology.org/amigo/term/GO:1901264","GO:1901264")</f>
        <v>GO:1901264</v>
      </c>
      <c r="B32" t="s">
        <v>1174</v>
      </c>
      <c r="C32" s="1">
        <v>2.552E-5</v>
      </c>
      <c r="D32" s="1">
        <v>2.7849999999999999E-5</v>
      </c>
      <c r="E32">
        <v>69</v>
      </c>
      <c r="F32" t="s">
        <v>2748</v>
      </c>
      <c r="G32" t="s">
        <v>2732</v>
      </c>
    </row>
    <row r="33" spans="1:7" x14ac:dyDescent="0.25">
      <c r="A33" s="16" t="str">
        <f>HYPERLINK("http://amigo.geneontology.org/amigo/term/GO:0071669","GO:0071669")</f>
        <v>GO:0071669</v>
      </c>
      <c r="B33" t="s">
        <v>1176</v>
      </c>
      <c r="C33" s="1">
        <v>3.0759999999999997E-5</v>
      </c>
      <c r="D33" s="1">
        <v>3.3569999999999999E-5</v>
      </c>
      <c r="E33">
        <v>240</v>
      </c>
      <c r="F33" t="s">
        <v>2747</v>
      </c>
      <c r="G33" t="s">
        <v>2746</v>
      </c>
    </row>
    <row r="34" spans="1:7" x14ac:dyDescent="0.25">
      <c r="A34" s="16" t="str">
        <f>HYPERLINK("http://amigo.geneontology.org/amigo/term/GO:0015866","GO:0015866")</f>
        <v>GO:0015866</v>
      </c>
      <c r="B34" t="s">
        <v>1178</v>
      </c>
      <c r="C34" s="1">
        <v>4.2519999999999999E-5</v>
      </c>
      <c r="D34" s="1">
        <v>4.6390000000000001E-5</v>
      </c>
      <c r="E34">
        <v>14</v>
      </c>
      <c r="F34" t="s">
        <v>1989</v>
      </c>
      <c r="G34" t="s">
        <v>2707</v>
      </c>
    </row>
    <row r="35" spans="1:7" x14ac:dyDescent="0.25">
      <c r="A35" s="16" t="str">
        <f>HYPERLINK("http://amigo.geneontology.org/amigo/term/GO:0140021","GO:0140021")</f>
        <v>GO:0140021</v>
      </c>
      <c r="B35" t="s">
        <v>1180</v>
      </c>
      <c r="C35" s="1">
        <v>4.2519999999999999E-5</v>
      </c>
      <c r="D35" s="1">
        <v>4.6390000000000001E-5</v>
      </c>
      <c r="E35">
        <v>14</v>
      </c>
      <c r="F35" t="s">
        <v>1989</v>
      </c>
      <c r="G35" t="s">
        <v>2707</v>
      </c>
    </row>
    <row r="36" spans="1:7" x14ac:dyDescent="0.25">
      <c r="A36" s="16" t="str">
        <f>HYPERLINK("http://amigo.geneontology.org/amigo/term/GO:1990544","GO:1990544")</f>
        <v>GO:1990544</v>
      </c>
      <c r="B36" t="s">
        <v>1182</v>
      </c>
      <c r="C36" s="1">
        <v>4.2519999999999999E-5</v>
      </c>
      <c r="D36" s="1">
        <v>4.6390000000000001E-5</v>
      </c>
      <c r="E36">
        <v>14</v>
      </c>
      <c r="F36" t="s">
        <v>1989</v>
      </c>
      <c r="G36" t="s">
        <v>2707</v>
      </c>
    </row>
    <row r="37" spans="1:7" x14ac:dyDescent="0.25">
      <c r="A37" s="16" t="str">
        <f>HYPERLINK("http://amigo.geneontology.org/amigo/term/GO:0042546","GO:0042546")</f>
        <v>GO:0042546</v>
      </c>
      <c r="B37" t="s">
        <v>100</v>
      </c>
      <c r="C37" s="1">
        <v>4.4299999999999999E-5</v>
      </c>
      <c r="D37" s="1">
        <v>4.8319999999999998E-5</v>
      </c>
      <c r="E37">
        <v>327</v>
      </c>
      <c r="F37" t="s">
        <v>2745</v>
      </c>
      <c r="G37" t="s">
        <v>2744</v>
      </c>
    </row>
    <row r="38" spans="1:7" x14ac:dyDescent="0.25">
      <c r="A38" s="16" t="str">
        <f>HYPERLINK("http://amigo.geneontology.org/amigo/term/GO:0009313","GO:0009313")</f>
        <v>GO:0009313</v>
      </c>
      <c r="B38" t="s">
        <v>1184</v>
      </c>
      <c r="C38" s="1">
        <v>5.2960000000000001E-5</v>
      </c>
      <c r="D38" s="1">
        <v>5.7750000000000001E-5</v>
      </c>
      <c r="E38">
        <v>15</v>
      </c>
      <c r="F38" t="s">
        <v>232</v>
      </c>
      <c r="G38" t="s">
        <v>2743</v>
      </c>
    </row>
    <row r="39" spans="1:7" x14ac:dyDescent="0.25">
      <c r="A39" s="16" t="str">
        <f>HYPERLINK("http://amigo.geneontology.org/amigo/term/GO:0046352","GO:0046352")</f>
        <v>GO:0046352</v>
      </c>
      <c r="B39" t="s">
        <v>1186</v>
      </c>
      <c r="C39" s="1">
        <v>5.2960000000000001E-5</v>
      </c>
      <c r="D39" s="1">
        <v>5.7750000000000001E-5</v>
      </c>
      <c r="E39">
        <v>15</v>
      </c>
      <c r="F39" t="s">
        <v>232</v>
      </c>
      <c r="G39" t="s">
        <v>2743</v>
      </c>
    </row>
    <row r="40" spans="1:7" x14ac:dyDescent="0.25">
      <c r="A40" s="16" t="str">
        <f>HYPERLINK("http://amigo.geneontology.org/amigo/term/GO:1901679","GO:1901679")</f>
        <v>GO:1901679</v>
      </c>
      <c r="B40" t="s">
        <v>1188</v>
      </c>
      <c r="C40" s="1">
        <v>6.4939999999999998E-5</v>
      </c>
      <c r="D40" s="1">
        <v>7.08E-5</v>
      </c>
      <c r="E40">
        <v>16</v>
      </c>
      <c r="F40" t="s">
        <v>2742</v>
      </c>
      <c r="G40" t="s">
        <v>2707</v>
      </c>
    </row>
    <row r="41" spans="1:7" x14ac:dyDescent="0.25">
      <c r="A41" s="16" t="str">
        <f>HYPERLINK("http://amigo.geneontology.org/amigo/term/GO:0015790","GO:0015790")</f>
        <v>GO:0015790</v>
      </c>
      <c r="B41" t="s">
        <v>1190</v>
      </c>
      <c r="C41" s="1">
        <v>7.3620000000000003E-5</v>
      </c>
      <c r="D41" s="1">
        <v>8.0240000000000004E-5</v>
      </c>
      <c r="E41">
        <v>3</v>
      </c>
      <c r="F41" t="s">
        <v>1840</v>
      </c>
      <c r="G41" t="s">
        <v>2685</v>
      </c>
    </row>
    <row r="42" spans="1:7" x14ac:dyDescent="0.25">
      <c r="A42" s="16" t="str">
        <f>HYPERLINK("http://amigo.geneontology.org/amigo/term/GO:0015867","GO:0015867")</f>
        <v>GO:0015867</v>
      </c>
      <c r="B42" t="s">
        <v>1192</v>
      </c>
      <c r="C42" s="1">
        <v>7.8560000000000007E-5</v>
      </c>
      <c r="D42" s="1">
        <v>8.5619999999999997E-5</v>
      </c>
      <c r="E42">
        <v>17</v>
      </c>
      <c r="F42" t="s">
        <v>253</v>
      </c>
      <c r="G42" t="s">
        <v>2707</v>
      </c>
    </row>
    <row r="43" spans="1:7" x14ac:dyDescent="0.25">
      <c r="A43" s="16" t="str">
        <f>HYPERLINK("http://amigo.geneontology.org/amigo/term/GO:0055085","GO:0055085")</f>
        <v>GO:0055085</v>
      </c>
      <c r="B43" t="s">
        <v>861</v>
      </c>
      <c r="C43" s="1">
        <v>8.4179999999999997E-5</v>
      </c>
      <c r="D43" s="1">
        <v>9.1719999999999996E-5</v>
      </c>
      <c r="E43">
        <v>3222</v>
      </c>
      <c r="F43" t="s">
        <v>1809</v>
      </c>
      <c r="G43" t="s">
        <v>2741</v>
      </c>
    </row>
    <row r="44" spans="1:7" x14ac:dyDescent="0.25">
      <c r="A44" s="16" t="str">
        <f>HYPERLINK("http://amigo.geneontology.org/amigo/term/GO:0005975","GO:0005975")</f>
        <v>GO:0005975</v>
      </c>
      <c r="B44" t="s">
        <v>295</v>
      </c>
      <c r="C44" s="1">
        <v>9.3460000000000003E-5</v>
      </c>
      <c r="D44" s="1">
        <v>1.0179999999999999E-4</v>
      </c>
      <c r="E44">
        <v>2685</v>
      </c>
      <c r="F44" t="s">
        <v>2740</v>
      </c>
      <c r="G44" t="s">
        <v>2739</v>
      </c>
    </row>
    <row r="45" spans="1:7" x14ac:dyDescent="0.25">
      <c r="A45" s="16" t="str">
        <f>HYPERLINK("http://amigo.geneontology.org/amigo/term/GO:0015865","GO:0015865")</f>
        <v>GO:0015865</v>
      </c>
      <c r="B45" t="s">
        <v>1194</v>
      </c>
      <c r="C45" s="1">
        <v>9.3930000000000004E-5</v>
      </c>
      <c r="D45" s="1">
        <v>1.0230000000000001E-4</v>
      </c>
      <c r="E45">
        <v>18</v>
      </c>
      <c r="F45" t="s">
        <v>279</v>
      </c>
      <c r="G45" t="s">
        <v>2707</v>
      </c>
    </row>
    <row r="46" spans="1:7" x14ac:dyDescent="0.25">
      <c r="A46" s="16" t="str">
        <f>HYPERLINK("http://amigo.geneontology.org/amigo/term/GO:0015868","GO:0015868")</f>
        <v>GO:0015868</v>
      </c>
      <c r="B46" t="s">
        <v>1196</v>
      </c>
      <c r="C46" s="1">
        <v>9.3930000000000004E-5</v>
      </c>
      <c r="D46" s="1">
        <v>1.0230000000000001E-4</v>
      </c>
      <c r="E46">
        <v>18</v>
      </c>
      <c r="F46" t="s">
        <v>279</v>
      </c>
      <c r="G46" t="s">
        <v>2707</v>
      </c>
    </row>
    <row r="47" spans="1:7" x14ac:dyDescent="0.25">
      <c r="A47" s="16" t="str">
        <f>HYPERLINK("http://amigo.geneontology.org/amigo/term/GO:0051503","GO:0051503")</f>
        <v>GO:0051503</v>
      </c>
      <c r="B47" t="s">
        <v>1198</v>
      </c>
      <c r="C47" s="1">
        <v>9.3930000000000004E-5</v>
      </c>
      <c r="D47" s="1">
        <v>1.0230000000000001E-4</v>
      </c>
      <c r="E47">
        <v>18</v>
      </c>
      <c r="F47" t="s">
        <v>279</v>
      </c>
      <c r="G47" t="s">
        <v>2707</v>
      </c>
    </row>
    <row r="48" spans="1:7" x14ac:dyDescent="0.25">
      <c r="A48" s="16" t="str">
        <f>HYPERLINK("http://amigo.geneontology.org/amigo/term/GO:0072530","GO:0072530")</f>
        <v>GO:0072530</v>
      </c>
      <c r="B48" t="s">
        <v>1200</v>
      </c>
      <c r="C48" s="1">
        <v>1.7469999999999999E-4</v>
      </c>
      <c r="D48" s="1">
        <v>1.9019999999999999E-4</v>
      </c>
      <c r="E48">
        <v>22</v>
      </c>
      <c r="F48" t="s">
        <v>1838</v>
      </c>
      <c r="G48" t="s">
        <v>2707</v>
      </c>
    </row>
    <row r="49" spans="1:7" x14ac:dyDescent="0.25">
      <c r="A49" s="16" t="str">
        <f>HYPERLINK("http://amigo.geneontology.org/amigo/term/GO:0098656","GO:0098656")</f>
        <v>GO:0098656</v>
      </c>
      <c r="B49" t="s">
        <v>1202</v>
      </c>
      <c r="C49" s="1">
        <v>1.8120000000000001E-4</v>
      </c>
      <c r="D49" s="1">
        <v>1.972E-4</v>
      </c>
      <c r="E49">
        <v>104</v>
      </c>
      <c r="F49" t="s">
        <v>2738</v>
      </c>
      <c r="G49" t="s">
        <v>2732</v>
      </c>
    </row>
    <row r="50" spans="1:7" x14ac:dyDescent="0.25">
      <c r="A50" s="16" t="str">
        <f>HYPERLINK("http://amigo.geneontology.org/amigo/term/GO:0006629","GO:0006629")</f>
        <v>GO:0006629</v>
      </c>
      <c r="B50" t="s">
        <v>685</v>
      </c>
      <c r="C50" s="1">
        <v>2.186E-4</v>
      </c>
      <c r="D50" s="1">
        <v>2.3790000000000001E-4</v>
      </c>
      <c r="E50">
        <v>2008</v>
      </c>
      <c r="F50" t="s">
        <v>2737</v>
      </c>
      <c r="G50" t="s">
        <v>2736</v>
      </c>
    </row>
    <row r="51" spans="1:7" x14ac:dyDescent="0.25">
      <c r="A51" s="16" t="str">
        <f>HYPERLINK("http://amigo.geneontology.org/amigo/term/GO:0071554","GO:0071554")</f>
        <v>GO:0071554</v>
      </c>
      <c r="B51" t="s">
        <v>202</v>
      </c>
      <c r="C51" s="1">
        <v>2.8210000000000003E-4</v>
      </c>
      <c r="D51" s="1">
        <v>3.0699999999999998E-4</v>
      </c>
      <c r="E51">
        <v>931</v>
      </c>
      <c r="F51" t="s">
        <v>2735</v>
      </c>
      <c r="G51" t="s">
        <v>2734</v>
      </c>
    </row>
    <row r="52" spans="1:7" x14ac:dyDescent="0.25">
      <c r="A52" s="16" t="str">
        <f>HYPERLINK("http://amigo.geneontology.org/amigo/term/GO:0006862","GO:0006862")</f>
        <v>GO:0006862</v>
      </c>
      <c r="B52" t="s">
        <v>1204</v>
      </c>
      <c r="C52" s="1">
        <v>4.9319999999999995E-4</v>
      </c>
      <c r="D52" s="1">
        <v>5.3649999999999998E-4</v>
      </c>
      <c r="E52">
        <v>31</v>
      </c>
      <c r="F52" t="s">
        <v>1877</v>
      </c>
      <c r="G52" t="s">
        <v>2707</v>
      </c>
    </row>
    <row r="53" spans="1:7" x14ac:dyDescent="0.25">
      <c r="A53" s="16" t="str">
        <f>HYPERLINK("http://amigo.geneontology.org/amigo/term/GO:0015931","GO:0015931")</f>
        <v>GO:0015931</v>
      </c>
      <c r="B53" t="s">
        <v>1206</v>
      </c>
      <c r="C53" s="1">
        <v>5.6309999999999997E-4</v>
      </c>
      <c r="D53" s="1">
        <v>6.1240000000000003E-4</v>
      </c>
      <c r="E53">
        <v>133</v>
      </c>
      <c r="F53" t="s">
        <v>2733</v>
      </c>
      <c r="G53" t="s">
        <v>2732</v>
      </c>
    </row>
    <row r="54" spans="1:7" x14ac:dyDescent="0.25">
      <c r="A54" s="16" t="str">
        <f>HYPERLINK("http://amigo.geneontology.org/amigo/term/GO:0016114","GO:0016114")</f>
        <v>GO:0016114</v>
      </c>
      <c r="B54" t="s">
        <v>1092</v>
      </c>
      <c r="C54" s="1">
        <v>8.8429999999999997E-4</v>
      </c>
      <c r="D54" s="1">
        <v>9.6139999999999995E-4</v>
      </c>
      <c r="E54">
        <v>147</v>
      </c>
      <c r="F54" t="s">
        <v>2305</v>
      </c>
      <c r="G54" t="s">
        <v>2698</v>
      </c>
    </row>
    <row r="55" spans="1:7" x14ac:dyDescent="0.25">
      <c r="A55" s="16" t="str">
        <f>HYPERLINK("http://amigo.geneontology.org/amigo/term/GO:0043062","GO:0043062")</f>
        <v>GO:0043062</v>
      </c>
      <c r="B55" t="s">
        <v>1208</v>
      </c>
      <c r="C55" s="1">
        <v>1.2960000000000001E-3</v>
      </c>
      <c r="D55" s="1">
        <v>1.408E-3</v>
      </c>
      <c r="E55">
        <v>43</v>
      </c>
      <c r="F55" t="s">
        <v>486</v>
      </c>
      <c r="G55" t="s">
        <v>2731</v>
      </c>
    </row>
    <row r="56" spans="1:7" x14ac:dyDescent="0.25">
      <c r="A56" s="16" t="str">
        <f>HYPERLINK("http://amigo.geneontology.org/amigo/term/GO:0030198","GO:0030198")</f>
        <v>GO:0030198</v>
      </c>
      <c r="B56" t="s">
        <v>1210</v>
      </c>
      <c r="C56" s="1">
        <v>1.2960000000000001E-3</v>
      </c>
      <c r="D56" s="1">
        <v>1.408E-3</v>
      </c>
      <c r="E56">
        <v>43</v>
      </c>
      <c r="F56" t="s">
        <v>486</v>
      </c>
      <c r="G56" t="s">
        <v>2731</v>
      </c>
    </row>
    <row r="57" spans="1:7" x14ac:dyDescent="0.25">
      <c r="A57" s="16" t="str">
        <f>HYPERLINK("http://amigo.geneontology.org/amigo/term/GO:0070726","GO:0070726")</f>
        <v>GO:0070726</v>
      </c>
      <c r="B57" t="s">
        <v>1212</v>
      </c>
      <c r="C57" s="1">
        <v>1.2960000000000001E-3</v>
      </c>
      <c r="D57" s="1">
        <v>1.408E-3</v>
      </c>
      <c r="E57">
        <v>43</v>
      </c>
      <c r="F57" t="s">
        <v>486</v>
      </c>
      <c r="G57" t="s">
        <v>2731</v>
      </c>
    </row>
    <row r="58" spans="1:7" x14ac:dyDescent="0.25">
      <c r="A58" s="16" t="str">
        <f>HYPERLINK("http://amigo.geneontology.org/amigo/term/GO:0071668","GO:0071668")</f>
        <v>GO:0071668</v>
      </c>
      <c r="B58" t="s">
        <v>1214</v>
      </c>
      <c r="C58" s="1">
        <v>1.2960000000000001E-3</v>
      </c>
      <c r="D58" s="1">
        <v>1.408E-3</v>
      </c>
      <c r="E58">
        <v>43</v>
      </c>
      <c r="F58" t="s">
        <v>486</v>
      </c>
      <c r="G58" t="s">
        <v>2731</v>
      </c>
    </row>
    <row r="59" spans="1:7" x14ac:dyDescent="0.25">
      <c r="A59" s="16" t="str">
        <f>HYPERLINK("http://amigo.geneontology.org/amigo/term/GO:0010215","GO:0010215")</f>
        <v>GO:0010215</v>
      </c>
      <c r="B59" t="s">
        <v>1216</v>
      </c>
      <c r="C59" s="1">
        <v>1.2960000000000001E-3</v>
      </c>
      <c r="D59" s="1">
        <v>1.408E-3</v>
      </c>
      <c r="E59">
        <v>43</v>
      </c>
      <c r="F59" t="s">
        <v>486</v>
      </c>
      <c r="G59" t="s">
        <v>2731</v>
      </c>
    </row>
    <row r="60" spans="1:7" x14ac:dyDescent="0.25">
      <c r="A60" s="16" t="str">
        <f>HYPERLINK("http://amigo.geneontology.org/amigo/term/GO:0009833","GO:0009833")</f>
        <v>GO:0009833</v>
      </c>
      <c r="B60" t="s">
        <v>1218</v>
      </c>
      <c r="C60" s="1">
        <v>1.315E-3</v>
      </c>
      <c r="D60" s="1">
        <v>1.4289999999999999E-3</v>
      </c>
      <c r="E60">
        <v>11</v>
      </c>
      <c r="F60" t="s">
        <v>1898</v>
      </c>
      <c r="G60" t="s">
        <v>2696</v>
      </c>
    </row>
    <row r="61" spans="1:7" x14ac:dyDescent="0.25">
      <c r="A61" s="16" t="str">
        <f>HYPERLINK("http://amigo.geneontology.org/amigo/term/GO:0000281","GO:0000281")</f>
        <v>GO:0000281</v>
      </c>
      <c r="B61" t="s">
        <v>1220</v>
      </c>
      <c r="C61" s="1">
        <v>1.572E-3</v>
      </c>
      <c r="D61" s="1">
        <v>1.7080000000000001E-3</v>
      </c>
      <c r="E61">
        <v>12</v>
      </c>
      <c r="F61" t="s">
        <v>1875</v>
      </c>
      <c r="G61" t="s">
        <v>2696</v>
      </c>
    </row>
    <row r="62" spans="1:7" x14ac:dyDescent="0.25">
      <c r="A62" s="16" t="str">
        <f>HYPERLINK("http://amigo.geneontology.org/amigo/term/GO:0044275","GO:0044275")</f>
        <v>GO:0044275</v>
      </c>
      <c r="B62" t="s">
        <v>1222</v>
      </c>
      <c r="C62" s="1">
        <v>1.616E-3</v>
      </c>
      <c r="D62" s="1">
        <v>1.755E-3</v>
      </c>
      <c r="E62">
        <v>100</v>
      </c>
      <c r="F62" t="s">
        <v>2312</v>
      </c>
      <c r="G62" t="s">
        <v>2730</v>
      </c>
    </row>
    <row r="63" spans="1:7" x14ac:dyDescent="0.25">
      <c r="A63" s="16" t="str">
        <f>HYPERLINK("http://amigo.geneontology.org/amigo/term/GO:0006468","GO:0006468")</f>
        <v>GO:0006468</v>
      </c>
      <c r="B63" t="s">
        <v>712</v>
      </c>
      <c r="C63" s="1">
        <v>1.707E-3</v>
      </c>
      <c r="D63" s="1">
        <v>1.853E-3</v>
      </c>
      <c r="E63">
        <v>5255</v>
      </c>
      <c r="F63" t="s">
        <v>2729</v>
      </c>
      <c r="G63" t="s">
        <v>2728</v>
      </c>
    </row>
    <row r="64" spans="1:7" x14ac:dyDescent="0.25">
      <c r="A64" s="16" t="str">
        <f>HYPERLINK("http://amigo.geneontology.org/amigo/term/GO:0006721","GO:0006721")</f>
        <v>GO:0006721</v>
      </c>
      <c r="B64" t="s">
        <v>1079</v>
      </c>
      <c r="C64" s="1">
        <v>1.817E-3</v>
      </c>
      <c r="D64" s="1">
        <v>1.9729999999999999E-3</v>
      </c>
      <c r="E64">
        <v>173</v>
      </c>
      <c r="F64" t="s">
        <v>2727</v>
      </c>
      <c r="G64" t="s">
        <v>2698</v>
      </c>
    </row>
    <row r="65" spans="1:7" x14ac:dyDescent="0.25">
      <c r="A65" s="16" t="str">
        <f>HYPERLINK("http://amigo.geneontology.org/amigo/term/GO:0008610","GO:0008610")</f>
        <v>GO:0008610</v>
      </c>
      <c r="B65" t="s">
        <v>311</v>
      </c>
      <c r="C65" s="1">
        <v>1.9949999999999998E-3</v>
      </c>
      <c r="D65" s="1">
        <v>2.166E-3</v>
      </c>
      <c r="E65">
        <v>1018</v>
      </c>
      <c r="F65" t="s">
        <v>2726</v>
      </c>
      <c r="G65" t="s">
        <v>2725</v>
      </c>
    </row>
    <row r="66" spans="1:7" x14ac:dyDescent="0.25">
      <c r="A66" s="16" t="str">
        <f>HYPERLINK("http://amigo.geneontology.org/amigo/term/GO:0042445","GO:0042445")</f>
        <v>GO:0042445</v>
      </c>
      <c r="B66" t="s">
        <v>1224</v>
      </c>
      <c r="C66" s="1">
        <v>2.0690000000000001E-3</v>
      </c>
      <c r="D66" s="1">
        <v>2.2460000000000002E-3</v>
      </c>
      <c r="E66">
        <v>107</v>
      </c>
      <c r="F66" t="s">
        <v>2724</v>
      </c>
      <c r="G66" t="s">
        <v>2711</v>
      </c>
    </row>
    <row r="67" spans="1:7" x14ac:dyDescent="0.25">
      <c r="A67" s="16" t="str">
        <f>HYPERLINK("http://amigo.geneontology.org/amigo/term/GO:0097502","GO:0097502")</f>
        <v>GO:0097502</v>
      </c>
      <c r="B67" t="s">
        <v>1226</v>
      </c>
      <c r="C67" s="1">
        <v>2.1540000000000001E-3</v>
      </c>
      <c r="D67" s="1">
        <v>2.3370000000000001E-3</v>
      </c>
      <c r="E67">
        <v>14</v>
      </c>
      <c r="F67" t="s">
        <v>2328</v>
      </c>
      <c r="G67" t="s">
        <v>2696</v>
      </c>
    </row>
    <row r="68" spans="1:7" x14ac:dyDescent="0.25">
      <c r="A68" s="16" t="str">
        <f>HYPERLINK("http://amigo.geneontology.org/amigo/term/GO:0042446","GO:0042446")</f>
        <v>GO:0042446</v>
      </c>
      <c r="B68" t="s">
        <v>1228</v>
      </c>
      <c r="C68" s="1">
        <v>2.7750000000000001E-3</v>
      </c>
      <c r="D68" s="1">
        <v>3.0100000000000001E-3</v>
      </c>
      <c r="E68">
        <v>56</v>
      </c>
      <c r="F68" t="s">
        <v>1795</v>
      </c>
      <c r="G68" t="s">
        <v>2723</v>
      </c>
    </row>
    <row r="69" spans="1:7" x14ac:dyDescent="0.25">
      <c r="A69" s="16" t="str">
        <f>HYPERLINK("http://amigo.geneontology.org/amigo/term/GO:0016310","GO:0016310")</f>
        <v>GO:0016310</v>
      </c>
      <c r="B69" t="s">
        <v>713</v>
      </c>
      <c r="C69" s="1">
        <v>2.9030000000000002E-3</v>
      </c>
      <c r="D69" s="1">
        <v>3.1480000000000002E-3</v>
      </c>
      <c r="E69">
        <v>5575</v>
      </c>
      <c r="F69" t="s">
        <v>2722</v>
      </c>
      <c r="G69" t="s">
        <v>2721</v>
      </c>
    </row>
    <row r="70" spans="1:7" x14ac:dyDescent="0.25">
      <c r="A70" s="16" t="str">
        <f>HYPERLINK("http://amigo.geneontology.org/amigo/term/GO:0051234","GO:0051234")</f>
        <v>GO:0051234</v>
      </c>
      <c r="B70" t="s">
        <v>803</v>
      </c>
      <c r="C70" s="1">
        <v>3.5149999999999999E-3</v>
      </c>
      <c r="D70" s="1">
        <v>3.8119999999999999E-3</v>
      </c>
      <c r="E70">
        <v>5635</v>
      </c>
      <c r="F70" t="s">
        <v>2720</v>
      </c>
      <c r="G70" t="s">
        <v>2719</v>
      </c>
    </row>
    <row r="71" spans="1:7" x14ac:dyDescent="0.25">
      <c r="A71" s="16" t="str">
        <f>HYPERLINK("http://amigo.geneontology.org/amigo/term/GO:0003333","GO:0003333")</f>
        <v>GO:0003333</v>
      </c>
      <c r="B71" t="s">
        <v>1230</v>
      </c>
      <c r="C71" s="1">
        <v>3.5739999999999999E-3</v>
      </c>
      <c r="D71" s="1">
        <v>3.8739999999999998E-3</v>
      </c>
      <c r="E71">
        <v>18</v>
      </c>
      <c r="F71" t="s">
        <v>542</v>
      </c>
      <c r="G71" t="s">
        <v>2686</v>
      </c>
    </row>
    <row r="72" spans="1:7" x14ac:dyDescent="0.25">
      <c r="A72" s="16" t="str">
        <f>HYPERLINK("http://amigo.geneontology.org/amigo/term/GO:0061640","GO:0061640")</f>
        <v>GO:0061640</v>
      </c>
      <c r="B72" t="s">
        <v>1232</v>
      </c>
      <c r="C72" s="1">
        <v>3.5739999999999999E-3</v>
      </c>
      <c r="D72" s="1">
        <v>3.8739999999999998E-3</v>
      </c>
      <c r="E72">
        <v>18</v>
      </c>
      <c r="F72" t="s">
        <v>542</v>
      </c>
      <c r="G72" t="s">
        <v>2696</v>
      </c>
    </row>
    <row r="73" spans="1:7" x14ac:dyDescent="0.25">
      <c r="A73" s="16" t="str">
        <f>HYPERLINK("http://amigo.geneontology.org/amigo/term/GO:0005984","GO:0005984")</f>
        <v>GO:0005984</v>
      </c>
      <c r="B73" t="s">
        <v>1234</v>
      </c>
      <c r="C73" s="1">
        <v>4.1669999999999997E-3</v>
      </c>
      <c r="D73" s="1">
        <v>4.516E-3</v>
      </c>
      <c r="E73">
        <v>130</v>
      </c>
      <c r="F73" t="s">
        <v>2718</v>
      </c>
      <c r="G73" t="s">
        <v>2702</v>
      </c>
    </row>
    <row r="74" spans="1:7" x14ac:dyDescent="0.25">
      <c r="A74" s="16" t="str">
        <f>HYPERLINK("http://amigo.geneontology.org/amigo/term/GO:0006810","GO:0006810")</f>
        <v>GO:0006810</v>
      </c>
      <c r="B74" t="s">
        <v>794</v>
      </c>
      <c r="C74" s="1">
        <v>5.2769999999999996E-3</v>
      </c>
      <c r="D74" s="1">
        <v>5.718E-3</v>
      </c>
      <c r="E74">
        <v>5601</v>
      </c>
      <c r="F74" t="s">
        <v>2717</v>
      </c>
      <c r="G74" t="s">
        <v>2716</v>
      </c>
    </row>
    <row r="75" spans="1:7" x14ac:dyDescent="0.25">
      <c r="A75" s="16" t="str">
        <f>HYPERLINK("http://amigo.geneontology.org/amigo/term/GO:0019685","GO:0019685")</f>
        <v>GO:0019685</v>
      </c>
      <c r="B75" t="s">
        <v>1236</v>
      </c>
      <c r="C75" s="1">
        <v>5.3249999999999999E-3</v>
      </c>
      <c r="D75" s="1">
        <v>5.7689999999999998E-3</v>
      </c>
      <c r="E75">
        <v>22</v>
      </c>
      <c r="F75" t="s">
        <v>650</v>
      </c>
      <c r="G75" t="s">
        <v>2675</v>
      </c>
    </row>
    <row r="76" spans="1:7" x14ac:dyDescent="0.25">
      <c r="A76" s="16" t="str">
        <f>HYPERLINK("http://amigo.geneontology.org/amigo/term/GO:0019253","GO:0019253")</f>
        <v>GO:0019253</v>
      </c>
      <c r="B76" t="s">
        <v>1238</v>
      </c>
      <c r="C76" s="1">
        <v>5.3249999999999999E-3</v>
      </c>
      <c r="D76" s="1">
        <v>5.7689999999999998E-3</v>
      </c>
      <c r="E76">
        <v>22</v>
      </c>
      <c r="F76" t="s">
        <v>650</v>
      </c>
      <c r="G76" t="s">
        <v>2675</v>
      </c>
    </row>
    <row r="77" spans="1:7" x14ac:dyDescent="0.25">
      <c r="A77" s="16" t="str">
        <f>HYPERLINK("http://amigo.geneontology.org/amigo/term/GO:0009690","GO:0009690")</f>
        <v>GO:0009690</v>
      </c>
      <c r="B77" t="s">
        <v>1240</v>
      </c>
      <c r="C77" s="1">
        <v>5.4169999999999999E-3</v>
      </c>
      <c r="D77" s="1">
        <v>5.8669999999999998E-3</v>
      </c>
      <c r="E77">
        <v>71</v>
      </c>
      <c r="F77" t="s">
        <v>2715</v>
      </c>
      <c r="G77" t="s">
        <v>2709</v>
      </c>
    </row>
    <row r="78" spans="1:7" x14ac:dyDescent="0.25">
      <c r="A78" s="16" t="str">
        <f>HYPERLINK("http://amigo.geneontology.org/amigo/term/GO:0044255","GO:0044255")</f>
        <v>GO:0044255</v>
      </c>
      <c r="B78" t="s">
        <v>1083</v>
      </c>
      <c r="C78" s="1">
        <v>5.4539999999999996E-3</v>
      </c>
      <c r="D78" s="1">
        <v>5.9059999999999998E-3</v>
      </c>
      <c r="E78">
        <v>1282</v>
      </c>
      <c r="F78" t="s">
        <v>2714</v>
      </c>
      <c r="G78" t="s">
        <v>2713</v>
      </c>
    </row>
    <row r="79" spans="1:7" x14ac:dyDescent="0.25">
      <c r="A79" s="16" t="str">
        <f>HYPERLINK("http://amigo.geneontology.org/amigo/term/GO:0015748","GO:0015748")</f>
        <v>GO:0015748</v>
      </c>
      <c r="B79" t="s">
        <v>945</v>
      </c>
      <c r="C79" s="1">
        <v>5.8520000000000004E-3</v>
      </c>
      <c r="D79" s="1">
        <v>6.3350000000000004E-3</v>
      </c>
      <c r="E79">
        <v>73</v>
      </c>
      <c r="F79" t="s">
        <v>2272</v>
      </c>
      <c r="G79" t="s">
        <v>2707</v>
      </c>
    </row>
    <row r="80" spans="1:7" x14ac:dyDescent="0.25">
      <c r="A80" s="16" t="str">
        <f>HYPERLINK("http://amigo.geneontology.org/amigo/term/GO:0010817","GO:0010817")</f>
        <v>GO:0010817</v>
      </c>
      <c r="B80" t="s">
        <v>1242</v>
      </c>
      <c r="C80" s="1">
        <v>5.9709999999999997E-3</v>
      </c>
      <c r="D80" s="1">
        <v>6.4619999999999999E-3</v>
      </c>
      <c r="E80">
        <v>144</v>
      </c>
      <c r="F80" t="s">
        <v>2712</v>
      </c>
      <c r="G80" t="s">
        <v>2711</v>
      </c>
    </row>
    <row r="81" spans="1:7" x14ac:dyDescent="0.25">
      <c r="A81" s="16" t="str">
        <f>HYPERLINK("http://amigo.geneontology.org/amigo/term/GO:0008299","GO:0008299")</f>
        <v>GO:0008299</v>
      </c>
      <c r="B81" t="s">
        <v>512</v>
      </c>
      <c r="C81" s="1">
        <v>5.9870000000000001E-3</v>
      </c>
      <c r="D81" s="1">
        <v>6.4790000000000004E-3</v>
      </c>
      <c r="E81">
        <v>229</v>
      </c>
      <c r="F81" t="s">
        <v>2710</v>
      </c>
      <c r="G81" t="s">
        <v>2698</v>
      </c>
    </row>
    <row r="82" spans="1:7" x14ac:dyDescent="0.25">
      <c r="A82" s="16" t="str">
        <f>HYPERLINK("http://amigo.geneontology.org/amigo/term/GO:0034754","GO:0034754")</f>
        <v>GO:0034754</v>
      </c>
      <c r="B82" t="s">
        <v>1244</v>
      </c>
      <c r="C82" s="1">
        <v>6.3070000000000001E-3</v>
      </c>
      <c r="D82" s="1">
        <v>6.8230000000000001E-3</v>
      </c>
      <c r="E82">
        <v>75</v>
      </c>
      <c r="F82" t="s">
        <v>2263</v>
      </c>
      <c r="G82" t="s">
        <v>2709</v>
      </c>
    </row>
    <row r="83" spans="1:7" x14ac:dyDescent="0.25">
      <c r="A83" s="16" t="str">
        <f>HYPERLINK("http://amigo.geneontology.org/amigo/term/GO:0016129","GO:0016129")</f>
        <v>GO:0016129</v>
      </c>
      <c r="B83" t="s">
        <v>1246</v>
      </c>
      <c r="C83" s="1">
        <v>6.3210000000000002E-3</v>
      </c>
      <c r="D83" s="1">
        <v>6.8370000000000002E-3</v>
      </c>
      <c r="E83">
        <v>24</v>
      </c>
      <c r="F83" t="s">
        <v>1781</v>
      </c>
      <c r="G83" t="s">
        <v>2704</v>
      </c>
    </row>
    <row r="84" spans="1:7" x14ac:dyDescent="0.25">
      <c r="A84" s="16" t="str">
        <f>HYPERLINK("http://amigo.geneontology.org/amigo/term/GO:1990542","GO:1990542")</f>
        <v>GO:1990542</v>
      </c>
      <c r="B84" t="s">
        <v>1248</v>
      </c>
      <c r="C84" s="1">
        <v>6.783E-3</v>
      </c>
      <c r="D84" s="1">
        <v>7.3350000000000004E-3</v>
      </c>
      <c r="E84">
        <v>77</v>
      </c>
      <c r="F84" t="s">
        <v>2708</v>
      </c>
      <c r="G84" t="s">
        <v>2707</v>
      </c>
    </row>
    <row r="85" spans="1:7" x14ac:dyDescent="0.25">
      <c r="A85" s="16" t="str">
        <f>HYPERLINK("http://amigo.geneontology.org/amigo/term/GO:0050667","GO:0050667")</f>
        <v>GO:0050667</v>
      </c>
      <c r="B85" t="s">
        <v>1250</v>
      </c>
      <c r="C85" s="1">
        <v>6.8479999999999999E-3</v>
      </c>
      <c r="D85" s="1">
        <v>7.404E-3</v>
      </c>
      <c r="E85">
        <v>25</v>
      </c>
      <c r="F85" t="s">
        <v>2706</v>
      </c>
      <c r="G85" t="s">
        <v>2705</v>
      </c>
    </row>
    <row r="86" spans="1:7" x14ac:dyDescent="0.25">
      <c r="A86" s="16" t="str">
        <f>HYPERLINK("http://amigo.geneontology.org/amigo/term/GO:0019346","GO:0019346")</f>
        <v>GO:0019346</v>
      </c>
      <c r="B86" t="s">
        <v>1252</v>
      </c>
      <c r="C86" s="1">
        <v>6.8479999999999999E-3</v>
      </c>
      <c r="D86" s="1">
        <v>7.404E-3</v>
      </c>
      <c r="E86">
        <v>25</v>
      </c>
      <c r="F86" t="s">
        <v>2706</v>
      </c>
      <c r="G86" t="s">
        <v>2705</v>
      </c>
    </row>
    <row r="87" spans="1:7" x14ac:dyDescent="0.25">
      <c r="A87" s="16" t="str">
        <f>HYPERLINK("http://amigo.geneontology.org/amigo/term/GO:0009092","GO:0009092")</f>
        <v>GO:0009092</v>
      </c>
      <c r="B87" t="s">
        <v>1254</v>
      </c>
      <c r="C87" s="1">
        <v>7.3949999999999997E-3</v>
      </c>
      <c r="D87" s="1">
        <v>7.9930000000000001E-3</v>
      </c>
      <c r="E87">
        <v>26</v>
      </c>
      <c r="F87" t="s">
        <v>2290</v>
      </c>
      <c r="G87" t="s">
        <v>2705</v>
      </c>
    </row>
    <row r="88" spans="1:7" x14ac:dyDescent="0.25">
      <c r="A88" s="16" t="str">
        <f>HYPERLINK("http://amigo.geneontology.org/amigo/term/GO:0090481","GO:0090481")</f>
        <v>GO:0090481</v>
      </c>
      <c r="B88" t="s">
        <v>1256</v>
      </c>
      <c r="C88" s="1">
        <v>7.3949999999999997E-3</v>
      </c>
      <c r="D88" s="1">
        <v>7.9930000000000001E-3</v>
      </c>
      <c r="E88">
        <v>26</v>
      </c>
      <c r="F88" t="s">
        <v>2290</v>
      </c>
      <c r="G88" t="s">
        <v>2685</v>
      </c>
    </row>
    <row r="89" spans="1:7" x14ac:dyDescent="0.25">
      <c r="A89" s="16" t="str">
        <f>HYPERLINK("http://amigo.geneontology.org/amigo/term/GO:0016128","GO:0016128")</f>
        <v>GO:0016128</v>
      </c>
      <c r="B89" t="s">
        <v>1258</v>
      </c>
      <c r="C89" s="1">
        <v>7.3949999999999997E-3</v>
      </c>
      <c r="D89" s="1">
        <v>7.9930000000000001E-3</v>
      </c>
      <c r="E89">
        <v>26</v>
      </c>
      <c r="F89" t="s">
        <v>2290</v>
      </c>
      <c r="G89" t="s">
        <v>2704</v>
      </c>
    </row>
    <row r="90" spans="1:7" x14ac:dyDescent="0.25">
      <c r="A90" s="16" t="str">
        <f>HYPERLINK("http://amigo.geneontology.org/amigo/term/GO:0009311","GO:0009311")</f>
        <v>GO:0009311</v>
      </c>
      <c r="B90" t="s">
        <v>1260</v>
      </c>
      <c r="C90" s="1">
        <v>7.5360000000000002E-3</v>
      </c>
      <c r="D90" s="1">
        <v>8.1440000000000002E-3</v>
      </c>
      <c r="E90">
        <v>154</v>
      </c>
      <c r="F90" t="s">
        <v>2703</v>
      </c>
      <c r="G90" t="s">
        <v>2702</v>
      </c>
    </row>
    <row r="91" spans="1:7" x14ac:dyDescent="0.25">
      <c r="A91" s="16" t="str">
        <f>HYPERLINK("http://amigo.geneontology.org/amigo/term/GO:0006796","GO:0006796")</f>
        <v>GO:0006796</v>
      </c>
      <c r="B91" t="s">
        <v>716</v>
      </c>
      <c r="C91" s="1">
        <v>9.1920000000000005E-3</v>
      </c>
      <c r="D91" s="1">
        <v>9.9310000000000006E-3</v>
      </c>
      <c r="E91">
        <v>6989</v>
      </c>
      <c r="F91" t="s">
        <v>2701</v>
      </c>
      <c r="G91" t="s">
        <v>2700</v>
      </c>
    </row>
    <row r="92" spans="1:7" x14ac:dyDescent="0.25">
      <c r="A92" s="16" t="str">
        <f>HYPERLINK("http://amigo.geneontology.org/amigo/term/GO:0006793","GO:0006793")</f>
        <v>GO:0006793</v>
      </c>
      <c r="B92" t="s">
        <v>717</v>
      </c>
      <c r="C92" s="1">
        <v>9.6900000000000007E-3</v>
      </c>
      <c r="D92">
        <v>0.01</v>
      </c>
      <c r="E92">
        <v>7010</v>
      </c>
      <c r="F92" t="s">
        <v>2701</v>
      </c>
      <c r="G92" t="s">
        <v>2700</v>
      </c>
    </row>
    <row r="93" spans="1:7" x14ac:dyDescent="0.25">
      <c r="A93" s="16" t="str">
        <f>HYPERLINK("http://amigo.geneontology.org/amigo/term/GO:0006720","GO:0006720")</f>
        <v>GO:0006720</v>
      </c>
      <c r="B93" t="s">
        <v>675</v>
      </c>
      <c r="C93">
        <v>0.01</v>
      </c>
      <c r="D93">
        <v>0.01</v>
      </c>
      <c r="E93">
        <v>261</v>
      </c>
      <c r="F93" t="s">
        <v>2699</v>
      </c>
      <c r="G93" t="s">
        <v>2698</v>
      </c>
    </row>
    <row r="94" spans="1:7" x14ac:dyDescent="0.25">
      <c r="A94" s="16" t="str">
        <f>HYPERLINK("http://amigo.geneontology.org/amigo/term/GO:0009765","GO:0009765")</f>
        <v>GO:0009765</v>
      </c>
      <c r="B94" t="s">
        <v>948</v>
      </c>
      <c r="C94">
        <v>0.01</v>
      </c>
      <c r="D94">
        <v>0.01</v>
      </c>
      <c r="E94">
        <v>99</v>
      </c>
      <c r="F94" t="s">
        <v>1756</v>
      </c>
      <c r="G94" t="s">
        <v>2697</v>
      </c>
    </row>
    <row r="95" spans="1:7" x14ac:dyDescent="0.25">
      <c r="A95" s="16" t="str">
        <f>HYPERLINK("http://amigo.geneontology.org/amigo/term/GO:0006694","GO:0006694")</f>
        <v>GO:0006694</v>
      </c>
      <c r="B95" t="s">
        <v>1262</v>
      </c>
      <c r="C95">
        <v>0.01</v>
      </c>
      <c r="D95">
        <v>0.01</v>
      </c>
      <c r="E95">
        <v>90</v>
      </c>
      <c r="F95" t="s">
        <v>1752</v>
      </c>
      <c r="G95" t="s">
        <v>2667</v>
      </c>
    </row>
    <row r="96" spans="1:7" x14ac:dyDescent="0.25">
      <c r="A96" s="16" t="str">
        <f>HYPERLINK("http://amigo.geneontology.org/amigo/term/GO:0000910","GO:0000910")</f>
        <v>GO:0000910</v>
      </c>
      <c r="B96" t="s">
        <v>1264</v>
      </c>
      <c r="C96">
        <v>0.01</v>
      </c>
      <c r="D96">
        <v>0.01</v>
      </c>
      <c r="E96">
        <v>34</v>
      </c>
      <c r="F96" t="s">
        <v>1748</v>
      </c>
      <c r="G96" t="s">
        <v>2696</v>
      </c>
    </row>
    <row r="97" spans="1:7" x14ac:dyDescent="0.25">
      <c r="A97" s="16" t="str">
        <f>HYPERLINK("http://amigo.geneontology.org/amigo/term/GO:0008643","GO:0008643")</f>
        <v>GO:0008643</v>
      </c>
      <c r="B97" t="s">
        <v>1266</v>
      </c>
      <c r="C97">
        <v>0.01</v>
      </c>
      <c r="D97">
        <v>0.01</v>
      </c>
      <c r="E97">
        <v>95</v>
      </c>
      <c r="F97" t="s">
        <v>2695</v>
      </c>
      <c r="G97" t="s">
        <v>2694</v>
      </c>
    </row>
    <row r="98" spans="1:7" x14ac:dyDescent="0.25">
      <c r="A98" s="16" t="str">
        <f>HYPERLINK("http://amigo.geneontology.org/amigo/term/GO:0009664","GO:0009664")</f>
        <v>GO:0009664</v>
      </c>
      <c r="B98" t="s">
        <v>1268</v>
      </c>
      <c r="C98">
        <v>0.01</v>
      </c>
      <c r="D98">
        <v>0.01</v>
      </c>
      <c r="E98">
        <v>177</v>
      </c>
      <c r="F98" t="s">
        <v>2693</v>
      </c>
      <c r="G98" t="s">
        <v>2692</v>
      </c>
    </row>
    <row r="99" spans="1:7" x14ac:dyDescent="0.25">
      <c r="A99" s="16" t="str">
        <f>HYPERLINK("http://amigo.geneontology.org/amigo/term/GO:0009691","GO:0009691")</f>
        <v>GO:0009691</v>
      </c>
      <c r="B99" t="s">
        <v>1270</v>
      </c>
      <c r="C99">
        <v>0.01</v>
      </c>
      <c r="D99">
        <v>0.01</v>
      </c>
      <c r="E99">
        <v>34</v>
      </c>
      <c r="F99" t="s">
        <v>1748</v>
      </c>
      <c r="G99" t="s">
        <v>2691</v>
      </c>
    </row>
    <row r="100" spans="1:7" x14ac:dyDescent="0.25">
      <c r="A100" s="16" t="str">
        <f>HYPERLINK("http://amigo.geneontology.org/amigo/term/GO:0009834","GO:0009834")</f>
        <v>GO:0009834</v>
      </c>
      <c r="B100" t="s">
        <v>1272</v>
      </c>
      <c r="C100">
        <v>0.01</v>
      </c>
      <c r="D100">
        <v>0.01</v>
      </c>
      <c r="E100">
        <v>34</v>
      </c>
      <c r="F100" t="s">
        <v>1748</v>
      </c>
      <c r="G100" t="s">
        <v>2690</v>
      </c>
    </row>
    <row r="101" spans="1:7" x14ac:dyDescent="0.25">
      <c r="A101" s="16" t="str">
        <f>HYPERLINK("http://amigo.geneontology.org/amigo/term/GO:0009853","GO:0009853")</f>
        <v>GO:0009853</v>
      </c>
      <c r="B101" t="s">
        <v>1274</v>
      </c>
      <c r="C101">
        <v>0.02</v>
      </c>
      <c r="D101">
        <v>0.02</v>
      </c>
      <c r="E101">
        <v>40</v>
      </c>
      <c r="F101" t="s">
        <v>2606</v>
      </c>
      <c r="G101" t="s">
        <v>2675</v>
      </c>
    </row>
    <row r="102" spans="1:7" x14ac:dyDescent="0.25">
      <c r="A102" s="16" t="str">
        <f>HYPERLINK("http://amigo.geneontology.org/amigo/term/GO:0015849","GO:0015849")</f>
        <v>GO:0015849</v>
      </c>
      <c r="B102" t="s">
        <v>1275</v>
      </c>
      <c r="C102">
        <v>0.02</v>
      </c>
      <c r="D102">
        <v>0.02</v>
      </c>
      <c r="E102">
        <v>106</v>
      </c>
      <c r="F102" t="s">
        <v>2689</v>
      </c>
      <c r="G102" t="s">
        <v>2688</v>
      </c>
    </row>
    <row r="103" spans="1:7" x14ac:dyDescent="0.25">
      <c r="A103" s="16" t="str">
        <f>HYPERLINK("http://amigo.geneontology.org/amigo/term/GO:0006865","GO:0006865")</f>
        <v>GO:0006865</v>
      </c>
      <c r="B103" t="s">
        <v>1277</v>
      </c>
      <c r="C103">
        <v>0.02</v>
      </c>
      <c r="D103">
        <v>0.02</v>
      </c>
      <c r="E103">
        <v>42</v>
      </c>
      <c r="F103" t="s">
        <v>2687</v>
      </c>
      <c r="G103" t="s">
        <v>2686</v>
      </c>
    </row>
    <row r="104" spans="1:7" x14ac:dyDescent="0.25">
      <c r="A104" s="16" t="str">
        <f>HYPERLINK("http://amigo.geneontology.org/amigo/term/GO:1903825","GO:1903825")</f>
        <v>GO:1903825</v>
      </c>
      <c r="B104" t="s">
        <v>1279</v>
      </c>
      <c r="C104">
        <v>0.02</v>
      </c>
      <c r="D104">
        <v>0.02</v>
      </c>
      <c r="E104">
        <v>38</v>
      </c>
      <c r="F104" t="s">
        <v>1759</v>
      </c>
      <c r="G104" t="s">
        <v>2686</v>
      </c>
    </row>
    <row r="105" spans="1:7" x14ac:dyDescent="0.25">
      <c r="A105" s="16" t="str">
        <f>HYPERLINK("http://amigo.geneontology.org/amigo/term/GO:1905039","GO:1905039")</f>
        <v>GO:1905039</v>
      </c>
      <c r="B105" t="s">
        <v>1281</v>
      </c>
      <c r="C105">
        <v>0.02</v>
      </c>
      <c r="D105">
        <v>0.02</v>
      </c>
      <c r="E105">
        <v>38</v>
      </c>
      <c r="F105" t="s">
        <v>1759</v>
      </c>
      <c r="G105" t="s">
        <v>2686</v>
      </c>
    </row>
    <row r="106" spans="1:7" x14ac:dyDescent="0.25">
      <c r="A106" s="16" t="str">
        <f>HYPERLINK("http://amigo.geneontology.org/amigo/term/GO:0015780","GO:0015780")</f>
        <v>GO:0015780</v>
      </c>
      <c r="B106" t="s">
        <v>1064</v>
      </c>
      <c r="C106">
        <v>0.02</v>
      </c>
      <c r="D106">
        <v>0.02</v>
      </c>
      <c r="E106">
        <v>38</v>
      </c>
      <c r="F106" t="s">
        <v>1759</v>
      </c>
      <c r="G106" t="s">
        <v>2685</v>
      </c>
    </row>
    <row r="107" spans="1:7" x14ac:dyDescent="0.25">
      <c r="A107" s="16" t="str">
        <f>HYPERLINK("http://amigo.geneontology.org/amigo/term/GO:0008202","GO:0008202")</f>
        <v>GO:0008202</v>
      </c>
      <c r="B107" t="s">
        <v>1282</v>
      </c>
      <c r="C107">
        <v>0.02</v>
      </c>
      <c r="D107">
        <v>0.03</v>
      </c>
      <c r="E107">
        <v>123</v>
      </c>
      <c r="F107" t="s">
        <v>2684</v>
      </c>
      <c r="G107" t="s">
        <v>2667</v>
      </c>
    </row>
    <row r="108" spans="1:7" x14ac:dyDescent="0.25">
      <c r="A108" s="16" t="str">
        <f>HYPERLINK("http://amigo.geneontology.org/amigo/term/GO:0016126","GO:0016126")</f>
        <v>GO:0016126</v>
      </c>
      <c r="B108" t="s">
        <v>1284</v>
      </c>
      <c r="C108">
        <v>0.02</v>
      </c>
      <c r="D108">
        <v>0.02</v>
      </c>
      <c r="E108">
        <v>43</v>
      </c>
      <c r="F108" t="s">
        <v>2540</v>
      </c>
      <c r="G108" t="s">
        <v>2683</v>
      </c>
    </row>
    <row r="109" spans="1:7" x14ac:dyDescent="0.25">
      <c r="A109" s="16" t="str">
        <f>HYPERLINK("http://amigo.geneontology.org/amigo/term/GO:0006112","GO:0006112")</f>
        <v>GO:0006112</v>
      </c>
      <c r="B109" t="s">
        <v>1286</v>
      </c>
      <c r="C109">
        <v>0.02</v>
      </c>
      <c r="D109">
        <v>0.02</v>
      </c>
      <c r="E109">
        <v>38</v>
      </c>
      <c r="F109" t="s">
        <v>1759</v>
      </c>
      <c r="G109" t="s">
        <v>2682</v>
      </c>
    </row>
    <row r="110" spans="1:7" x14ac:dyDescent="0.25">
      <c r="A110" s="16" t="str">
        <f>HYPERLINK("http://amigo.geneontology.org/amigo/term/GO:0005977","GO:0005977")</f>
        <v>GO:0005977</v>
      </c>
      <c r="B110" t="s">
        <v>1288</v>
      </c>
      <c r="C110">
        <v>0.02</v>
      </c>
      <c r="D110">
        <v>0.02</v>
      </c>
      <c r="E110">
        <v>38</v>
      </c>
      <c r="F110" t="s">
        <v>1759</v>
      </c>
      <c r="G110" t="s">
        <v>2682</v>
      </c>
    </row>
    <row r="111" spans="1:7" x14ac:dyDescent="0.25">
      <c r="A111" s="16" t="str">
        <f>HYPERLINK("http://amigo.geneontology.org/amigo/term/GO:0005980","GO:0005980")</f>
        <v>GO:0005980</v>
      </c>
      <c r="B111" t="s">
        <v>1290</v>
      </c>
      <c r="C111">
        <v>0.02</v>
      </c>
      <c r="D111">
        <v>0.02</v>
      </c>
      <c r="E111">
        <v>4</v>
      </c>
      <c r="F111" t="s">
        <v>1760</v>
      </c>
      <c r="G111" t="s">
        <v>2681</v>
      </c>
    </row>
    <row r="112" spans="1:7" x14ac:dyDescent="0.25">
      <c r="A112" s="16" t="str">
        <f>HYPERLINK("http://amigo.geneontology.org/amigo/term/GO:0032259","GO:0032259")</f>
        <v>GO:0032259</v>
      </c>
      <c r="B112" t="s">
        <v>1291</v>
      </c>
      <c r="C112">
        <v>0.02</v>
      </c>
      <c r="D112">
        <v>0.02</v>
      </c>
      <c r="E112">
        <v>418</v>
      </c>
      <c r="F112" t="s">
        <v>2680</v>
      </c>
      <c r="G112" t="s">
        <v>2679</v>
      </c>
    </row>
    <row r="113" spans="1:7" x14ac:dyDescent="0.25">
      <c r="A113" s="16" t="str">
        <f>HYPERLINK("http://amigo.geneontology.org/amigo/term/GO:0006817","GO:0006817")</f>
        <v>GO:0006817</v>
      </c>
      <c r="B113" t="s">
        <v>1293</v>
      </c>
      <c r="C113">
        <v>0.02</v>
      </c>
      <c r="D113">
        <v>0.03</v>
      </c>
      <c r="E113">
        <v>48</v>
      </c>
      <c r="F113" t="s">
        <v>1722</v>
      </c>
      <c r="G113" t="s">
        <v>2678</v>
      </c>
    </row>
    <row r="114" spans="1:7" x14ac:dyDescent="0.25">
      <c r="A114" s="16" t="str">
        <f>HYPERLINK("http://amigo.geneontology.org/amigo/term/GO:0009611","GO:0009611")</f>
        <v>GO:0009611</v>
      </c>
      <c r="B114" t="s">
        <v>1006</v>
      </c>
      <c r="C114">
        <v>0.03</v>
      </c>
      <c r="D114">
        <v>0.04</v>
      </c>
      <c r="E114">
        <v>244</v>
      </c>
      <c r="F114" t="s">
        <v>2677</v>
      </c>
      <c r="G114" t="s">
        <v>2676</v>
      </c>
    </row>
    <row r="115" spans="1:7" x14ac:dyDescent="0.25">
      <c r="A115" s="16" t="str">
        <f>HYPERLINK("http://amigo.geneontology.org/amigo/term/GO:0015977","GO:0015977")</f>
        <v>GO:0015977</v>
      </c>
      <c r="B115" t="s">
        <v>1095</v>
      </c>
      <c r="C115">
        <v>0.03</v>
      </c>
      <c r="D115">
        <v>0.03</v>
      </c>
      <c r="E115">
        <v>51</v>
      </c>
      <c r="F115" t="s">
        <v>2517</v>
      </c>
      <c r="G115" t="s">
        <v>2675</v>
      </c>
    </row>
    <row r="116" spans="1:7" x14ac:dyDescent="0.25">
      <c r="A116" s="16" t="str">
        <f>HYPERLINK("http://amigo.geneontology.org/amigo/term/GO:0019252","GO:0019252")</f>
        <v>GO:0019252</v>
      </c>
      <c r="B116" t="s">
        <v>1294</v>
      </c>
      <c r="C116">
        <v>0.03</v>
      </c>
      <c r="D116">
        <v>0.03</v>
      </c>
      <c r="E116">
        <v>53</v>
      </c>
      <c r="F116" t="s">
        <v>2586</v>
      </c>
      <c r="G116" t="s">
        <v>2674</v>
      </c>
    </row>
    <row r="117" spans="1:7" x14ac:dyDescent="0.25">
      <c r="A117" s="16" t="str">
        <f>HYPERLINK("http://amigo.geneontology.org/amigo/term/GO:0009658","GO:0009658")</f>
        <v>GO:0009658</v>
      </c>
      <c r="B117" t="s">
        <v>1296</v>
      </c>
      <c r="C117">
        <v>0.03</v>
      </c>
      <c r="D117">
        <v>0.04</v>
      </c>
      <c r="E117">
        <v>142</v>
      </c>
      <c r="F117" t="s">
        <v>2600</v>
      </c>
      <c r="G117" t="s">
        <v>2673</v>
      </c>
    </row>
    <row r="118" spans="1:7" x14ac:dyDescent="0.25">
      <c r="A118" s="16" t="str">
        <f>HYPERLINK("http://amigo.geneontology.org/amigo/term/GO:0051202","GO:0051202")</f>
        <v>GO:0051202</v>
      </c>
      <c r="B118" t="s">
        <v>1298</v>
      </c>
      <c r="C118">
        <v>0.03</v>
      </c>
      <c r="D118">
        <v>0.04</v>
      </c>
      <c r="E118">
        <v>7</v>
      </c>
      <c r="F118" t="s">
        <v>1725</v>
      </c>
      <c r="G118" t="s">
        <v>2672</v>
      </c>
    </row>
    <row r="119" spans="1:7" x14ac:dyDescent="0.25">
      <c r="A119" s="16" t="str">
        <f>HYPERLINK("http://amigo.geneontology.org/amigo/term/GO:0010024","GO:0010024")</f>
        <v>GO:0010024</v>
      </c>
      <c r="B119" t="s">
        <v>1300</v>
      </c>
      <c r="C119">
        <v>0.03</v>
      </c>
      <c r="D119">
        <v>0.04</v>
      </c>
      <c r="E119">
        <v>7</v>
      </c>
      <c r="F119" t="s">
        <v>1725</v>
      </c>
      <c r="G119" t="s">
        <v>2672</v>
      </c>
    </row>
    <row r="120" spans="1:7" x14ac:dyDescent="0.25">
      <c r="A120" s="16" t="str">
        <f>HYPERLINK("http://amigo.geneontology.org/amigo/term/GO:0006658","GO:0006658")</f>
        <v>GO:0006658</v>
      </c>
      <c r="B120" t="s">
        <v>1105</v>
      </c>
      <c r="C120">
        <v>0.03</v>
      </c>
      <c r="D120">
        <v>0.03</v>
      </c>
      <c r="E120">
        <v>6</v>
      </c>
      <c r="F120" t="s">
        <v>1720</v>
      </c>
      <c r="G120" t="s">
        <v>2670</v>
      </c>
    </row>
    <row r="121" spans="1:7" x14ac:dyDescent="0.25">
      <c r="A121" s="16" t="str">
        <f>HYPERLINK("http://amigo.geneontology.org/amigo/term/GO:0042398","GO:0042398")</f>
        <v>GO:0042398</v>
      </c>
      <c r="B121" t="s">
        <v>1301</v>
      </c>
      <c r="C121">
        <v>0.03</v>
      </c>
      <c r="D121">
        <v>0.03</v>
      </c>
      <c r="E121">
        <v>56</v>
      </c>
      <c r="F121" t="s">
        <v>1718</v>
      </c>
      <c r="G121" t="s">
        <v>2671</v>
      </c>
    </row>
    <row r="122" spans="1:7" x14ac:dyDescent="0.25">
      <c r="A122" s="16" t="str">
        <f>HYPERLINK("http://amigo.geneontology.org/amigo/term/GO:0006659","GO:0006659")</f>
        <v>GO:0006659</v>
      </c>
      <c r="B122" t="s">
        <v>1106</v>
      </c>
      <c r="C122">
        <v>0.03</v>
      </c>
      <c r="D122">
        <v>0.03</v>
      </c>
      <c r="E122">
        <v>6</v>
      </c>
      <c r="F122" t="s">
        <v>1720</v>
      </c>
      <c r="G122" t="s">
        <v>2670</v>
      </c>
    </row>
    <row r="123" spans="1:7" x14ac:dyDescent="0.25">
      <c r="A123" s="16" t="str">
        <f>HYPERLINK("http://amigo.geneontology.org/amigo/term/GO:0048465","GO:0048465")</f>
        <v>GO:0048465</v>
      </c>
      <c r="B123" t="s">
        <v>1303</v>
      </c>
      <c r="C123">
        <v>0.03</v>
      </c>
      <c r="D123">
        <v>0.03</v>
      </c>
      <c r="E123">
        <v>6</v>
      </c>
      <c r="F123" t="s">
        <v>1720</v>
      </c>
      <c r="G123" t="s">
        <v>2669</v>
      </c>
    </row>
    <row r="124" spans="1:7" x14ac:dyDescent="0.25">
      <c r="A124" s="16" t="str">
        <f>HYPERLINK("http://amigo.geneontology.org/amigo/term/GO:0048441","GO:0048441")</f>
        <v>GO:0048441</v>
      </c>
      <c r="B124" t="s">
        <v>1305</v>
      </c>
      <c r="C124">
        <v>0.03</v>
      </c>
      <c r="D124">
        <v>0.03</v>
      </c>
      <c r="E124">
        <v>6</v>
      </c>
      <c r="F124" t="s">
        <v>1720</v>
      </c>
      <c r="G124" t="s">
        <v>2669</v>
      </c>
    </row>
    <row r="125" spans="1:7" x14ac:dyDescent="0.25">
      <c r="A125" s="16" t="str">
        <f>HYPERLINK("http://amigo.geneontology.org/amigo/term/GO:1901617","GO:1901617")</f>
        <v>GO:1901617</v>
      </c>
      <c r="B125" t="s">
        <v>1306</v>
      </c>
      <c r="C125">
        <v>0.04</v>
      </c>
      <c r="D125">
        <v>0.04</v>
      </c>
      <c r="E125">
        <v>153</v>
      </c>
      <c r="F125" t="s">
        <v>2668</v>
      </c>
      <c r="G125" t="s">
        <v>2667</v>
      </c>
    </row>
    <row r="126" spans="1:7" x14ac:dyDescent="0.25">
      <c r="A126" s="16" t="str">
        <f>HYPERLINK("http://amigo.geneontology.org/amigo/term/GO:0006928","GO:0006928")</f>
        <v>GO:0006928</v>
      </c>
      <c r="B126" t="s">
        <v>1307</v>
      </c>
      <c r="C126">
        <v>0.05</v>
      </c>
      <c r="D126">
        <v>0.05</v>
      </c>
      <c r="E126">
        <v>165</v>
      </c>
      <c r="F126" t="s">
        <v>2666</v>
      </c>
      <c r="G126" t="s">
        <v>2665</v>
      </c>
    </row>
    <row r="127" spans="1:7" x14ac:dyDescent="0.25">
      <c r="A127" s="16" t="str">
        <f>HYPERLINK("http://amigo.geneontology.org/amigo/term/GO:0007018","GO:0007018")</f>
        <v>GO:0007018</v>
      </c>
      <c r="B127" t="s">
        <v>1308</v>
      </c>
      <c r="C127">
        <v>0.05</v>
      </c>
      <c r="D127">
        <v>0.05</v>
      </c>
      <c r="E127">
        <v>161</v>
      </c>
      <c r="F127" t="s">
        <v>2664</v>
      </c>
      <c r="G127" t="s">
        <v>2665</v>
      </c>
    </row>
    <row r="128" spans="1:7" x14ac:dyDescent="0.25">
      <c r="A128" s="16" t="str">
        <f>HYPERLINK("http://amigo.geneontology.org/amigo/term/GO:0015698","GO:0015698")</f>
        <v>GO:0015698</v>
      </c>
      <c r="B128" t="s">
        <v>1309</v>
      </c>
      <c r="C128">
        <v>0.05</v>
      </c>
      <c r="D128">
        <v>0.05</v>
      </c>
      <c r="E128">
        <v>161</v>
      </c>
      <c r="F128" t="s">
        <v>2664</v>
      </c>
      <c r="G128" t="s">
        <v>2663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workbookViewId="0">
      <pane xSplit="2" ySplit="10" topLeftCell="C150" activePane="bottomRight" state="frozen"/>
      <selection pane="topRight" activeCell="C1" sqref="C1"/>
      <selection pane="bottomLeft" activeCell="A11" sqref="A11"/>
      <selection pane="bottomRight" activeCell="A11" sqref="A11:A176"/>
    </sheetView>
  </sheetViews>
  <sheetFormatPr defaultRowHeight="15" x14ac:dyDescent="0.25"/>
  <sheetData>
    <row r="1" spans="1:7" x14ac:dyDescent="0.25">
      <c r="A1" t="s">
        <v>0</v>
      </c>
      <c r="B1">
        <v>127</v>
      </c>
    </row>
    <row r="2" spans="1:7" x14ac:dyDescent="0.25">
      <c r="A2" t="s">
        <v>1</v>
      </c>
      <c r="B2">
        <v>75477</v>
      </c>
    </row>
    <row r="3" spans="1:7" x14ac:dyDescent="0.25">
      <c r="A3" t="s">
        <v>2</v>
      </c>
      <c r="B3" t="s">
        <v>3</v>
      </c>
    </row>
    <row r="4" spans="1:7" x14ac:dyDescent="0.25">
      <c r="A4" t="s">
        <v>4</v>
      </c>
      <c r="B4" t="s">
        <v>5</v>
      </c>
    </row>
    <row r="5" spans="1:7" x14ac:dyDescent="0.25">
      <c r="A5" t="s">
        <v>6</v>
      </c>
      <c r="B5" t="s">
        <v>7</v>
      </c>
    </row>
    <row r="6" spans="1:7" x14ac:dyDescent="0.25">
      <c r="A6" t="s">
        <v>8</v>
      </c>
      <c r="B6" t="s">
        <v>9</v>
      </c>
    </row>
    <row r="7" spans="1:7" x14ac:dyDescent="0.25">
      <c r="A7" t="s">
        <v>10</v>
      </c>
      <c r="B7" t="s">
        <v>11</v>
      </c>
    </row>
    <row r="8" spans="1:7" x14ac:dyDescent="0.25">
      <c r="A8" t="s">
        <v>12</v>
      </c>
      <c r="B8">
        <v>3</v>
      </c>
    </row>
    <row r="10" spans="1:7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7" x14ac:dyDescent="0.25">
      <c r="A11" s="16" t="str">
        <f>HYPERLINK("http://amigo.geneontology.org/amigo/term/GO:0060567","GO:0060567")</f>
        <v>GO:0060567</v>
      </c>
      <c r="B11" t="s">
        <v>1617</v>
      </c>
      <c r="C11" s="1">
        <v>4.6520000000000001E-9</v>
      </c>
      <c r="D11" s="1">
        <v>5.0700000000000001E-9</v>
      </c>
      <c r="E11">
        <v>3</v>
      </c>
      <c r="F11" t="s">
        <v>2118</v>
      </c>
      <c r="G11" t="s">
        <v>2828</v>
      </c>
    </row>
    <row r="12" spans="1:7" x14ac:dyDescent="0.25">
      <c r="A12" s="16" t="str">
        <f>HYPERLINK("http://amigo.geneontology.org/amigo/term/GO:0031554","GO:0031554")</f>
        <v>GO:0031554</v>
      </c>
      <c r="B12" t="s">
        <v>1618</v>
      </c>
      <c r="C12" s="1">
        <v>9.2700000000000003E-8</v>
      </c>
      <c r="D12" s="1">
        <v>1.01E-7</v>
      </c>
      <c r="E12">
        <v>6</v>
      </c>
      <c r="F12" t="s">
        <v>2059</v>
      </c>
      <c r="G12" t="s">
        <v>2828</v>
      </c>
    </row>
    <row r="13" spans="1:7" x14ac:dyDescent="0.25">
      <c r="A13" s="16" t="str">
        <f>HYPERLINK("http://amigo.geneontology.org/amigo/term/GO:0009845","GO:0009845")</f>
        <v>GO:0009845</v>
      </c>
      <c r="B13" t="s">
        <v>1544</v>
      </c>
      <c r="C13" s="1">
        <v>6.0060000000000002E-7</v>
      </c>
      <c r="D13" s="1">
        <v>6.5430000000000003E-7</v>
      </c>
      <c r="E13">
        <v>39</v>
      </c>
      <c r="F13" t="s">
        <v>1949</v>
      </c>
      <c r="G13" t="s">
        <v>2840</v>
      </c>
    </row>
    <row r="14" spans="1:7" x14ac:dyDescent="0.25">
      <c r="A14" s="16" t="str">
        <f>HYPERLINK("http://amigo.geneontology.org/amigo/term/GO:0090351","GO:0090351")</f>
        <v>GO:0090351</v>
      </c>
      <c r="B14" t="s">
        <v>1619</v>
      </c>
      <c r="C14" s="1">
        <v>1.2890000000000001E-6</v>
      </c>
      <c r="D14" s="1">
        <v>1.404E-6</v>
      </c>
      <c r="E14">
        <v>47</v>
      </c>
      <c r="F14" t="s">
        <v>2919</v>
      </c>
      <c r="G14" t="s">
        <v>2840</v>
      </c>
    </row>
    <row r="15" spans="1:7" x14ac:dyDescent="0.25">
      <c r="A15" s="16" t="str">
        <f>HYPERLINK("http://amigo.geneontology.org/amigo/term/GO:0043242","GO:0043242")</f>
        <v>GO:0043242</v>
      </c>
      <c r="B15" t="s">
        <v>1620</v>
      </c>
      <c r="C15" s="1">
        <v>3.7270000000000001E-6</v>
      </c>
      <c r="D15" s="1">
        <v>4.0579999999999999E-6</v>
      </c>
      <c r="E15">
        <v>18</v>
      </c>
      <c r="F15" t="s">
        <v>279</v>
      </c>
      <c r="G15" t="s">
        <v>2828</v>
      </c>
    </row>
    <row r="16" spans="1:7" x14ac:dyDescent="0.25">
      <c r="A16" s="16" t="str">
        <f>HYPERLINK("http://amigo.geneontology.org/amigo/term/GO:0050789","GO:0050789")</f>
        <v>GO:0050789</v>
      </c>
      <c r="B16" t="s">
        <v>795</v>
      </c>
      <c r="C16" s="1">
        <v>1.641E-5</v>
      </c>
      <c r="D16" s="1">
        <v>1.7859999999999998E-5</v>
      </c>
      <c r="E16">
        <v>7510</v>
      </c>
      <c r="F16" t="s">
        <v>2918</v>
      </c>
      <c r="G16" t="s">
        <v>2917</v>
      </c>
    </row>
    <row r="17" spans="1:7" x14ac:dyDescent="0.25">
      <c r="A17" s="16" t="str">
        <f>HYPERLINK("http://amigo.geneontology.org/amigo/term/GO:0009631","GO:0009631")</f>
        <v>GO:0009631</v>
      </c>
      <c r="B17" t="s">
        <v>1621</v>
      </c>
      <c r="C17" s="1">
        <v>1.6460000000000002E-5</v>
      </c>
      <c r="D17" s="1">
        <v>1.7920000000000001E-5</v>
      </c>
      <c r="E17">
        <v>29</v>
      </c>
      <c r="F17" t="s">
        <v>2658</v>
      </c>
      <c r="G17" t="s">
        <v>2828</v>
      </c>
    </row>
    <row r="18" spans="1:7" x14ac:dyDescent="0.25">
      <c r="A18" s="16" t="str">
        <f>HYPERLINK("http://amigo.geneontology.org/amigo/term/GO:0043244","GO:0043244")</f>
        <v>GO:0043244</v>
      </c>
      <c r="B18" t="s">
        <v>1622</v>
      </c>
      <c r="C18" s="1">
        <v>2.446E-5</v>
      </c>
      <c r="D18" s="1">
        <v>2.6619999999999999E-5</v>
      </c>
      <c r="E18">
        <v>33</v>
      </c>
      <c r="F18" t="s">
        <v>1886</v>
      </c>
      <c r="G18" t="s">
        <v>2828</v>
      </c>
    </row>
    <row r="19" spans="1:7" x14ac:dyDescent="0.25">
      <c r="A19" s="16" t="str">
        <f>HYPERLINK("http://amigo.geneontology.org/amigo/term/GO:0050794","GO:0050794")</f>
        <v>GO:0050794</v>
      </c>
      <c r="B19" t="s">
        <v>879</v>
      </c>
      <c r="C19" s="1">
        <v>2.4709999999999999E-5</v>
      </c>
      <c r="D19" s="1">
        <v>2.688E-5</v>
      </c>
      <c r="E19">
        <v>6861</v>
      </c>
      <c r="F19" t="s">
        <v>2916</v>
      </c>
      <c r="G19" t="s">
        <v>2915</v>
      </c>
    </row>
    <row r="20" spans="1:7" x14ac:dyDescent="0.25">
      <c r="A20" s="16" t="str">
        <f>HYPERLINK("http://amigo.geneontology.org/amigo/term/GO:0060255","GO:0060255")</f>
        <v>GO:0060255</v>
      </c>
      <c r="B20" t="s">
        <v>944</v>
      </c>
      <c r="C20" s="1">
        <v>7.2230000000000005E-5</v>
      </c>
      <c r="D20" s="1">
        <v>7.8549999999999998E-5</v>
      </c>
      <c r="E20">
        <v>5293</v>
      </c>
      <c r="F20" t="s">
        <v>2914</v>
      </c>
      <c r="G20" t="s">
        <v>2908</v>
      </c>
    </row>
    <row r="21" spans="1:7" x14ac:dyDescent="0.25">
      <c r="A21" s="16" t="str">
        <f>HYPERLINK("http://amigo.geneontology.org/amigo/term/GO:2000112","GO:2000112")</f>
        <v>GO:2000112</v>
      </c>
      <c r="B21" t="s">
        <v>857</v>
      </c>
      <c r="C21" s="1">
        <v>7.4649999999999998E-5</v>
      </c>
      <c r="D21" s="1">
        <v>8.1160000000000002E-5</v>
      </c>
      <c r="E21">
        <v>4546</v>
      </c>
      <c r="F21" t="s">
        <v>2913</v>
      </c>
      <c r="G21" t="s">
        <v>2911</v>
      </c>
    </row>
    <row r="22" spans="1:7" x14ac:dyDescent="0.25">
      <c r="A22" s="16" t="str">
        <f>HYPERLINK("http://amigo.geneontology.org/amigo/term/GO:0010556","GO:0010556")</f>
        <v>GO:0010556</v>
      </c>
      <c r="B22" t="s">
        <v>858</v>
      </c>
      <c r="C22" s="1">
        <v>7.5779999999999996E-5</v>
      </c>
      <c r="D22" s="1">
        <v>8.2369999999999999E-5</v>
      </c>
      <c r="E22">
        <v>4551</v>
      </c>
      <c r="F22" t="s">
        <v>2913</v>
      </c>
      <c r="G22" t="s">
        <v>2911</v>
      </c>
    </row>
    <row r="23" spans="1:7" x14ac:dyDescent="0.25">
      <c r="A23" s="16" t="str">
        <f>HYPERLINK("http://amigo.geneontology.org/amigo/term/GO:0031326","GO:0031326")</f>
        <v>GO:0031326</v>
      </c>
      <c r="B23" t="s">
        <v>822</v>
      </c>
      <c r="C23" s="1">
        <v>8.742E-5</v>
      </c>
      <c r="D23" s="1">
        <v>9.5000000000000005E-5</v>
      </c>
      <c r="E23">
        <v>4599</v>
      </c>
      <c r="F23" t="s">
        <v>2912</v>
      </c>
      <c r="G23" t="s">
        <v>2911</v>
      </c>
    </row>
    <row r="24" spans="1:7" x14ac:dyDescent="0.25">
      <c r="A24" s="16" t="str">
        <f>HYPERLINK("http://amigo.geneontology.org/amigo/term/GO:0009889","GO:0009889")</f>
        <v>GO:0009889</v>
      </c>
      <c r="B24" t="s">
        <v>824</v>
      </c>
      <c r="C24" s="1">
        <v>8.8980000000000005E-5</v>
      </c>
      <c r="D24" s="1">
        <v>9.6680000000000003E-5</v>
      </c>
      <c r="E24">
        <v>4605</v>
      </c>
      <c r="F24" t="s">
        <v>2912</v>
      </c>
      <c r="G24" t="s">
        <v>2911</v>
      </c>
    </row>
    <row r="25" spans="1:7" x14ac:dyDescent="0.25">
      <c r="A25" s="16" t="str">
        <f>HYPERLINK("http://amigo.geneontology.org/amigo/term/GO:0051129","GO:0051129")</f>
        <v>GO:0051129</v>
      </c>
      <c r="B25" t="s">
        <v>1623</v>
      </c>
      <c r="C25" s="1">
        <v>9.6799999999999995E-5</v>
      </c>
      <c r="D25" s="1">
        <v>1.0509999999999999E-4</v>
      </c>
      <c r="E25">
        <v>52</v>
      </c>
      <c r="F25" t="s">
        <v>2910</v>
      </c>
      <c r="G25" t="s">
        <v>2828</v>
      </c>
    </row>
    <row r="26" spans="1:7" x14ac:dyDescent="0.25">
      <c r="A26" s="16" t="str">
        <f>HYPERLINK("http://amigo.geneontology.org/amigo/term/GO:0019222","GO:0019222")</f>
        <v>GO:0019222</v>
      </c>
      <c r="B26" t="s">
        <v>918</v>
      </c>
      <c r="C26" s="1">
        <v>1.031E-4</v>
      </c>
      <c r="D26" s="1">
        <v>1.12E-4</v>
      </c>
      <c r="E26">
        <v>5424</v>
      </c>
      <c r="F26" t="s">
        <v>2909</v>
      </c>
      <c r="G26" t="s">
        <v>2908</v>
      </c>
    </row>
    <row r="27" spans="1:7" x14ac:dyDescent="0.25">
      <c r="A27" s="16" t="str">
        <f>HYPERLINK("http://amigo.geneontology.org/amigo/term/GO:0006355","GO:0006355")</f>
        <v>GO:0006355</v>
      </c>
      <c r="B27" t="s">
        <v>811</v>
      </c>
      <c r="C27" s="1">
        <v>1.047E-4</v>
      </c>
      <c r="D27" s="1">
        <v>1.137E-4</v>
      </c>
      <c r="E27">
        <v>4287</v>
      </c>
      <c r="F27" t="s">
        <v>2907</v>
      </c>
      <c r="G27" t="s">
        <v>2899</v>
      </c>
    </row>
    <row r="28" spans="1:7" x14ac:dyDescent="0.25">
      <c r="A28" s="16" t="str">
        <f>HYPERLINK("http://amigo.geneontology.org/amigo/term/GO:2001141","GO:2001141")</f>
        <v>GO:2001141</v>
      </c>
      <c r="B28" t="s">
        <v>812</v>
      </c>
      <c r="C28" s="1">
        <v>1.0569999999999999E-4</v>
      </c>
      <c r="D28" s="1">
        <v>1.147E-4</v>
      </c>
      <c r="E28">
        <v>4290</v>
      </c>
      <c r="F28" t="s">
        <v>2907</v>
      </c>
      <c r="G28" t="s">
        <v>2899</v>
      </c>
    </row>
    <row r="29" spans="1:7" x14ac:dyDescent="0.25">
      <c r="A29" s="16" t="str">
        <f>HYPERLINK("http://amigo.geneontology.org/amigo/term/GO:1903506","GO:1903506")</f>
        <v>GO:1903506</v>
      </c>
      <c r="B29" t="s">
        <v>813</v>
      </c>
      <c r="C29" s="1">
        <v>1.0569999999999999E-4</v>
      </c>
      <c r="D29" s="1">
        <v>1.147E-4</v>
      </c>
      <c r="E29">
        <v>4290</v>
      </c>
      <c r="F29" t="s">
        <v>2907</v>
      </c>
      <c r="G29" t="s">
        <v>2899</v>
      </c>
    </row>
    <row r="30" spans="1:7" x14ac:dyDescent="0.25">
      <c r="A30" s="16" t="str">
        <f>HYPERLINK("http://amigo.geneontology.org/amigo/term/GO:0034654","GO:0034654")</f>
        <v>GO:0034654</v>
      </c>
      <c r="B30" t="s">
        <v>1087</v>
      </c>
      <c r="C30" s="1">
        <v>1.142E-4</v>
      </c>
      <c r="D30" s="1">
        <v>1.2400000000000001E-4</v>
      </c>
      <c r="E30">
        <v>2248</v>
      </c>
      <c r="F30" t="s">
        <v>2906</v>
      </c>
      <c r="G30" t="s">
        <v>2905</v>
      </c>
    </row>
    <row r="31" spans="1:7" x14ac:dyDescent="0.25">
      <c r="A31" s="16" t="str">
        <f>HYPERLINK("http://amigo.geneontology.org/amigo/term/GO:0031323","GO:0031323")</f>
        <v>GO:0031323</v>
      </c>
      <c r="B31" t="s">
        <v>922</v>
      </c>
      <c r="C31" s="1">
        <v>1.225E-4</v>
      </c>
      <c r="D31" s="1">
        <v>1.329E-4</v>
      </c>
      <c r="E31">
        <v>5099</v>
      </c>
      <c r="F31" t="s">
        <v>2904</v>
      </c>
      <c r="G31" t="s">
        <v>2903</v>
      </c>
    </row>
    <row r="32" spans="1:7" x14ac:dyDescent="0.25">
      <c r="A32" s="16" t="str">
        <f>HYPERLINK("http://amigo.geneontology.org/amigo/term/GO:0006351","GO:0006351")</f>
        <v>GO:0006351</v>
      </c>
      <c r="B32" t="s">
        <v>1073</v>
      </c>
      <c r="C32" s="1">
        <v>1.3789999999999999E-4</v>
      </c>
      <c r="D32" s="1">
        <v>1.496E-4</v>
      </c>
      <c r="E32">
        <v>1683</v>
      </c>
      <c r="F32" t="s">
        <v>2902</v>
      </c>
      <c r="G32" t="s">
        <v>2901</v>
      </c>
    </row>
    <row r="33" spans="1:7" x14ac:dyDescent="0.25">
      <c r="A33" s="16" t="str">
        <f>HYPERLINK("http://amigo.geneontology.org/amigo/term/GO:0097659","GO:0097659")</f>
        <v>GO:0097659</v>
      </c>
      <c r="B33" t="s">
        <v>1074</v>
      </c>
      <c r="C33" s="1">
        <v>1.393E-4</v>
      </c>
      <c r="D33" s="1">
        <v>1.5109999999999999E-4</v>
      </c>
      <c r="E33">
        <v>1685</v>
      </c>
      <c r="F33" t="s">
        <v>2902</v>
      </c>
      <c r="G33" t="s">
        <v>2901</v>
      </c>
    </row>
    <row r="34" spans="1:7" x14ac:dyDescent="0.25">
      <c r="A34" s="16" t="str">
        <f>HYPERLINK("http://amigo.geneontology.org/amigo/term/GO:0051252","GO:0051252")</f>
        <v>GO:0051252</v>
      </c>
      <c r="B34" t="s">
        <v>816</v>
      </c>
      <c r="C34" s="1">
        <v>1.4109999999999999E-4</v>
      </c>
      <c r="D34" s="1">
        <v>1.5300000000000001E-4</v>
      </c>
      <c r="E34">
        <v>4387</v>
      </c>
      <c r="F34" t="s">
        <v>2900</v>
      </c>
      <c r="G34" t="s">
        <v>2899</v>
      </c>
    </row>
    <row r="35" spans="1:7" x14ac:dyDescent="0.25">
      <c r="A35" s="16" t="str">
        <f>HYPERLINK("http://amigo.geneontology.org/amigo/term/GO:0032774","GO:0032774")</f>
        <v>GO:0032774</v>
      </c>
      <c r="B35" t="s">
        <v>1075</v>
      </c>
      <c r="C35" s="1">
        <v>1.4440000000000001E-4</v>
      </c>
      <c r="D35" s="1">
        <v>1.5650000000000001E-4</v>
      </c>
      <c r="E35">
        <v>1692</v>
      </c>
      <c r="F35" t="s">
        <v>2902</v>
      </c>
      <c r="G35" t="s">
        <v>2901</v>
      </c>
    </row>
    <row r="36" spans="1:7" x14ac:dyDescent="0.25">
      <c r="A36" s="16" t="str">
        <f>HYPERLINK("http://amigo.geneontology.org/amigo/term/GO:0019219","GO:0019219")</f>
        <v>GO:0019219</v>
      </c>
      <c r="B36" t="s">
        <v>821</v>
      </c>
      <c r="C36" s="1">
        <v>1.6129999999999999E-4</v>
      </c>
      <c r="D36" s="1">
        <v>1.7479999999999999E-4</v>
      </c>
      <c r="E36">
        <v>4433</v>
      </c>
      <c r="F36" t="s">
        <v>2900</v>
      </c>
      <c r="G36" t="s">
        <v>2899</v>
      </c>
    </row>
    <row r="37" spans="1:7" x14ac:dyDescent="0.25">
      <c r="A37" s="16" t="str">
        <f>HYPERLINK("http://amigo.geneontology.org/amigo/term/GO:0019438","GO:0019438")</f>
        <v>GO:0019438</v>
      </c>
      <c r="B37" t="s">
        <v>613</v>
      </c>
      <c r="C37" s="1">
        <v>1.616E-4</v>
      </c>
      <c r="D37" s="1">
        <v>1.751E-4</v>
      </c>
      <c r="E37">
        <v>2655</v>
      </c>
      <c r="F37" t="s">
        <v>2898</v>
      </c>
      <c r="G37" t="s">
        <v>2892</v>
      </c>
    </row>
    <row r="38" spans="1:7" x14ac:dyDescent="0.25">
      <c r="A38" s="16" t="str">
        <f>HYPERLINK("http://amigo.geneontology.org/amigo/term/GO:0018130","GO:0018130")</f>
        <v>GO:0018130</v>
      </c>
      <c r="B38" t="s">
        <v>1080</v>
      </c>
      <c r="C38" s="1">
        <v>1.641E-4</v>
      </c>
      <c r="D38" s="1">
        <v>1.7780000000000001E-4</v>
      </c>
      <c r="E38">
        <v>2659</v>
      </c>
      <c r="F38" t="s">
        <v>2898</v>
      </c>
      <c r="G38" t="s">
        <v>2892</v>
      </c>
    </row>
    <row r="39" spans="1:7" x14ac:dyDescent="0.25">
      <c r="A39" s="16" t="str">
        <f>HYPERLINK("http://amigo.geneontology.org/amigo/term/GO:0009409","GO:0009409")</f>
        <v>GO:0009409</v>
      </c>
      <c r="B39" t="s">
        <v>1005</v>
      </c>
      <c r="C39" s="1">
        <v>1.6799999999999999E-4</v>
      </c>
      <c r="D39" s="1">
        <v>1.8200000000000001E-4</v>
      </c>
      <c r="E39">
        <v>161</v>
      </c>
      <c r="F39" t="s">
        <v>1768</v>
      </c>
      <c r="G39" t="s">
        <v>2843</v>
      </c>
    </row>
    <row r="40" spans="1:7" x14ac:dyDescent="0.25">
      <c r="A40" s="16" t="str">
        <f>HYPERLINK("http://amigo.geneontology.org/amigo/term/GO:0010468","GO:0010468")</f>
        <v>GO:0010468</v>
      </c>
      <c r="B40" t="s">
        <v>843</v>
      </c>
      <c r="C40" s="1">
        <v>1.763E-4</v>
      </c>
      <c r="D40" s="1">
        <v>1.9090000000000001E-4</v>
      </c>
      <c r="E40">
        <v>4846</v>
      </c>
      <c r="F40" t="s">
        <v>2897</v>
      </c>
      <c r="G40" t="s">
        <v>2896</v>
      </c>
    </row>
    <row r="41" spans="1:7" x14ac:dyDescent="0.25">
      <c r="A41" s="16" t="str">
        <f>HYPERLINK("http://amigo.geneontology.org/amigo/term/GO:0051171","GO:0051171")</f>
        <v>GO:0051171</v>
      </c>
      <c r="B41" t="s">
        <v>923</v>
      </c>
      <c r="C41" s="1">
        <v>2.522E-4</v>
      </c>
      <c r="D41" s="1">
        <v>2.7300000000000002E-4</v>
      </c>
      <c r="E41">
        <v>4980</v>
      </c>
      <c r="F41" t="s">
        <v>2895</v>
      </c>
      <c r="G41" t="s">
        <v>2894</v>
      </c>
    </row>
    <row r="42" spans="1:7" x14ac:dyDescent="0.25">
      <c r="A42" s="16" t="str">
        <f>HYPERLINK("http://amigo.geneontology.org/amigo/term/GO:0016115","GO:0016115")</f>
        <v>GO:0016115</v>
      </c>
      <c r="B42" t="s">
        <v>1120</v>
      </c>
      <c r="C42" s="1">
        <v>2.5230000000000001E-4</v>
      </c>
      <c r="D42" s="1">
        <v>2.7300000000000002E-4</v>
      </c>
      <c r="E42">
        <v>14</v>
      </c>
      <c r="F42" t="s">
        <v>2328</v>
      </c>
      <c r="G42" t="s">
        <v>2817</v>
      </c>
    </row>
    <row r="43" spans="1:7" x14ac:dyDescent="0.25">
      <c r="A43" s="16" t="str">
        <f>HYPERLINK("http://amigo.geneontology.org/amigo/term/GO:0016103","GO:0016103")</f>
        <v>GO:0016103</v>
      </c>
      <c r="B43" t="s">
        <v>1121</v>
      </c>
      <c r="C43" s="1">
        <v>2.5230000000000001E-4</v>
      </c>
      <c r="D43" s="1">
        <v>2.7300000000000002E-4</v>
      </c>
      <c r="E43">
        <v>14</v>
      </c>
      <c r="F43" t="s">
        <v>2328</v>
      </c>
      <c r="G43" t="s">
        <v>2817</v>
      </c>
    </row>
    <row r="44" spans="1:7" x14ac:dyDescent="0.25">
      <c r="A44" s="16" t="str">
        <f>HYPERLINK("http://amigo.geneontology.org/amigo/term/GO:0045487","GO:0045487")</f>
        <v>GO:0045487</v>
      </c>
      <c r="B44" t="s">
        <v>1122</v>
      </c>
      <c r="C44" s="1">
        <v>2.5230000000000001E-4</v>
      </c>
      <c r="D44" s="1">
        <v>2.7300000000000002E-4</v>
      </c>
      <c r="E44">
        <v>14</v>
      </c>
      <c r="F44" t="s">
        <v>2328</v>
      </c>
      <c r="G44" t="s">
        <v>2817</v>
      </c>
    </row>
    <row r="45" spans="1:7" x14ac:dyDescent="0.25">
      <c r="A45" s="16" t="str">
        <f>HYPERLINK("http://amigo.geneontology.org/amigo/term/GO:0080090","GO:0080090")</f>
        <v>GO:0080090</v>
      </c>
      <c r="B45" t="s">
        <v>957</v>
      </c>
      <c r="C45" s="1">
        <v>2.7409999999999999E-4</v>
      </c>
      <c r="D45" s="1">
        <v>2.966E-4</v>
      </c>
      <c r="E45">
        <v>5012</v>
      </c>
      <c r="F45" t="s">
        <v>2895</v>
      </c>
      <c r="G45" t="s">
        <v>2894</v>
      </c>
    </row>
    <row r="46" spans="1:7" x14ac:dyDescent="0.25">
      <c r="A46" s="16" t="str">
        <f>HYPERLINK("http://amigo.geneontology.org/amigo/term/GO:1901362","GO:1901362")</f>
        <v>GO:1901362</v>
      </c>
      <c r="B46" t="s">
        <v>616</v>
      </c>
      <c r="C46" s="1">
        <v>3.6430000000000002E-4</v>
      </c>
      <c r="D46" s="1">
        <v>3.9409999999999998E-4</v>
      </c>
      <c r="E46">
        <v>2877</v>
      </c>
      <c r="F46" t="s">
        <v>2893</v>
      </c>
      <c r="G46" t="s">
        <v>2892</v>
      </c>
    </row>
    <row r="47" spans="1:7" x14ac:dyDescent="0.25">
      <c r="A47" s="16" t="str">
        <f>HYPERLINK("http://amigo.geneontology.org/amigo/term/GO:1901700","GO:1901700")</f>
        <v>GO:1901700</v>
      </c>
      <c r="B47" t="s">
        <v>183</v>
      </c>
      <c r="C47" s="1">
        <v>5.0100000000000003E-4</v>
      </c>
      <c r="D47" s="1">
        <v>5.419E-4</v>
      </c>
      <c r="E47">
        <v>819</v>
      </c>
      <c r="F47" t="s">
        <v>2529</v>
      </c>
      <c r="G47" t="s">
        <v>2891</v>
      </c>
    </row>
    <row r="48" spans="1:7" x14ac:dyDescent="0.25">
      <c r="A48" s="16" t="str">
        <f>HYPERLINK("http://amigo.geneontology.org/amigo/term/GO:0009651","GO:0009651")</f>
        <v>GO:0009651</v>
      </c>
      <c r="B48" t="s">
        <v>1497</v>
      </c>
      <c r="C48" s="1">
        <v>5.2090000000000003E-4</v>
      </c>
      <c r="D48" s="1">
        <v>5.6320000000000003E-4</v>
      </c>
      <c r="E48">
        <v>217</v>
      </c>
      <c r="F48" t="s">
        <v>1709</v>
      </c>
      <c r="G48" t="s">
        <v>2843</v>
      </c>
    </row>
    <row r="49" spans="1:7" x14ac:dyDescent="0.25">
      <c r="A49" s="16" t="str">
        <f>HYPERLINK("http://amigo.geneontology.org/amigo/term/GO:0008300","GO:0008300")</f>
        <v>GO:0008300</v>
      </c>
      <c r="B49" t="s">
        <v>1624</v>
      </c>
      <c r="C49" s="1">
        <v>6.3469999999999998E-4</v>
      </c>
      <c r="D49" s="1">
        <v>6.8619999999999998E-4</v>
      </c>
      <c r="E49">
        <v>22</v>
      </c>
      <c r="F49" t="s">
        <v>650</v>
      </c>
      <c r="G49" t="s">
        <v>2817</v>
      </c>
    </row>
    <row r="50" spans="1:7" x14ac:dyDescent="0.25">
      <c r="A50" s="16" t="str">
        <f>HYPERLINK("http://amigo.geneontology.org/amigo/term/GO:0006970","GO:0006970")</f>
        <v>GO:0006970</v>
      </c>
      <c r="B50" t="s">
        <v>960</v>
      </c>
      <c r="C50" s="1">
        <v>8.696E-4</v>
      </c>
      <c r="D50" s="1">
        <v>9.3990000000000002E-4</v>
      </c>
      <c r="E50">
        <v>249</v>
      </c>
      <c r="F50" t="s">
        <v>2604</v>
      </c>
      <c r="G50" t="s">
        <v>2843</v>
      </c>
    </row>
    <row r="51" spans="1:7" x14ac:dyDescent="0.25">
      <c r="A51" s="16" t="str">
        <f>HYPERLINK("http://amigo.geneontology.org/amigo/term/GO:0009685","GO:0009685")</f>
        <v>GO:0009685</v>
      </c>
      <c r="B51" t="s">
        <v>1625</v>
      </c>
      <c r="C51" s="1">
        <v>1.348E-3</v>
      </c>
      <c r="D51" s="1">
        <v>1.457E-3</v>
      </c>
      <c r="E51">
        <v>32</v>
      </c>
      <c r="F51" t="s">
        <v>2890</v>
      </c>
      <c r="G51" t="s">
        <v>2817</v>
      </c>
    </row>
    <row r="52" spans="1:7" x14ac:dyDescent="0.25">
      <c r="A52" s="16" t="str">
        <f>HYPERLINK("http://amigo.geneontology.org/amigo/term/GO:0097305","GO:0097305")</f>
        <v>GO:0097305</v>
      </c>
      <c r="B52" t="s">
        <v>934</v>
      </c>
      <c r="C52" s="1">
        <v>1.4109999999999999E-3</v>
      </c>
      <c r="D52" s="1">
        <v>1.524E-3</v>
      </c>
      <c r="E52">
        <v>284</v>
      </c>
      <c r="F52" t="s">
        <v>2566</v>
      </c>
      <c r="G52" t="s">
        <v>2874</v>
      </c>
    </row>
    <row r="53" spans="1:7" x14ac:dyDescent="0.25">
      <c r="A53" s="16" t="str">
        <f>HYPERLINK("http://amigo.geneontology.org/amigo/term/GO:0009737","GO:0009737")</f>
        <v>GO:0009737</v>
      </c>
      <c r="B53" t="s">
        <v>935</v>
      </c>
      <c r="C53" s="1">
        <v>1.4109999999999999E-3</v>
      </c>
      <c r="D53" s="1">
        <v>1.524E-3</v>
      </c>
      <c r="E53">
        <v>284</v>
      </c>
      <c r="F53" t="s">
        <v>2566</v>
      </c>
      <c r="G53" t="s">
        <v>2874</v>
      </c>
    </row>
    <row r="54" spans="1:7" x14ac:dyDescent="0.25">
      <c r="A54" s="16" t="str">
        <f>HYPERLINK("http://amigo.geneontology.org/amigo/term/GO:0016101","GO:0016101")</f>
        <v>GO:0016101</v>
      </c>
      <c r="B54" t="s">
        <v>1081</v>
      </c>
      <c r="C54" s="1">
        <v>1.8979999999999999E-3</v>
      </c>
      <c r="D54" s="1">
        <v>2.0500000000000002E-3</v>
      </c>
      <c r="E54">
        <v>38</v>
      </c>
      <c r="F54" t="s">
        <v>1759</v>
      </c>
      <c r="G54" t="s">
        <v>2817</v>
      </c>
    </row>
    <row r="55" spans="1:7" x14ac:dyDescent="0.25">
      <c r="A55" s="16" t="str">
        <f>HYPERLINK("http://amigo.geneontology.org/amigo/term/GO:0009266","GO:0009266")</f>
        <v>GO:0009266</v>
      </c>
      <c r="B55" t="s">
        <v>1029</v>
      </c>
      <c r="C55" s="1">
        <v>1.9859999999999999E-3</v>
      </c>
      <c r="D55" s="1">
        <v>2.1450000000000002E-3</v>
      </c>
      <c r="E55">
        <v>312</v>
      </c>
      <c r="F55" t="s">
        <v>2889</v>
      </c>
      <c r="G55" t="s">
        <v>2843</v>
      </c>
    </row>
    <row r="56" spans="1:7" x14ac:dyDescent="0.25">
      <c r="A56" s="16" t="str">
        <f>HYPERLINK("http://amigo.geneontology.org/amigo/term/GO:0042026","GO:0042026")</f>
        <v>GO:0042026</v>
      </c>
      <c r="B56" t="s">
        <v>336</v>
      </c>
      <c r="C56" s="1">
        <v>2.4239999999999999E-3</v>
      </c>
      <c r="D56" s="1">
        <v>2.6180000000000001E-3</v>
      </c>
      <c r="E56">
        <v>43</v>
      </c>
      <c r="F56" t="s">
        <v>2540</v>
      </c>
      <c r="G56" t="s">
        <v>2888</v>
      </c>
    </row>
    <row r="57" spans="1:7" x14ac:dyDescent="0.25">
      <c r="A57" s="16" t="str">
        <f>HYPERLINK("http://amigo.geneontology.org/amigo/term/GO:0009628","GO:0009628")</f>
        <v>GO:0009628</v>
      </c>
      <c r="B57" t="s">
        <v>317</v>
      </c>
      <c r="C57" s="1">
        <v>2.4290000000000002E-3</v>
      </c>
      <c r="D57" s="1">
        <v>2.6220000000000002E-3</v>
      </c>
      <c r="E57">
        <v>1079</v>
      </c>
      <c r="F57" t="s">
        <v>2887</v>
      </c>
      <c r="G57" t="s">
        <v>2886</v>
      </c>
    </row>
    <row r="58" spans="1:7" x14ac:dyDescent="0.25">
      <c r="A58" s="16" t="str">
        <f>HYPERLINK("http://amigo.geneontology.org/amigo/term/GO:0007275","GO:0007275")</f>
        <v>GO:0007275</v>
      </c>
      <c r="B58" t="s">
        <v>1626</v>
      </c>
      <c r="C58" s="1">
        <v>2.5699999999999998E-3</v>
      </c>
      <c r="D58" s="1">
        <v>2.7729999999999999E-3</v>
      </c>
      <c r="E58">
        <v>1090</v>
      </c>
      <c r="F58" t="s">
        <v>2885</v>
      </c>
      <c r="G58" t="s">
        <v>2876</v>
      </c>
    </row>
    <row r="59" spans="1:7" x14ac:dyDescent="0.25">
      <c r="A59" s="16" t="str">
        <f>HYPERLINK("http://amigo.geneontology.org/amigo/term/GO:0045892","GO:0045892")</f>
        <v>GO:0045892</v>
      </c>
      <c r="B59" t="s">
        <v>1627</v>
      </c>
      <c r="C59" s="1">
        <v>2.8519999999999999E-3</v>
      </c>
      <c r="D59" s="1">
        <v>3.0769999999999999E-3</v>
      </c>
      <c r="E59">
        <v>166</v>
      </c>
      <c r="F59" t="s">
        <v>2884</v>
      </c>
      <c r="G59" t="s">
        <v>2828</v>
      </c>
    </row>
    <row r="60" spans="1:7" x14ac:dyDescent="0.25">
      <c r="A60" s="16" t="str">
        <f>HYPERLINK("http://amigo.geneontology.org/amigo/term/GO:0044271","GO:0044271")</f>
        <v>GO:0044271</v>
      </c>
      <c r="B60" t="s">
        <v>1417</v>
      </c>
      <c r="C60" s="1">
        <v>2.9949999999999998E-3</v>
      </c>
      <c r="D60" s="1">
        <v>3.2299999999999998E-3</v>
      </c>
      <c r="E60">
        <v>4399</v>
      </c>
      <c r="F60" t="s">
        <v>2883</v>
      </c>
      <c r="G60" t="s">
        <v>2882</v>
      </c>
    </row>
    <row r="61" spans="1:7" x14ac:dyDescent="0.25">
      <c r="A61" s="16" t="str">
        <f>HYPERLINK("http://amigo.geneontology.org/amigo/term/GO:1902679","GO:1902679")</f>
        <v>GO:1902679</v>
      </c>
      <c r="B61" t="s">
        <v>1628</v>
      </c>
      <c r="C61" s="1">
        <v>3.0000000000000001E-3</v>
      </c>
      <c r="D61" s="1">
        <v>3.235E-3</v>
      </c>
      <c r="E61">
        <v>169</v>
      </c>
      <c r="F61" t="s">
        <v>2881</v>
      </c>
      <c r="G61" t="s">
        <v>2828</v>
      </c>
    </row>
    <row r="62" spans="1:7" x14ac:dyDescent="0.25">
      <c r="A62" s="16" t="str">
        <f>HYPERLINK("http://amigo.geneontology.org/amigo/term/GO:1903507","GO:1903507")</f>
        <v>GO:1903507</v>
      </c>
      <c r="B62" t="s">
        <v>1629</v>
      </c>
      <c r="C62" s="1">
        <v>3.0000000000000001E-3</v>
      </c>
      <c r="D62" s="1">
        <v>3.235E-3</v>
      </c>
      <c r="E62">
        <v>169</v>
      </c>
      <c r="F62" t="s">
        <v>2881</v>
      </c>
      <c r="G62" t="s">
        <v>2828</v>
      </c>
    </row>
    <row r="63" spans="1:7" x14ac:dyDescent="0.25">
      <c r="A63" s="16" t="str">
        <f>HYPERLINK("http://amigo.geneontology.org/amigo/term/GO:0098755","GO:0098755")</f>
        <v>GO:0098755</v>
      </c>
      <c r="B63" t="s">
        <v>1574</v>
      </c>
      <c r="C63" s="1">
        <v>3.362E-3</v>
      </c>
      <c r="D63" s="1">
        <v>3.6250000000000002E-3</v>
      </c>
      <c r="E63">
        <v>2</v>
      </c>
      <c r="F63" t="s">
        <v>552</v>
      </c>
      <c r="G63" t="s">
        <v>2775</v>
      </c>
    </row>
    <row r="64" spans="1:7" x14ac:dyDescent="0.25">
      <c r="A64" s="16" t="str">
        <f>HYPERLINK("http://amigo.geneontology.org/amigo/term/GO:0051253","GO:0051253")</f>
        <v>GO:0051253</v>
      </c>
      <c r="B64" t="s">
        <v>1630</v>
      </c>
      <c r="C64" s="1">
        <v>3.8070000000000001E-3</v>
      </c>
      <c r="D64" s="1">
        <v>4.1029999999999999E-3</v>
      </c>
      <c r="E64">
        <v>184</v>
      </c>
      <c r="F64" t="s">
        <v>2880</v>
      </c>
      <c r="G64" t="s">
        <v>2828</v>
      </c>
    </row>
    <row r="65" spans="1:7" x14ac:dyDescent="0.25">
      <c r="A65" s="16" t="str">
        <f>HYPERLINK("http://amigo.geneontology.org/amigo/term/GO:0000278","GO:0000278")</f>
        <v>GO:0000278</v>
      </c>
      <c r="B65" t="s">
        <v>1631</v>
      </c>
      <c r="C65" s="1">
        <v>3.8649999999999999E-3</v>
      </c>
      <c r="D65" s="1">
        <v>4.1650000000000003E-3</v>
      </c>
      <c r="E65">
        <v>185</v>
      </c>
      <c r="F65" t="s">
        <v>2879</v>
      </c>
      <c r="G65" t="s">
        <v>2878</v>
      </c>
    </row>
    <row r="66" spans="1:7" x14ac:dyDescent="0.25">
      <c r="A66" s="16" t="str">
        <f>HYPERLINK("http://amigo.geneontology.org/amigo/term/GO:0048856","GO:0048856")</f>
        <v>GO:0048856</v>
      </c>
      <c r="B66" t="s">
        <v>1632</v>
      </c>
      <c r="C66" s="1">
        <v>4.4380000000000001E-3</v>
      </c>
      <c r="D66" s="1">
        <v>4.7819999999999998E-3</v>
      </c>
      <c r="E66">
        <v>1205</v>
      </c>
      <c r="F66" t="s">
        <v>2877</v>
      </c>
      <c r="G66" t="s">
        <v>2876</v>
      </c>
    </row>
    <row r="67" spans="1:7" x14ac:dyDescent="0.25">
      <c r="A67" s="16" t="str">
        <f>HYPERLINK("http://amigo.geneontology.org/amigo/term/GO:0033993","GO:0033993")</f>
        <v>GO:0033993</v>
      </c>
      <c r="B67" t="s">
        <v>810</v>
      </c>
      <c r="C67" s="1">
        <v>4.7710000000000001E-3</v>
      </c>
      <c r="D67" s="1">
        <v>5.1390000000000003E-3</v>
      </c>
      <c r="E67">
        <v>399</v>
      </c>
      <c r="F67" t="s">
        <v>2875</v>
      </c>
      <c r="G67" t="s">
        <v>2874</v>
      </c>
    </row>
    <row r="68" spans="1:7" x14ac:dyDescent="0.25">
      <c r="A68" s="16" t="str">
        <f>HYPERLINK("http://amigo.geneontology.org/amigo/term/GO:0019310","GO:0019310")</f>
        <v>GO:0019310</v>
      </c>
      <c r="B68" t="s">
        <v>1633</v>
      </c>
      <c r="C68" s="1">
        <v>5.0390000000000001E-3</v>
      </c>
      <c r="D68" s="1">
        <v>5.4270000000000004E-3</v>
      </c>
      <c r="E68">
        <v>3</v>
      </c>
      <c r="F68" t="s">
        <v>603</v>
      </c>
      <c r="G68" t="s">
        <v>2825</v>
      </c>
    </row>
    <row r="69" spans="1:7" x14ac:dyDescent="0.25">
      <c r="A69" s="16" t="str">
        <f>HYPERLINK("http://amigo.geneontology.org/amigo/term/GO:0045934","GO:0045934")</f>
        <v>GO:0045934</v>
      </c>
      <c r="B69" t="s">
        <v>1634</v>
      </c>
      <c r="C69" s="1">
        <v>5.0720000000000001E-3</v>
      </c>
      <c r="D69" s="1">
        <v>5.4599999999999996E-3</v>
      </c>
      <c r="E69">
        <v>204</v>
      </c>
      <c r="F69" t="s">
        <v>2873</v>
      </c>
      <c r="G69" t="s">
        <v>2828</v>
      </c>
    </row>
    <row r="70" spans="1:7" x14ac:dyDescent="0.25">
      <c r="A70" s="16" t="str">
        <f>HYPERLINK("http://amigo.geneontology.org/amigo/term/GO:0048285","GO:0048285")</f>
        <v>GO:0048285</v>
      </c>
      <c r="B70" t="s">
        <v>1635</v>
      </c>
      <c r="C70" s="1">
        <v>5.3509999999999999E-3</v>
      </c>
      <c r="D70" s="1">
        <v>5.7600000000000004E-3</v>
      </c>
      <c r="E70">
        <v>208</v>
      </c>
      <c r="F70" t="s">
        <v>2871</v>
      </c>
      <c r="G70" t="s">
        <v>2872</v>
      </c>
    </row>
    <row r="71" spans="1:7" x14ac:dyDescent="0.25">
      <c r="A71" s="16" t="str">
        <f>HYPERLINK("http://amigo.geneontology.org/amigo/term/GO:0051128","GO:0051128")</f>
        <v>GO:0051128</v>
      </c>
      <c r="B71" t="s">
        <v>1636</v>
      </c>
      <c r="C71" s="1">
        <v>5.4229999999999999E-3</v>
      </c>
      <c r="D71" s="1">
        <v>5.836E-3</v>
      </c>
      <c r="E71">
        <v>209</v>
      </c>
      <c r="F71" t="s">
        <v>2871</v>
      </c>
      <c r="G71" t="s">
        <v>2828</v>
      </c>
    </row>
    <row r="72" spans="1:7" x14ac:dyDescent="0.25">
      <c r="A72" s="16" t="str">
        <f>HYPERLINK("http://amigo.geneontology.org/amigo/term/GO:0007049","GO:0007049")</f>
        <v>GO:0007049</v>
      </c>
      <c r="B72" t="s">
        <v>1637</v>
      </c>
      <c r="C72" s="1">
        <v>5.4739999999999997E-3</v>
      </c>
      <c r="D72" s="1">
        <v>5.8900000000000003E-3</v>
      </c>
      <c r="E72">
        <v>415</v>
      </c>
      <c r="F72" t="s">
        <v>2870</v>
      </c>
      <c r="G72" t="s">
        <v>2869</v>
      </c>
    </row>
    <row r="73" spans="1:7" x14ac:dyDescent="0.25">
      <c r="A73" s="16" t="str">
        <f>HYPERLINK("http://amigo.geneontology.org/amigo/term/GO:0007349","GO:0007349")</f>
        <v>GO:0007349</v>
      </c>
      <c r="B73" t="s">
        <v>1638</v>
      </c>
      <c r="C73" s="1">
        <v>6.7140000000000003E-3</v>
      </c>
      <c r="D73" s="1">
        <v>7.2220000000000001E-3</v>
      </c>
      <c r="E73">
        <v>4</v>
      </c>
      <c r="F73" t="s">
        <v>1760</v>
      </c>
      <c r="G73" t="s">
        <v>2814</v>
      </c>
    </row>
    <row r="74" spans="1:7" x14ac:dyDescent="0.25">
      <c r="A74" s="16" t="str">
        <f>HYPERLINK("http://amigo.geneontology.org/amigo/term/GO:0009558","GO:0009558")</f>
        <v>GO:0009558</v>
      </c>
      <c r="B74" t="s">
        <v>1639</v>
      </c>
      <c r="C74" s="1">
        <v>6.7140000000000003E-3</v>
      </c>
      <c r="D74" s="1">
        <v>7.2220000000000001E-3</v>
      </c>
      <c r="E74">
        <v>4</v>
      </c>
      <c r="F74" t="s">
        <v>1760</v>
      </c>
      <c r="G74" t="s">
        <v>2814</v>
      </c>
    </row>
    <row r="75" spans="1:7" x14ac:dyDescent="0.25">
      <c r="A75" s="16" t="str">
        <f>HYPERLINK("http://amigo.geneontology.org/amigo/term/GO:0048523","GO:0048523")</f>
        <v>GO:0048523</v>
      </c>
      <c r="B75" t="s">
        <v>1640</v>
      </c>
      <c r="C75" s="1">
        <v>7.2529999999999999E-3</v>
      </c>
      <c r="D75" s="1">
        <v>7.8009999999999998E-3</v>
      </c>
      <c r="E75">
        <v>711</v>
      </c>
      <c r="F75" t="s">
        <v>2868</v>
      </c>
      <c r="G75" t="s">
        <v>2811</v>
      </c>
    </row>
    <row r="76" spans="1:7" x14ac:dyDescent="0.25">
      <c r="A76" s="16" t="str">
        <f>HYPERLINK("http://amigo.geneontology.org/amigo/term/GO:0009611","GO:0009611")</f>
        <v>GO:0009611</v>
      </c>
      <c r="B76" t="s">
        <v>1006</v>
      </c>
      <c r="C76" s="1">
        <v>8.2869999999999992E-3</v>
      </c>
      <c r="D76" s="1">
        <v>8.9110000000000005E-3</v>
      </c>
      <c r="E76">
        <v>244</v>
      </c>
      <c r="F76" t="s">
        <v>2867</v>
      </c>
      <c r="G76" t="s">
        <v>2866</v>
      </c>
    </row>
    <row r="77" spans="1:7" x14ac:dyDescent="0.25">
      <c r="A77" s="16" t="str">
        <f>HYPERLINK("http://amigo.geneontology.org/amigo/term/GO:0042450","GO:0042450")</f>
        <v>GO:0042450</v>
      </c>
      <c r="B77" t="s">
        <v>1641</v>
      </c>
      <c r="C77" s="1">
        <v>8.3850000000000001E-3</v>
      </c>
      <c r="D77" s="1">
        <v>9.0139999999999994E-3</v>
      </c>
      <c r="E77">
        <v>5</v>
      </c>
      <c r="F77" t="s">
        <v>1732</v>
      </c>
      <c r="G77" t="s">
        <v>2787</v>
      </c>
    </row>
    <row r="78" spans="1:7" x14ac:dyDescent="0.25">
      <c r="A78" s="16" t="str">
        <f>HYPERLINK("http://amigo.geneontology.org/amigo/term/GO:0050000","GO:0050000")</f>
        <v>GO:0050000</v>
      </c>
      <c r="B78" t="s">
        <v>1642</v>
      </c>
      <c r="C78" s="1">
        <v>8.3850000000000001E-3</v>
      </c>
      <c r="D78" s="1">
        <v>9.0139999999999994E-3</v>
      </c>
      <c r="E78">
        <v>5</v>
      </c>
      <c r="F78" t="s">
        <v>1732</v>
      </c>
      <c r="G78" t="s">
        <v>2839</v>
      </c>
    </row>
    <row r="79" spans="1:7" x14ac:dyDescent="0.25">
      <c r="A79" s="16" t="str">
        <f>HYPERLINK("http://amigo.geneontology.org/amigo/term/GO:0051303","GO:0051303")</f>
        <v>GO:0051303</v>
      </c>
      <c r="B79" t="s">
        <v>1643</v>
      </c>
      <c r="C79" s="1">
        <v>8.3850000000000001E-3</v>
      </c>
      <c r="D79" s="1">
        <v>9.0139999999999994E-3</v>
      </c>
      <c r="E79">
        <v>5</v>
      </c>
      <c r="F79" t="s">
        <v>1732</v>
      </c>
      <c r="G79" t="s">
        <v>2839</v>
      </c>
    </row>
    <row r="80" spans="1:7" x14ac:dyDescent="0.25">
      <c r="A80" s="16" t="str">
        <f>HYPERLINK("http://amigo.geneontology.org/amigo/term/GO:0051310","GO:0051310")</f>
        <v>GO:0051310</v>
      </c>
      <c r="B80" t="s">
        <v>1644</v>
      </c>
      <c r="C80" s="1">
        <v>8.3850000000000001E-3</v>
      </c>
      <c r="D80" s="1">
        <v>9.0139999999999994E-3</v>
      </c>
      <c r="E80">
        <v>5</v>
      </c>
      <c r="F80" t="s">
        <v>1732</v>
      </c>
      <c r="G80" t="s">
        <v>2839</v>
      </c>
    </row>
    <row r="81" spans="1:7" x14ac:dyDescent="0.25">
      <c r="A81" s="16" t="str">
        <f>HYPERLINK("http://amigo.geneontology.org/amigo/term/GO:0007080","GO:0007080")</f>
        <v>GO:0007080</v>
      </c>
      <c r="B81" t="s">
        <v>1645</v>
      </c>
      <c r="C81" s="1">
        <v>8.3850000000000001E-3</v>
      </c>
      <c r="D81" s="1">
        <v>9.0139999999999994E-3</v>
      </c>
      <c r="E81">
        <v>5</v>
      </c>
      <c r="F81" t="s">
        <v>1732</v>
      </c>
      <c r="G81" t="s">
        <v>2839</v>
      </c>
    </row>
    <row r="82" spans="1:7" x14ac:dyDescent="0.25">
      <c r="A82" s="16" t="str">
        <f>HYPERLINK("http://amigo.geneontology.org/amigo/term/GO:0051315","GO:0051315")</f>
        <v>GO:0051315</v>
      </c>
      <c r="B82" t="s">
        <v>1646</v>
      </c>
      <c r="C82" s="1">
        <v>8.3850000000000001E-3</v>
      </c>
      <c r="D82" s="1">
        <v>9.0139999999999994E-3</v>
      </c>
      <c r="E82">
        <v>5</v>
      </c>
      <c r="F82" t="s">
        <v>1732</v>
      </c>
      <c r="G82" t="s">
        <v>2839</v>
      </c>
    </row>
    <row r="83" spans="1:7" x14ac:dyDescent="0.25">
      <c r="A83" s="16" t="str">
        <f>HYPERLINK("http://amigo.geneontology.org/amigo/term/GO:0097437","GO:0097437")</f>
        <v>GO:0097437</v>
      </c>
      <c r="B83" t="s">
        <v>1593</v>
      </c>
      <c r="C83" s="1">
        <v>8.3850000000000001E-3</v>
      </c>
      <c r="D83" s="1">
        <v>9.0139999999999994E-3</v>
      </c>
      <c r="E83">
        <v>5</v>
      </c>
      <c r="F83" t="s">
        <v>1732</v>
      </c>
      <c r="G83" t="s">
        <v>2775</v>
      </c>
    </row>
    <row r="84" spans="1:7" x14ac:dyDescent="0.25">
      <c r="A84" s="16" t="str">
        <f>HYPERLINK("http://amigo.geneontology.org/amigo/term/GO:0010231","GO:0010231")</f>
        <v>GO:0010231</v>
      </c>
      <c r="B84" t="s">
        <v>1594</v>
      </c>
      <c r="C84" s="1">
        <v>8.3850000000000001E-3</v>
      </c>
      <c r="D84" s="1">
        <v>9.0139999999999994E-3</v>
      </c>
      <c r="E84">
        <v>5</v>
      </c>
      <c r="F84" t="s">
        <v>1732</v>
      </c>
      <c r="G84" t="s">
        <v>2775</v>
      </c>
    </row>
    <row r="85" spans="1:7" x14ac:dyDescent="0.25">
      <c r="A85" s="16" t="str">
        <f>HYPERLINK("http://amigo.geneontology.org/amigo/term/GO:0019751","GO:0019751")</f>
        <v>GO:0019751</v>
      </c>
      <c r="B85" t="s">
        <v>535</v>
      </c>
      <c r="C85" s="1">
        <v>8.7449999999999993E-3</v>
      </c>
      <c r="D85" s="1">
        <v>9.3980000000000001E-3</v>
      </c>
      <c r="E85">
        <v>83</v>
      </c>
      <c r="F85" t="s">
        <v>2865</v>
      </c>
      <c r="G85" t="s">
        <v>2809</v>
      </c>
    </row>
    <row r="86" spans="1:7" x14ac:dyDescent="0.25">
      <c r="A86" s="16" t="str">
        <f>HYPERLINK("http://amigo.geneontology.org/amigo/term/GO:0042221","GO:0042221")</f>
        <v>GO:0042221</v>
      </c>
      <c r="B86" t="s">
        <v>413</v>
      </c>
      <c r="C86" s="1">
        <v>9.2339999999999992E-3</v>
      </c>
      <c r="D86" s="1">
        <v>9.9220000000000003E-3</v>
      </c>
      <c r="E86">
        <v>1733</v>
      </c>
      <c r="F86" t="s">
        <v>2864</v>
      </c>
      <c r="G86" t="s">
        <v>2863</v>
      </c>
    </row>
    <row r="87" spans="1:7" x14ac:dyDescent="0.25">
      <c r="A87" s="16" t="str">
        <f>HYPERLINK("http://amigo.geneontology.org/amigo/term/GO:0048609","GO:0048609")</f>
        <v>GO:0048609</v>
      </c>
      <c r="B87" t="s">
        <v>1647</v>
      </c>
      <c r="C87" s="1">
        <v>9.783E-3</v>
      </c>
      <c r="D87">
        <v>0.01</v>
      </c>
      <c r="E87">
        <v>88</v>
      </c>
      <c r="F87" t="s">
        <v>2862</v>
      </c>
      <c r="G87" t="s">
        <v>2849</v>
      </c>
    </row>
    <row r="88" spans="1:7" x14ac:dyDescent="0.25">
      <c r="A88" s="16" t="str">
        <f>HYPERLINK("http://amigo.geneontology.org/amigo/term/GO:0006720","GO:0006720")</f>
        <v>GO:0006720</v>
      </c>
      <c r="B88" t="s">
        <v>675</v>
      </c>
      <c r="C88" s="1">
        <v>9.9439999999999997E-3</v>
      </c>
      <c r="D88">
        <v>0.01</v>
      </c>
      <c r="E88">
        <v>261</v>
      </c>
      <c r="F88" t="s">
        <v>2861</v>
      </c>
      <c r="G88" t="s">
        <v>2860</v>
      </c>
    </row>
    <row r="89" spans="1:7" x14ac:dyDescent="0.25">
      <c r="A89" s="16" t="str">
        <f>HYPERLINK("http://amigo.geneontology.org/amigo/term/GO:0044275","GO:0044275")</f>
        <v>GO:0044275</v>
      </c>
      <c r="B89" t="s">
        <v>1222</v>
      </c>
      <c r="C89">
        <v>0.01</v>
      </c>
      <c r="D89">
        <v>0.01</v>
      </c>
      <c r="E89">
        <v>100</v>
      </c>
      <c r="F89" t="s">
        <v>2859</v>
      </c>
      <c r="G89" t="s">
        <v>2858</v>
      </c>
    </row>
    <row r="90" spans="1:7" x14ac:dyDescent="0.25">
      <c r="A90" s="16" t="str">
        <f>HYPERLINK("http://amigo.geneontology.org/amigo/term/GO:0044249","GO:0044249")</f>
        <v>GO:0044249</v>
      </c>
      <c r="B90" t="s">
        <v>329</v>
      </c>
      <c r="C90">
        <v>0.01</v>
      </c>
      <c r="D90">
        <v>0.01</v>
      </c>
      <c r="E90">
        <v>6840</v>
      </c>
      <c r="F90" t="s">
        <v>2857</v>
      </c>
      <c r="G90" t="s">
        <v>2835</v>
      </c>
    </row>
    <row r="91" spans="1:7" x14ac:dyDescent="0.25">
      <c r="A91" s="16" t="str">
        <f>HYPERLINK("http://amigo.geneontology.org/amigo/term/GO:1901576","GO:1901576")</f>
        <v>GO:1901576</v>
      </c>
      <c r="B91" t="s">
        <v>249</v>
      </c>
      <c r="C91">
        <v>0.01</v>
      </c>
      <c r="D91">
        <v>0.01</v>
      </c>
      <c r="E91">
        <v>7032</v>
      </c>
      <c r="F91" t="s">
        <v>2856</v>
      </c>
      <c r="G91" t="s">
        <v>2835</v>
      </c>
    </row>
    <row r="92" spans="1:7" x14ac:dyDescent="0.25">
      <c r="A92" s="16" t="str">
        <f>HYPERLINK("http://amigo.geneontology.org/amigo/term/GO:0016070","GO:0016070")</f>
        <v>GO:0016070</v>
      </c>
      <c r="B92" t="s">
        <v>1648</v>
      </c>
      <c r="C92">
        <v>0.01</v>
      </c>
      <c r="D92">
        <v>0.02</v>
      </c>
      <c r="E92">
        <v>3477</v>
      </c>
      <c r="F92" t="s">
        <v>2855</v>
      </c>
      <c r="G92" t="s">
        <v>2854</v>
      </c>
    </row>
    <row r="93" spans="1:7" x14ac:dyDescent="0.25">
      <c r="A93" s="16" t="str">
        <f>HYPERLINK("http://amigo.geneontology.org/amigo/term/GO:0044282","GO:0044282")</f>
        <v>GO:0044282</v>
      </c>
      <c r="B93" t="s">
        <v>257</v>
      </c>
      <c r="C93">
        <v>0.01</v>
      </c>
      <c r="D93">
        <v>0.02</v>
      </c>
      <c r="E93">
        <v>302</v>
      </c>
      <c r="F93" t="s">
        <v>2853</v>
      </c>
      <c r="G93" t="s">
        <v>2852</v>
      </c>
    </row>
    <row r="94" spans="1:7" x14ac:dyDescent="0.25">
      <c r="A94" s="16" t="str">
        <f>HYPERLINK("http://amigo.geneontology.org/amigo/term/GO:0044242","GO:0044242")</f>
        <v>GO:0044242</v>
      </c>
      <c r="B94" t="s">
        <v>1374</v>
      </c>
      <c r="C94">
        <v>0.01</v>
      </c>
      <c r="D94">
        <v>0.01</v>
      </c>
      <c r="E94">
        <v>90</v>
      </c>
      <c r="F94" t="s">
        <v>2851</v>
      </c>
      <c r="G94" t="s">
        <v>2817</v>
      </c>
    </row>
    <row r="95" spans="1:7" x14ac:dyDescent="0.25">
      <c r="A95" s="16" t="str">
        <f>HYPERLINK("http://amigo.geneontology.org/amigo/term/GO:0032504","GO:0032504")</f>
        <v>GO:0032504</v>
      </c>
      <c r="B95" t="s">
        <v>1649</v>
      </c>
      <c r="C95">
        <v>0.01</v>
      </c>
      <c r="D95">
        <v>0.01</v>
      </c>
      <c r="E95">
        <v>91</v>
      </c>
      <c r="F95" t="s">
        <v>2850</v>
      </c>
      <c r="G95" t="s">
        <v>2849</v>
      </c>
    </row>
    <row r="96" spans="1:7" x14ac:dyDescent="0.25">
      <c r="A96" s="16" t="str">
        <f>HYPERLINK("http://amigo.geneontology.org/amigo/term/GO:0033206","GO:0033206")</f>
        <v>GO:0033206</v>
      </c>
      <c r="B96" t="s">
        <v>1650</v>
      </c>
      <c r="C96">
        <v>0.01</v>
      </c>
      <c r="D96">
        <v>0.01</v>
      </c>
      <c r="E96">
        <v>6</v>
      </c>
      <c r="F96" t="s">
        <v>1720</v>
      </c>
      <c r="G96" t="s">
        <v>2814</v>
      </c>
    </row>
    <row r="97" spans="1:7" x14ac:dyDescent="0.25">
      <c r="A97" s="16" t="str">
        <f>HYPERLINK("http://amigo.geneontology.org/amigo/term/GO:0007112","GO:0007112")</f>
        <v>GO:0007112</v>
      </c>
      <c r="B97" t="s">
        <v>1651</v>
      </c>
      <c r="C97">
        <v>0.01</v>
      </c>
      <c r="D97">
        <v>0.01</v>
      </c>
      <c r="E97">
        <v>6</v>
      </c>
      <c r="F97" t="s">
        <v>1720</v>
      </c>
      <c r="G97" t="s">
        <v>2814</v>
      </c>
    </row>
    <row r="98" spans="1:7" x14ac:dyDescent="0.25">
      <c r="A98" s="16" t="str">
        <f>HYPERLINK("http://amigo.geneontology.org/amigo/term/GO:0097306","GO:0097306")</f>
        <v>GO:0097306</v>
      </c>
      <c r="B98" t="s">
        <v>1575</v>
      </c>
      <c r="C98">
        <v>0.01</v>
      </c>
      <c r="D98">
        <v>0.01</v>
      </c>
      <c r="E98">
        <v>105</v>
      </c>
      <c r="F98" t="s">
        <v>2848</v>
      </c>
      <c r="G98" t="s">
        <v>2798</v>
      </c>
    </row>
    <row r="99" spans="1:7" x14ac:dyDescent="0.25">
      <c r="A99" s="16" t="str">
        <f>HYPERLINK("http://amigo.geneontology.org/amigo/term/GO:0071215","GO:0071215")</f>
        <v>GO:0071215</v>
      </c>
      <c r="B99" t="s">
        <v>1576</v>
      </c>
      <c r="C99">
        <v>0.01</v>
      </c>
      <c r="D99">
        <v>0.01</v>
      </c>
      <c r="E99">
        <v>105</v>
      </c>
      <c r="F99" t="s">
        <v>2848</v>
      </c>
      <c r="G99" t="s">
        <v>2798</v>
      </c>
    </row>
    <row r="100" spans="1:7" x14ac:dyDescent="0.25">
      <c r="A100" s="16" t="str">
        <f>HYPERLINK("http://amigo.geneontology.org/amigo/term/GO:0009738","GO:0009738")</f>
        <v>GO:0009738</v>
      </c>
      <c r="B100" t="s">
        <v>1577</v>
      </c>
      <c r="C100">
        <v>0.01</v>
      </c>
      <c r="D100">
        <v>0.01</v>
      </c>
      <c r="E100">
        <v>97</v>
      </c>
      <c r="F100" t="s">
        <v>2847</v>
      </c>
      <c r="G100" t="s">
        <v>2798</v>
      </c>
    </row>
    <row r="101" spans="1:7" x14ac:dyDescent="0.25">
      <c r="A101" s="16" t="str">
        <f>HYPERLINK("http://amigo.geneontology.org/amigo/term/GO:0031324","GO:0031324")</f>
        <v>GO:0031324</v>
      </c>
      <c r="B101" t="s">
        <v>1652</v>
      </c>
      <c r="C101">
        <v>0.01</v>
      </c>
      <c r="D101">
        <v>0.01</v>
      </c>
      <c r="E101">
        <v>546</v>
      </c>
      <c r="F101" t="s">
        <v>2846</v>
      </c>
      <c r="G101" t="s">
        <v>2792</v>
      </c>
    </row>
    <row r="102" spans="1:7" x14ac:dyDescent="0.25">
      <c r="A102" s="16" t="str">
        <f>HYPERLINK("http://amigo.geneontology.org/amigo/term/GO:0051172","GO:0051172")</f>
        <v>GO:0051172</v>
      </c>
      <c r="B102" t="s">
        <v>1653</v>
      </c>
      <c r="C102">
        <v>0.01</v>
      </c>
      <c r="D102">
        <v>0.01</v>
      </c>
      <c r="E102">
        <v>524</v>
      </c>
      <c r="F102" t="s">
        <v>2845</v>
      </c>
      <c r="G102" t="s">
        <v>2792</v>
      </c>
    </row>
    <row r="103" spans="1:7" x14ac:dyDescent="0.25">
      <c r="A103" s="16" t="str">
        <f>HYPERLINK("http://amigo.geneontology.org/amigo/term/GO:0080163","GO:0080163")</f>
        <v>GO:0080163</v>
      </c>
      <c r="B103" t="s">
        <v>1654</v>
      </c>
      <c r="C103">
        <v>0.01</v>
      </c>
      <c r="D103">
        <v>0.01</v>
      </c>
      <c r="E103">
        <v>7</v>
      </c>
      <c r="F103" t="s">
        <v>1725</v>
      </c>
      <c r="G103" t="s">
        <v>2790</v>
      </c>
    </row>
    <row r="104" spans="1:7" x14ac:dyDescent="0.25">
      <c r="A104" s="16" t="str">
        <f>HYPERLINK("http://amigo.geneontology.org/amigo/term/GO:0010035","GO:0010035")</f>
        <v>GO:0010035</v>
      </c>
      <c r="B104" t="s">
        <v>72</v>
      </c>
      <c r="C104">
        <v>0.01</v>
      </c>
      <c r="D104">
        <v>0.01</v>
      </c>
      <c r="E104">
        <v>519</v>
      </c>
      <c r="F104" t="s">
        <v>2844</v>
      </c>
      <c r="G104" t="s">
        <v>2843</v>
      </c>
    </row>
    <row r="105" spans="1:7" x14ac:dyDescent="0.25">
      <c r="A105" s="16" t="str">
        <f>HYPERLINK("http://amigo.geneontology.org/amigo/term/GO:0009414","GO:0009414")</f>
        <v>GO:0009414</v>
      </c>
      <c r="B105" t="s">
        <v>142</v>
      </c>
      <c r="C105">
        <v>0.01</v>
      </c>
      <c r="D105">
        <v>0.01</v>
      </c>
      <c r="E105">
        <v>274</v>
      </c>
      <c r="F105" t="s">
        <v>2842</v>
      </c>
      <c r="G105" t="s">
        <v>2828</v>
      </c>
    </row>
    <row r="106" spans="1:7" x14ac:dyDescent="0.25">
      <c r="A106" s="16" t="str">
        <f>HYPERLINK("http://amigo.geneontology.org/amigo/term/GO:0009791","GO:0009791")</f>
        <v>GO:0009791</v>
      </c>
      <c r="B106" t="s">
        <v>1655</v>
      </c>
      <c r="C106">
        <v>0.01</v>
      </c>
      <c r="D106">
        <v>0.01</v>
      </c>
      <c r="E106">
        <v>532</v>
      </c>
      <c r="F106" t="s">
        <v>2841</v>
      </c>
      <c r="G106" t="s">
        <v>2840</v>
      </c>
    </row>
    <row r="107" spans="1:7" x14ac:dyDescent="0.25">
      <c r="A107" s="16" t="str">
        <f>HYPERLINK("http://amigo.geneontology.org/amigo/term/GO:0008608","GO:0008608")</f>
        <v>GO:0008608</v>
      </c>
      <c r="B107" t="s">
        <v>1656</v>
      </c>
      <c r="C107">
        <v>0.01</v>
      </c>
      <c r="D107">
        <v>0.01</v>
      </c>
      <c r="E107">
        <v>8</v>
      </c>
      <c r="F107" t="s">
        <v>1700</v>
      </c>
      <c r="G107" t="s">
        <v>2839</v>
      </c>
    </row>
    <row r="108" spans="1:7" x14ac:dyDescent="0.25">
      <c r="A108" s="16" t="str">
        <f>HYPERLINK("http://amigo.geneontology.org/amigo/term/GO:0022611","GO:0022611")</f>
        <v>GO:0022611</v>
      </c>
      <c r="B108" t="s">
        <v>1602</v>
      </c>
      <c r="C108">
        <v>0.01</v>
      </c>
      <c r="D108">
        <v>0.01</v>
      </c>
      <c r="E108">
        <v>6</v>
      </c>
      <c r="F108" t="s">
        <v>1720</v>
      </c>
      <c r="G108" t="s">
        <v>2775</v>
      </c>
    </row>
    <row r="109" spans="1:7" x14ac:dyDescent="0.25">
      <c r="A109" s="16" t="str">
        <f>HYPERLINK("http://amigo.geneontology.org/amigo/term/GO:0010162","GO:0010162")</f>
        <v>GO:0010162</v>
      </c>
      <c r="B109" t="s">
        <v>1603</v>
      </c>
      <c r="C109">
        <v>0.01</v>
      </c>
      <c r="D109">
        <v>0.01</v>
      </c>
      <c r="E109">
        <v>6</v>
      </c>
      <c r="F109" t="s">
        <v>1720</v>
      </c>
      <c r="G109" t="s">
        <v>2775</v>
      </c>
    </row>
    <row r="110" spans="1:7" x14ac:dyDescent="0.25">
      <c r="A110" s="16" t="str">
        <f>HYPERLINK("http://amigo.geneontology.org/amigo/term/GO:0015939","GO:0015939")</f>
        <v>GO:0015939</v>
      </c>
      <c r="B110" t="s">
        <v>1657</v>
      </c>
      <c r="C110">
        <v>0.01</v>
      </c>
      <c r="D110">
        <v>0.01</v>
      </c>
      <c r="E110">
        <v>6</v>
      </c>
      <c r="F110" t="s">
        <v>1720</v>
      </c>
      <c r="G110" t="s">
        <v>2838</v>
      </c>
    </row>
    <row r="111" spans="1:7" x14ac:dyDescent="0.25">
      <c r="A111" s="16" t="str">
        <f>HYPERLINK("http://amigo.geneontology.org/amigo/term/GO:0015940","GO:0015940")</f>
        <v>GO:0015940</v>
      </c>
      <c r="B111" t="s">
        <v>1658</v>
      </c>
      <c r="C111">
        <v>0.01</v>
      </c>
      <c r="D111">
        <v>0.01</v>
      </c>
      <c r="E111">
        <v>6</v>
      </c>
      <c r="F111" t="s">
        <v>1720</v>
      </c>
      <c r="G111" t="s">
        <v>2838</v>
      </c>
    </row>
    <row r="112" spans="1:7" x14ac:dyDescent="0.25">
      <c r="A112" s="16" t="str">
        <f>HYPERLINK("http://amigo.geneontology.org/amigo/term/GO:0080022","GO:0080022")</f>
        <v>GO:0080022</v>
      </c>
      <c r="B112" t="s">
        <v>1659</v>
      </c>
      <c r="C112">
        <v>0.01</v>
      </c>
      <c r="D112">
        <v>0.01</v>
      </c>
      <c r="E112">
        <v>6</v>
      </c>
      <c r="F112" t="s">
        <v>1720</v>
      </c>
      <c r="G112" t="s">
        <v>2837</v>
      </c>
    </row>
    <row r="113" spans="1:7" x14ac:dyDescent="0.25">
      <c r="A113" s="16" t="str">
        <f>HYPERLINK("http://amigo.geneontology.org/amigo/term/GO:0009058","GO:0009058")</f>
        <v>GO:0009058</v>
      </c>
      <c r="B113" t="s">
        <v>213</v>
      </c>
      <c r="C113">
        <v>0.02</v>
      </c>
      <c r="D113">
        <v>0.03</v>
      </c>
      <c r="E113">
        <v>7451</v>
      </c>
      <c r="F113" t="s">
        <v>2836</v>
      </c>
      <c r="G113" t="s">
        <v>2835</v>
      </c>
    </row>
    <row r="114" spans="1:7" x14ac:dyDescent="0.25">
      <c r="A114" s="16" t="str">
        <f>HYPERLINK("http://amigo.geneontology.org/amigo/term/GO:0009416","GO:0009416")</f>
        <v>GO:0009416</v>
      </c>
      <c r="B114" t="s">
        <v>1436</v>
      </c>
      <c r="C114">
        <v>0.02</v>
      </c>
      <c r="D114">
        <v>0.03</v>
      </c>
      <c r="E114">
        <v>364</v>
      </c>
      <c r="F114" t="s">
        <v>2834</v>
      </c>
      <c r="G114" t="s">
        <v>2819</v>
      </c>
    </row>
    <row r="115" spans="1:7" x14ac:dyDescent="0.25">
      <c r="A115" s="16" t="str">
        <f>HYPERLINK("http://amigo.geneontology.org/amigo/term/GO:1900457","GO:1900457")</f>
        <v>GO:1900457</v>
      </c>
      <c r="B115" t="s">
        <v>1660</v>
      </c>
      <c r="C115">
        <v>0.02</v>
      </c>
      <c r="D115">
        <v>0.02</v>
      </c>
      <c r="E115">
        <v>14</v>
      </c>
      <c r="F115" t="s">
        <v>2464</v>
      </c>
      <c r="G115" t="s">
        <v>2833</v>
      </c>
    </row>
    <row r="116" spans="1:7" x14ac:dyDescent="0.25">
      <c r="A116" s="16" t="str">
        <f>HYPERLINK("http://amigo.geneontology.org/amigo/term/GO:1900458","GO:1900458")</f>
        <v>GO:1900458</v>
      </c>
      <c r="B116" t="s">
        <v>1661</v>
      </c>
      <c r="C116">
        <v>0.02</v>
      </c>
      <c r="D116">
        <v>0.02</v>
      </c>
      <c r="E116">
        <v>9</v>
      </c>
      <c r="F116" t="s">
        <v>2568</v>
      </c>
      <c r="G116" t="s">
        <v>2833</v>
      </c>
    </row>
    <row r="117" spans="1:7" x14ac:dyDescent="0.25">
      <c r="A117" s="16" t="str">
        <f>HYPERLINK("http://amigo.geneontology.org/amigo/term/GO:0001101","GO:0001101")</f>
        <v>GO:0001101</v>
      </c>
      <c r="B117" t="s">
        <v>145</v>
      </c>
      <c r="C117">
        <v>0.02</v>
      </c>
      <c r="D117">
        <v>0.02</v>
      </c>
      <c r="E117">
        <v>312</v>
      </c>
      <c r="F117" t="s">
        <v>2831</v>
      </c>
      <c r="G117" t="s">
        <v>2828</v>
      </c>
    </row>
    <row r="118" spans="1:7" x14ac:dyDescent="0.25">
      <c r="A118" s="16" t="str">
        <f>HYPERLINK("http://amigo.geneontology.org/amigo/term/GO:0009415","GO:0009415")</f>
        <v>GO:0009415</v>
      </c>
      <c r="B118" t="s">
        <v>139</v>
      </c>
      <c r="C118">
        <v>0.02</v>
      </c>
      <c r="D118">
        <v>0.02</v>
      </c>
      <c r="E118">
        <v>308</v>
      </c>
      <c r="F118" t="s">
        <v>2829</v>
      </c>
      <c r="G118" t="s">
        <v>2828</v>
      </c>
    </row>
    <row r="119" spans="1:7" x14ac:dyDescent="0.25">
      <c r="A119" s="16" t="str">
        <f>HYPERLINK("http://amigo.geneontology.org/amigo/term/GO:0009890","GO:0009890")</f>
        <v>GO:0009890</v>
      </c>
      <c r="B119" t="s">
        <v>1662</v>
      </c>
      <c r="C119">
        <v>0.02</v>
      </c>
      <c r="D119">
        <v>0.02</v>
      </c>
      <c r="E119">
        <v>332</v>
      </c>
      <c r="F119" t="s">
        <v>2832</v>
      </c>
      <c r="G119" t="s">
        <v>2828</v>
      </c>
    </row>
    <row r="120" spans="1:7" x14ac:dyDescent="0.25">
      <c r="A120" s="16" t="str">
        <f>HYPERLINK("http://amigo.geneontology.org/amigo/term/GO:0010558","GO:0010558")</f>
        <v>GO:0010558</v>
      </c>
      <c r="B120" t="s">
        <v>1663</v>
      </c>
      <c r="C120">
        <v>0.02</v>
      </c>
      <c r="D120">
        <v>0.02</v>
      </c>
      <c r="E120">
        <v>312</v>
      </c>
      <c r="F120" t="s">
        <v>2831</v>
      </c>
      <c r="G120" t="s">
        <v>2828</v>
      </c>
    </row>
    <row r="121" spans="1:7" x14ac:dyDescent="0.25">
      <c r="A121" s="16" t="str">
        <f>HYPERLINK("http://amigo.geneontology.org/amigo/term/GO:0031327","GO:0031327")</f>
        <v>GO:0031327</v>
      </c>
      <c r="B121" t="s">
        <v>1664</v>
      </c>
      <c r="C121">
        <v>0.02</v>
      </c>
      <c r="D121">
        <v>0.02</v>
      </c>
      <c r="E121">
        <v>329</v>
      </c>
      <c r="F121" t="s">
        <v>2830</v>
      </c>
      <c r="G121" t="s">
        <v>2828</v>
      </c>
    </row>
    <row r="122" spans="1:7" x14ac:dyDescent="0.25">
      <c r="A122" s="16" t="str">
        <f>HYPERLINK("http://amigo.geneontology.org/amigo/term/GO:2000113","GO:2000113")</f>
        <v>GO:2000113</v>
      </c>
      <c r="B122" t="s">
        <v>1665</v>
      </c>
      <c r="C122">
        <v>0.02</v>
      </c>
      <c r="D122">
        <v>0.02</v>
      </c>
      <c r="E122">
        <v>309</v>
      </c>
      <c r="F122" t="s">
        <v>2829</v>
      </c>
      <c r="G122" t="s">
        <v>2828</v>
      </c>
    </row>
    <row r="123" spans="1:7" x14ac:dyDescent="0.25">
      <c r="A123" s="16" t="str">
        <f>HYPERLINK("http://amigo.geneontology.org/amigo/term/GO:0034311","GO:0034311")</f>
        <v>GO:0034311</v>
      </c>
      <c r="B123" t="s">
        <v>1666</v>
      </c>
      <c r="C123">
        <v>0.02</v>
      </c>
      <c r="D123">
        <v>0.02</v>
      </c>
      <c r="E123">
        <v>11</v>
      </c>
      <c r="F123" t="s">
        <v>2487</v>
      </c>
      <c r="G123" t="s">
        <v>2780</v>
      </c>
    </row>
    <row r="124" spans="1:7" x14ac:dyDescent="0.25">
      <c r="A124" s="16" t="str">
        <f>HYPERLINK("http://amigo.geneontology.org/amigo/term/GO:0034312","GO:0034312")</f>
        <v>GO:0034312</v>
      </c>
      <c r="B124" t="s">
        <v>1667</v>
      </c>
      <c r="C124">
        <v>0.02</v>
      </c>
      <c r="D124">
        <v>0.02</v>
      </c>
      <c r="E124">
        <v>11</v>
      </c>
      <c r="F124" t="s">
        <v>2487</v>
      </c>
      <c r="G124" t="s">
        <v>2780</v>
      </c>
    </row>
    <row r="125" spans="1:7" x14ac:dyDescent="0.25">
      <c r="A125" s="16" t="str">
        <f>HYPERLINK("http://amigo.geneontology.org/amigo/term/GO:0046146","GO:0046146")</f>
        <v>GO:0046146</v>
      </c>
      <c r="B125" t="s">
        <v>1668</v>
      </c>
      <c r="C125">
        <v>0.02</v>
      </c>
      <c r="D125">
        <v>0.02</v>
      </c>
      <c r="E125">
        <v>9</v>
      </c>
      <c r="F125" t="s">
        <v>2568</v>
      </c>
      <c r="G125" t="s">
        <v>2780</v>
      </c>
    </row>
    <row r="126" spans="1:7" x14ac:dyDescent="0.25">
      <c r="A126" s="16" t="str">
        <f>HYPERLINK("http://amigo.geneontology.org/amigo/term/GO:0006729","GO:0006729")</f>
        <v>GO:0006729</v>
      </c>
      <c r="B126" t="s">
        <v>1669</v>
      </c>
      <c r="C126">
        <v>0.02</v>
      </c>
      <c r="D126">
        <v>0.02</v>
      </c>
      <c r="E126">
        <v>9</v>
      </c>
      <c r="F126" t="s">
        <v>2568</v>
      </c>
      <c r="G126" t="s">
        <v>2780</v>
      </c>
    </row>
    <row r="127" spans="1:7" x14ac:dyDescent="0.25">
      <c r="A127" s="16" t="str">
        <f>HYPERLINK("http://amigo.geneontology.org/amigo/term/GO:0006591","GO:0006591")</f>
        <v>GO:0006591</v>
      </c>
      <c r="B127" t="s">
        <v>1125</v>
      </c>
      <c r="C127">
        <v>0.02</v>
      </c>
      <c r="D127">
        <v>0.02</v>
      </c>
      <c r="E127">
        <v>14</v>
      </c>
      <c r="F127" t="s">
        <v>2464</v>
      </c>
      <c r="G127" t="s">
        <v>2787</v>
      </c>
    </row>
    <row r="128" spans="1:7" x14ac:dyDescent="0.25">
      <c r="A128" s="16" t="str">
        <f>HYPERLINK("http://amigo.geneontology.org/amigo/term/GO:0051238","GO:0051238")</f>
        <v>GO:0051238</v>
      </c>
      <c r="B128" t="s">
        <v>1670</v>
      </c>
      <c r="C128">
        <v>0.02</v>
      </c>
      <c r="D128">
        <v>0.02</v>
      </c>
      <c r="E128">
        <v>9</v>
      </c>
      <c r="F128" t="s">
        <v>2568</v>
      </c>
      <c r="G128" t="s">
        <v>2777</v>
      </c>
    </row>
    <row r="129" spans="1:7" x14ac:dyDescent="0.25">
      <c r="A129" s="16" t="str">
        <f>HYPERLINK("http://amigo.geneontology.org/amigo/term/GO:0097577","GO:0097577")</f>
        <v>GO:0097577</v>
      </c>
      <c r="B129" t="s">
        <v>1671</v>
      </c>
      <c r="C129">
        <v>0.02</v>
      </c>
      <c r="D129">
        <v>0.02</v>
      </c>
      <c r="E129">
        <v>9</v>
      </c>
      <c r="F129" t="s">
        <v>2568</v>
      </c>
      <c r="G129" t="s">
        <v>2777</v>
      </c>
    </row>
    <row r="130" spans="1:7" x14ac:dyDescent="0.25">
      <c r="A130" s="16" t="str">
        <f>HYPERLINK("http://amigo.geneontology.org/amigo/term/GO:0006880","GO:0006880")</f>
        <v>GO:0006880</v>
      </c>
      <c r="B130" t="s">
        <v>1672</v>
      </c>
      <c r="C130">
        <v>0.02</v>
      </c>
      <c r="D130">
        <v>0.02</v>
      </c>
      <c r="E130">
        <v>9</v>
      </c>
      <c r="F130" t="s">
        <v>2568</v>
      </c>
      <c r="G130" t="s">
        <v>2777</v>
      </c>
    </row>
    <row r="131" spans="1:7" x14ac:dyDescent="0.25">
      <c r="A131" s="16" t="str">
        <f>HYPERLINK("http://amigo.geneontology.org/amigo/term/GO:0010431","GO:0010431")</f>
        <v>GO:0010431</v>
      </c>
      <c r="B131" t="s">
        <v>1484</v>
      </c>
      <c r="C131">
        <v>0.02</v>
      </c>
      <c r="D131">
        <v>0.02</v>
      </c>
      <c r="E131">
        <v>13</v>
      </c>
      <c r="F131" t="s">
        <v>2463</v>
      </c>
      <c r="G131" t="s">
        <v>2775</v>
      </c>
    </row>
    <row r="132" spans="1:7" x14ac:dyDescent="0.25">
      <c r="A132" s="16" t="str">
        <f>HYPERLINK("http://amigo.geneontology.org/amigo/term/GO:0046037","GO:0046037")</f>
        <v>GO:0046037</v>
      </c>
      <c r="B132" t="s">
        <v>1673</v>
      </c>
      <c r="C132">
        <v>0.02</v>
      </c>
      <c r="D132">
        <v>0.02</v>
      </c>
      <c r="E132">
        <v>9</v>
      </c>
      <c r="F132" t="s">
        <v>2568</v>
      </c>
      <c r="G132" t="s">
        <v>2827</v>
      </c>
    </row>
    <row r="133" spans="1:7" x14ac:dyDescent="0.25">
      <c r="A133" s="16" t="str">
        <f>HYPERLINK("http://amigo.geneontology.org/amigo/term/GO:0006177","GO:0006177")</f>
        <v>GO:0006177</v>
      </c>
      <c r="B133" t="s">
        <v>1674</v>
      </c>
      <c r="C133">
        <v>0.02</v>
      </c>
      <c r="D133">
        <v>0.02</v>
      </c>
      <c r="E133">
        <v>9</v>
      </c>
      <c r="F133" t="s">
        <v>2568</v>
      </c>
      <c r="G133" t="s">
        <v>2827</v>
      </c>
    </row>
    <row r="134" spans="1:7" x14ac:dyDescent="0.25">
      <c r="A134" s="16" t="str">
        <f>HYPERLINK("http://amigo.geneontology.org/amigo/term/GO:0010496","GO:0010496")</f>
        <v>GO:0010496</v>
      </c>
      <c r="B134" t="s">
        <v>1127</v>
      </c>
      <c r="C134">
        <v>0.02</v>
      </c>
      <c r="D134">
        <v>0.03</v>
      </c>
      <c r="E134">
        <v>15</v>
      </c>
      <c r="F134" t="s">
        <v>2455</v>
      </c>
      <c r="G134" t="s">
        <v>2826</v>
      </c>
    </row>
    <row r="135" spans="1:7" x14ac:dyDescent="0.25">
      <c r="A135" s="16" t="str">
        <f>HYPERLINK("http://amigo.geneontology.org/amigo/term/GO:0010497","GO:0010497")</f>
        <v>GO:0010497</v>
      </c>
      <c r="B135" t="s">
        <v>1128</v>
      </c>
      <c r="C135">
        <v>0.02</v>
      </c>
      <c r="D135">
        <v>0.03</v>
      </c>
      <c r="E135">
        <v>15</v>
      </c>
      <c r="F135" t="s">
        <v>2455</v>
      </c>
      <c r="G135" t="s">
        <v>2826</v>
      </c>
    </row>
    <row r="136" spans="1:7" x14ac:dyDescent="0.25">
      <c r="A136" s="16" t="str">
        <f>HYPERLINK("http://amigo.geneontology.org/amigo/term/GO:0006020","GO:0006020")</f>
        <v>GO:0006020</v>
      </c>
      <c r="B136" t="s">
        <v>1675</v>
      </c>
      <c r="C136">
        <v>0.02</v>
      </c>
      <c r="D136">
        <v>0.02</v>
      </c>
      <c r="E136">
        <v>12</v>
      </c>
      <c r="F136" t="s">
        <v>2465</v>
      </c>
      <c r="G136" t="s">
        <v>2825</v>
      </c>
    </row>
    <row r="137" spans="1:7" x14ac:dyDescent="0.25">
      <c r="A137" s="16" t="str">
        <f>HYPERLINK("http://amigo.geneontology.org/amigo/term/GO:0000226","GO:0000226")</f>
        <v>GO:0000226</v>
      </c>
      <c r="B137" t="s">
        <v>1676</v>
      </c>
      <c r="C137">
        <v>0.03</v>
      </c>
      <c r="D137">
        <v>0.04</v>
      </c>
      <c r="E137">
        <v>170</v>
      </c>
      <c r="F137" t="s">
        <v>2824</v>
      </c>
      <c r="G137" t="s">
        <v>2823</v>
      </c>
    </row>
    <row r="138" spans="1:7" x14ac:dyDescent="0.25">
      <c r="A138" s="16" t="str">
        <f>HYPERLINK("http://amigo.geneontology.org/amigo/term/GO:1901360","GO:1901360")</f>
        <v>GO:1901360</v>
      </c>
      <c r="B138" t="s">
        <v>1677</v>
      </c>
      <c r="C138">
        <v>0.03</v>
      </c>
      <c r="D138">
        <v>0.03</v>
      </c>
      <c r="E138">
        <v>6141</v>
      </c>
      <c r="F138" t="s">
        <v>2822</v>
      </c>
      <c r="G138" t="s">
        <v>2821</v>
      </c>
    </row>
    <row r="139" spans="1:7" x14ac:dyDescent="0.25">
      <c r="A139" s="16" t="str">
        <f>HYPERLINK("http://amigo.geneontology.org/amigo/term/GO:0009314","GO:0009314")</f>
        <v>GO:0009314</v>
      </c>
      <c r="B139" t="s">
        <v>1438</v>
      </c>
      <c r="C139">
        <v>0.03</v>
      </c>
      <c r="D139">
        <v>0.03</v>
      </c>
      <c r="E139">
        <v>379</v>
      </c>
      <c r="F139" t="s">
        <v>2820</v>
      </c>
      <c r="G139" t="s">
        <v>2819</v>
      </c>
    </row>
    <row r="140" spans="1:7" x14ac:dyDescent="0.25">
      <c r="A140" s="16" t="str">
        <f>HYPERLINK("http://amigo.geneontology.org/amigo/term/GO:0006721","GO:0006721")</f>
        <v>GO:0006721</v>
      </c>
      <c r="B140" t="s">
        <v>1079</v>
      </c>
      <c r="C140">
        <v>0.03</v>
      </c>
      <c r="D140">
        <v>0.04</v>
      </c>
      <c r="E140">
        <v>173</v>
      </c>
      <c r="F140" t="s">
        <v>2818</v>
      </c>
      <c r="G140" t="s">
        <v>2817</v>
      </c>
    </row>
    <row r="141" spans="1:7" x14ac:dyDescent="0.25">
      <c r="A141" s="16" t="str">
        <f>HYPERLINK("http://amigo.geneontology.org/amigo/term/GO:0000911","GO:0000911")</f>
        <v>GO:0000911</v>
      </c>
      <c r="B141" t="s">
        <v>1678</v>
      </c>
      <c r="C141">
        <v>0.03</v>
      </c>
      <c r="D141">
        <v>0.03</v>
      </c>
      <c r="E141">
        <v>19</v>
      </c>
      <c r="F141" t="s">
        <v>2816</v>
      </c>
      <c r="G141" t="s">
        <v>2814</v>
      </c>
    </row>
    <row r="142" spans="1:7" x14ac:dyDescent="0.25">
      <c r="A142" s="16" t="str">
        <f>HYPERLINK("http://amigo.geneontology.org/amigo/term/GO:0061640","GO:0061640")</f>
        <v>GO:0061640</v>
      </c>
      <c r="B142" t="s">
        <v>1232</v>
      </c>
      <c r="C142">
        <v>0.03</v>
      </c>
      <c r="D142">
        <v>0.03</v>
      </c>
      <c r="E142">
        <v>18</v>
      </c>
      <c r="F142" t="s">
        <v>2815</v>
      </c>
      <c r="G142" t="s">
        <v>2814</v>
      </c>
    </row>
    <row r="143" spans="1:7" x14ac:dyDescent="0.25">
      <c r="A143" s="16" t="str">
        <f>HYPERLINK("http://amigo.geneontology.org/amigo/term/GO:0000280","GO:0000280")</f>
        <v>GO:0000280</v>
      </c>
      <c r="B143" t="s">
        <v>1679</v>
      </c>
      <c r="C143">
        <v>0.03</v>
      </c>
      <c r="D143">
        <v>0.03</v>
      </c>
      <c r="E143">
        <v>159</v>
      </c>
      <c r="F143" t="s">
        <v>2810</v>
      </c>
      <c r="G143" t="s">
        <v>2813</v>
      </c>
    </row>
    <row r="144" spans="1:7" x14ac:dyDescent="0.25">
      <c r="A144" s="16" t="str">
        <f>HYPERLINK("http://amigo.geneontology.org/amigo/term/GO:0009719","GO:0009719")</f>
        <v>GO:0009719</v>
      </c>
      <c r="B144" t="s">
        <v>991</v>
      </c>
      <c r="C144">
        <v>0.03</v>
      </c>
      <c r="D144">
        <v>0.03</v>
      </c>
      <c r="E144">
        <v>1022</v>
      </c>
      <c r="F144" t="s">
        <v>2812</v>
      </c>
      <c r="G144" t="s">
        <v>2782</v>
      </c>
    </row>
    <row r="145" spans="1:7" x14ac:dyDescent="0.25">
      <c r="A145" s="16" t="str">
        <f>HYPERLINK("http://amigo.geneontology.org/amigo/term/GO:0009725","GO:0009725")</f>
        <v>GO:0009725</v>
      </c>
      <c r="B145" t="s">
        <v>992</v>
      </c>
      <c r="C145">
        <v>0.03</v>
      </c>
      <c r="D145">
        <v>0.03</v>
      </c>
      <c r="E145">
        <v>1021</v>
      </c>
      <c r="F145" t="s">
        <v>2812</v>
      </c>
      <c r="G145" t="s">
        <v>2782</v>
      </c>
    </row>
    <row r="146" spans="1:7" x14ac:dyDescent="0.25">
      <c r="A146" s="16" t="str">
        <f>HYPERLINK("http://amigo.geneontology.org/amigo/term/GO:0048519","GO:0048519")</f>
        <v>GO:0048519</v>
      </c>
      <c r="B146" t="s">
        <v>1680</v>
      </c>
      <c r="C146">
        <v>0.03</v>
      </c>
      <c r="D146">
        <v>0.03</v>
      </c>
      <c r="E146">
        <v>1027</v>
      </c>
      <c r="F146" t="s">
        <v>2812</v>
      </c>
      <c r="G146" t="s">
        <v>2811</v>
      </c>
    </row>
    <row r="147" spans="1:7" x14ac:dyDescent="0.25">
      <c r="A147" s="16" t="str">
        <f>HYPERLINK("http://amigo.geneontology.org/amigo/term/GO:0006066","GO:0006066")</f>
        <v>GO:0006066</v>
      </c>
      <c r="B147" t="s">
        <v>1091</v>
      </c>
      <c r="C147">
        <v>0.03</v>
      </c>
      <c r="D147">
        <v>0.03</v>
      </c>
      <c r="E147">
        <v>159</v>
      </c>
      <c r="F147" t="s">
        <v>2810</v>
      </c>
      <c r="G147" t="s">
        <v>2809</v>
      </c>
    </row>
    <row r="148" spans="1:7" x14ac:dyDescent="0.25">
      <c r="A148" s="16" t="str">
        <f>HYPERLINK("http://amigo.geneontology.org/amigo/term/GO:1902584","GO:1902584")</f>
        <v>GO:1902584</v>
      </c>
      <c r="B148" t="s">
        <v>1568</v>
      </c>
      <c r="C148">
        <v>0.03</v>
      </c>
      <c r="D148">
        <v>0.04</v>
      </c>
      <c r="E148">
        <v>21</v>
      </c>
      <c r="F148" t="s">
        <v>2808</v>
      </c>
      <c r="G148" t="s">
        <v>2789</v>
      </c>
    </row>
    <row r="149" spans="1:7" x14ac:dyDescent="0.25">
      <c r="A149" s="16" t="str">
        <f>HYPERLINK("http://amigo.geneontology.org/amigo/term/GO:0006879","GO:0006879")</f>
        <v>GO:0006879</v>
      </c>
      <c r="B149" t="s">
        <v>1681</v>
      </c>
      <c r="C149">
        <v>0.03</v>
      </c>
      <c r="D149">
        <v>0.04</v>
      </c>
      <c r="E149">
        <v>21</v>
      </c>
      <c r="F149" t="s">
        <v>2808</v>
      </c>
      <c r="G149" t="s">
        <v>2777</v>
      </c>
    </row>
    <row r="150" spans="1:7" x14ac:dyDescent="0.25">
      <c r="A150" s="16" t="str">
        <f>HYPERLINK("http://amigo.geneontology.org/amigo/term/GO:0006086","GO:0006086")</f>
        <v>GO:0006086</v>
      </c>
      <c r="B150" t="s">
        <v>1682</v>
      </c>
      <c r="C150">
        <v>0.03</v>
      </c>
      <c r="D150">
        <v>0.04</v>
      </c>
      <c r="E150">
        <v>20</v>
      </c>
      <c r="F150" t="s">
        <v>2807</v>
      </c>
      <c r="G150" t="s">
        <v>2785</v>
      </c>
    </row>
    <row r="151" spans="1:7" x14ac:dyDescent="0.25">
      <c r="A151" s="16" t="str">
        <f>HYPERLINK("http://amigo.geneontology.org/amigo/term/GO:0016052","GO:0016052")</f>
        <v>GO:0016052</v>
      </c>
      <c r="B151" t="s">
        <v>1330</v>
      </c>
      <c r="C151">
        <v>0.04</v>
      </c>
      <c r="D151">
        <v>0.04</v>
      </c>
      <c r="E151">
        <v>439</v>
      </c>
      <c r="F151" t="s">
        <v>2806</v>
      </c>
      <c r="G151" t="s">
        <v>2805</v>
      </c>
    </row>
    <row r="152" spans="1:7" x14ac:dyDescent="0.25">
      <c r="A152" s="16" t="str">
        <f>HYPERLINK("http://amigo.geneontology.org/amigo/term/GO:0009059","GO:0009059")</f>
        <v>GO:0009059</v>
      </c>
      <c r="B152" t="s">
        <v>1421</v>
      </c>
      <c r="C152">
        <v>0.04</v>
      </c>
      <c r="D152">
        <v>0.04</v>
      </c>
      <c r="E152">
        <v>4487</v>
      </c>
      <c r="F152" t="s">
        <v>2804</v>
      </c>
      <c r="G152" t="s">
        <v>2803</v>
      </c>
    </row>
    <row r="153" spans="1:7" x14ac:dyDescent="0.25">
      <c r="A153" s="16" t="str">
        <f>HYPERLINK("http://amigo.geneontology.org/amigo/term/GO:0034645","GO:0034645")</f>
        <v>GO:0034645</v>
      </c>
      <c r="B153" t="s">
        <v>1423</v>
      </c>
      <c r="C153">
        <v>0.04</v>
      </c>
      <c r="D153">
        <v>0.04</v>
      </c>
      <c r="E153">
        <v>4439</v>
      </c>
      <c r="F153" t="s">
        <v>2804</v>
      </c>
      <c r="G153" t="s">
        <v>2803</v>
      </c>
    </row>
    <row r="154" spans="1:7" x14ac:dyDescent="0.25">
      <c r="A154" s="16" t="str">
        <f>HYPERLINK("http://amigo.geneontology.org/amigo/term/GO:0006725","GO:0006725")</f>
        <v>GO:0006725</v>
      </c>
      <c r="B154" t="s">
        <v>1683</v>
      </c>
      <c r="C154">
        <v>0.04</v>
      </c>
      <c r="D154">
        <v>0.05</v>
      </c>
      <c r="E154">
        <v>5992</v>
      </c>
      <c r="F154" t="s">
        <v>2801</v>
      </c>
      <c r="G154" t="s">
        <v>2802</v>
      </c>
    </row>
    <row r="155" spans="1:7" x14ac:dyDescent="0.25">
      <c r="A155" s="16" t="str">
        <f>HYPERLINK("http://amigo.geneontology.org/amigo/term/GO:0046483","GO:0046483")</f>
        <v>GO:0046483</v>
      </c>
      <c r="B155" t="s">
        <v>1684</v>
      </c>
      <c r="C155">
        <v>0.04</v>
      </c>
      <c r="D155">
        <v>0.04</v>
      </c>
      <c r="E155">
        <v>5834</v>
      </c>
      <c r="F155" t="s">
        <v>2801</v>
      </c>
      <c r="G155" t="s">
        <v>2800</v>
      </c>
    </row>
    <row r="156" spans="1:7" x14ac:dyDescent="0.25">
      <c r="A156" s="16" t="str">
        <f>HYPERLINK("http://amigo.geneontology.org/amigo/term/GO:0071396","GO:0071396")</f>
        <v>GO:0071396</v>
      </c>
      <c r="B156" t="s">
        <v>931</v>
      </c>
      <c r="C156">
        <v>0.04</v>
      </c>
      <c r="D156">
        <v>0.04</v>
      </c>
      <c r="E156">
        <v>192</v>
      </c>
      <c r="F156" t="s">
        <v>2799</v>
      </c>
      <c r="G156" t="s">
        <v>2798</v>
      </c>
    </row>
    <row r="157" spans="1:7" x14ac:dyDescent="0.25">
      <c r="A157" s="16" t="str">
        <f>HYPERLINK("http://amigo.geneontology.org/amigo/term/GO:0043572","GO:0043572")</f>
        <v>GO:0043572</v>
      </c>
      <c r="B157" t="s">
        <v>657</v>
      </c>
      <c r="C157">
        <v>0.04</v>
      </c>
      <c r="D157">
        <v>0.04</v>
      </c>
      <c r="E157">
        <v>23</v>
      </c>
      <c r="F157" t="s">
        <v>2797</v>
      </c>
      <c r="G157" t="s">
        <v>2796</v>
      </c>
    </row>
    <row r="158" spans="1:7" x14ac:dyDescent="0.25">
      <c r="A158" s="16" t="str">
        <f>HYPERLINK("http://amigo.geneontology.org/amigo/term/GO:0010020","GO:0010020")</f>
        <v>GO:0010020</v>
      </c>
      <c r="B158" t="s">
        <v>659</v>
      </c>
      <c r="C158">
        <v>0.04</v>
      </c>
      <c r="D158">
        <v>0.04</v>
      </c>
      <c r="E158">
        <v>23</v>
      </c>
      <c r="F158" t="s">
        <v>2797</v>
      </c>
      <c r="G158" t="s">
        <v>2796</v>
      </c>
    </row>
    <row r="159" spans="1:7" x14ac:dyDescent="0.25">
      <c r="A159" s="16" t="str">
        <f>HYPERLINK("http://amigo.geneontology.org/amigo/term/GO:0009892","GO:0009892")</f>
        <v>GO:0009892</v>
      </c>
      <c r="B159" t="s">
        <v>1685</v>
      </c>
      <c r="C159">
        <v>0.04</v>
      </c>
      <c r="D159">
        <v>0.05</v>
      </c>
      <c r="E159">
        <v>786</v>
      </c>
      <c r="F159" t="s">
        <v>2795</v>
      </c>
      <c r="G159" t="s">
        <v>2792</v>
      </c>
    </row>
    <row r="160" spans="1:7" x14ac:dyDescent="0.25">
      <c r="A160" s="16" t="str">
        <f>HYPERLINK("http://amigo.geneontology.org/amigo/term/GO:0035305","GO:0035305")</f>
        <v>GO:0035305</v>
      </c>
      <c r="B160" t="s">
        <v>1686</v>
      </c>
      <c r="C160">
        <v>0.04</v>
      </c>
      <c r="D160">
        <v>0.04</v>
      </c>
      <c r="E160">
        <v>25</v>
      </c>
      <c r="F160" t="s">
        <v>2794</v>
      </c>
      <c r="G160" t="s">
        <v>2790</v>
      </c>
    </row>
    <row r="161" spans="1:7" x14ac:dyDescent="0.25">
      <c r="A161" s="16" t="str">
        <f>HYPERLINK("http://amigo.geneontology.org/amigo/term/GO:0010923","GO:0010923")</f>
        <v>GO:0010923</v>
      </c>
      <c r="B161" t="s">
        <v>1687</v>
      </c>
      <c r="C161">
        <v>0.04</v>
      </c>
      <c r="D161">
        <v>0.04</v>
      </c>
      <c r="E161">
        <v>25</v>
      </c>
      <c r="F161" t="s">
        <v>2794</v>
      </c>
      <c r="G161" t="s">
        <v>2790</v>
      </c>
    </row>
    <row r="162" spans="1:7" x14ac:dyDescent="0.25">
      <c r="A162" s="16" t="str">
        <f>HYPERLINK("http://amigo.geneontology.org/amigo/term/GO:0010605","GO:0010605")</f>
        <v>GO:0010605</v>
      </c>
      <c r="B162" t="s">
        <v>1688</v>
      </c>
      <c r="C162">
        <v>0.04</v>
      </c>
      <c r="D162">
        <v>0.04</v>
      </c>
      <c r="E162">
        <v>758</v>
      </c>
      <c r="F162" t="s">
        <v>2793</v>
      </c>
      <c r="G162" t="s">
        <v>2792</v>
      </c>
    </row>
    <row r="163" spans="1:7" x14ac:dyDescent="0.25">
      <c r="A163" s="16" t="str">
        <f>HYPERLINK("http://amigo.geneontology.org/amigo/term/GO:0035308","GO:0035308")</f>
        <v>GO:0035308</v>
      </c>
      <c r="B163" t="s">
        <v>1689</v>
      </c>
      <c r="C163">
        <v>0.04</v>
      </c>
      <c r="D163">
        <v>0.04</v>
      </c>
      <c r="E163">
        <v>24</v>
      </c>
      <c r="F163" t="s">
        <v>2791</v>
      </c>
      <c r="G163" t="s">
        <v>2790</v>
      </c>
    </row>
    <row r="164" spans="1:7" x14ac:dyDescent="0.25">
      <c r="A164" s="16" t="str">
        <f>HYPERLINK("http://amigo.geneontology.org/amigo/term/GO:0032515","GO:0032515")</f>
        <v>GO:0032515</v>
      </c>
      <c r="B164" t="s">
        <v>1690</v>
      </c>
      <c r="C164">
        <v>0.04</v>
      </c>
      <c r="D164">
        <v>0.04</v>
      </c>
      <c r="E164">
        <v>24</v>
      </c>
      <c r="F164" t="s">
        <v>2791</v>
      </c>
      <c r="G164" t="s">
        <v>2790</v>
      </c>
    </row>
    <row r="165" spans="1:7" x14ac:dyDescent="0.25">
      <c r="A165" s="16" t="str">
        <f>HYPERLINK("http://amigo.geneontology.org/amigo/term/GO:2000070","GO:2000070")</f>
        <v>GO:2000070</v>
      </c>
      <c r="B165" t="s">
        <v>1571</v>
      </c>
      <c r="C165">
        <v>0.04</v>
      </c>
      <c r="D165">
        <v>0.05</v>
      </c>
      <c r="E165">
        <v>26</v>
      </c>
      <c r="F165" t="s">
        <v>2786</v>
      </c>
      <c r="G165" t="s">
        <v>2789</v>
      </c>
    </row>
    <row r="166" spans="1:7" x14ac:dyDescent="0.25">
      <c r="A166" s="16" t="str">
        <f>HYPERLINK("http://amigo.geneontology.org/amigo/term/GO:0006526","GO:0006526")</f>
        <v>GO:0006526</v>
      </c>
      <c r="B166" t="s">
        <v>1691</v>
      </c>
      <c r="C166">
        <v>0.04</v>
      </c>
      <c r="D166">
        <v>0.05</v>
      </c>
      <c r="E166">
        <v>27</v>
      </c>
      <c r="F166" t="s">
        <v>2788</v>
      </c>
      <c r="G166" t="s">
        <v>2787</v>
      </c>
    </row>
    <row r="167" spans="1:7" x14ac:dyDescent="0.25">
      <c r="A167" s="16" t="str">
        <f>HYPERLINK("http://amigo.geneontology.org/amigo/term/GO:0006085","GO:0006085")</f>
        <v>GO:0006085</v>
      </c>
      <c r="B167" t="s">
        <v>1692</v>
      </c>
      <c r="C167">
        <v>0.04</v>
      </c>
      <c r="D167">
        <v>0.05</v>
      </c>
      <c r="E167">
        <v>26</v>
      </c>
      <c r="F167" t="s">
        <v>2786</v>
      </c>
      <c r="G167" t="s">
        <v>2785</v>
      </c>
    </row>
    <row r="168" spans="1:7" x14ac:dyDescent="0.25">
      <c r="A168" s="16" t="str">
        <f>HYPERLINK("http://amigo.geneontology.org/amigo/term/GO:0009085","GO:0009085")</f>
        <v>GO:0009085</v>
      </c>
      <c r="B168" t="s">
        <v>1693</v>
      </c>
      <c r="C168">
        <v>0.05</v>
      </c>
      <c r="D168">
        <v>0.05</v>
      </c>
      <c r="E168">
        <v>29</v>
      </c>
      <c r="F168" t="s">
        <v>2776</v>
      </c>
      <c r="G168" t="s">
        <v>2784</v>
      </c>
    </row>
    <row r="169" spans="1:7" x14ac:dyDescent="0.25">
      <c r="A169" s="16" t="str">
        <f>HYPERLINK("http://amigo.geneontology.org/amigo/term/GO:0046451","GO:0046451")</f>
        <v>GO:0046451</v>
      </c>
      <c r="B169" t="s">
        <v>1694</v>
      </c>
      <c r="C169">
        <v>0.05</v>
      </c>
      <c r="D169">
        <v>0.05</v>
      </c>
      <c r="E169">
        <v>29</v>
      </c>
      <c r="F169" t="s">
        <v>2776</v>
      </c>
      <c r="G169" t="s">
        <v>2784</v>
      </c>
    </row>
    <row r="170" spans="1:7" x14ac:dyDescent="0.25">
      <c r="A170" s="16" t="str">
        <f>HYPERLINK("http://amigo.geneontology.org/amigo/term/GO:0009089","GO:0009089")</f>
        <v>GO:0009089</v>
      </c>
      <c r="B170" t="s">
        <v>1695</v>
      </c>
      <c r="C170">
        <v>0.05</v>
      </c>
      <c r="D170">
        <v>0.05</v>
      </c>
      <c r="E170">
        <v>29</v>
      </c>
      <c r="F170" t="s">
        <v>2776</v>
      </c>
      <c r="G170" t="s">
        <v>2784</v>
      </c>
    </row>
    <row r="171" spans="1:7" x14ac:dyDescent="0.25">
      <c r="A171" s="16" t="str">
        <f>HYPERLINK("http://amigo.geneontology.org/amigo/term/GO:0010033","GO:0010033")</f>
        <v>GO:0010033</v>
      </c>
      <c r="B171" t="s">
        <v>792</v>
      </c>
      <c r="C171">
        <v>0.05</v>
      </c>
      <c r="D171">
        <v>0.05</v>
      </c>
      <c r="E171">
        <v>1169</v>
      </c>
      <c r="F171" t="s">
        <v>2783</v>
      </c>
      <c r="G171" t="s">
        <v>2782</v>
      </c>
    </row>
    <row r="172" spans="1:7" x14ac:dyDescent="0.25">
      <c r="A172" s="16" t="str">
        <f>HYPERLINK("http://amigo.geneontology.org/amigo/term/GO:0046173","GO:0046173")</f>
        <v>GO:0046173</v>
      </c>
      <c r="B172" t="s">
        <v>1696</v>
      </c>
      <c r="C172">
        <v>0.05</v>
      </c>
      <c r="D172">
        <v>0.05</v>
      </c>
      <c r="E172">
        <v>28</v>
      </c>
      <c r="F172" t="s">
        <v>2781</v>
      </c>
      <c r="G172" t="s">
        <v>2780</v>
      </c>
    </row>
    <row r="173" spans="1:7" x14ac:dyDescent="0.25">
      <c r="A173" s="16" t="str">
        <f>HYPERLINK("http://amigo.geneontology.org/amigo/term/GO:0019725","GO:0019725")</f>
        <v>GO:0019725</v>
      </c>
      <c r="B173" t="s">
        <v>422</v>
      </c>
      <c r="C173">
        <v>0.05</v>
      </c>
      <c r="D173">
        <v>0.05</v>
      </c>
      <c r="E173">
        <v>474</v>
      </c>
      <c r="F173" t="s">
        <v>2779</v>
      </c>
      <c r="G173" t="s">
        <v>2778</v>
      </c>
    </row>
    <row r="174" spans="1:7" x14ac:dyDescent="0.25">
      <c r="A174" s="16" t="str">
        <f>HYPERLINK("http://amigo.geneontology.org/amigo/term/GO:0055072","GO:0055072")</f>
        <v>GO:0055072</v>
      </c>
      <c r="B174" t="s">
        <v>1697</v>
      </c>
      <c r="C174">
        <v>0.05</v>
      </c>
      <c r="D174">
        <v>0.05</v>
      </c>
      <c r="E174">
        <v>29</v>
      </c>
      <c r="F174" t="s">
        <v>2776</v>
      </c>
      <c r="G174" t="s">
        <v>2777</v>
      </c>
    </row>
    <row r="175" spans="1:7" x14ac:dyDescent="0.25">
      <c r="A175" s="16" t="str">
        <f>HYPERLINK("http://amigo.geneontology.org/amigo/term/GO:1900140","GO:1900140")</f>
        <v>GO:1900140</v>
      </c>
      <c r="B175" t="s">
        <v>1558</v>
      </c>
      <c r="C175">
        <v>0.05</v>
      </c>
      <c r="D175">
        <v>0.05</v>
      </c>
      <c r="E175">
        <v>29</v>
      </c>
      <c r="F175" t="s">
        <v>2776</v>
      </c>
      <c r="G175" t="s">
        <v>2775</v>
      </c>
    </row>
    <row r="176" spans="1:7" x14ac:dyDescent="0.25">
      <c r="A176" s="16" t="str">
        <f>HYPERLINK("http://amigo.geneontology.org/amigo/term/GO:0010029","GO:0010029")</f>
        <v>GO:0010029</v>
      </c>
      <c r="B176" t="s">
        <v>1559</v>
      </c>
      <c r="C176">
        <v>0.05</v>
      </c>
      <c r="D176">
        <v>0.05</v>
      </c>
      <c r="E176">
        <v>29</v>
      </c>
      <c r="F176" t="s">
        <v>2776</v>
      </c>
      <c r="G176" t="s">
        <v>2775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P0001BP</vt:lpstr>
      <vt:lpstr>P0002BP</vt:lpstr>
      <vt:lpstr>P0010BP</vt:lpstr>
      <vt:lpstr>P0020BP</vt:lpstr>
      <vt:lpstr>P0100BP</vt:lpstr>
      <vt:lpstr>P0200BP</vt:lpstr>
      <vt:lpstr>P1000BP</vt:lpstr>
      <vt:lpstr>P2000BP</vt:lpstr>
      <vt:lpstr>P1111BP</vt:lpstr>
      <vt:lpstr>P2222BP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Pan, Youlian</dc:creator>
  <cp:lastModifiedBy>Windows User</cp:lastModifiedBy>
  <dcterms:created xsi:type="dcterms:W3CDTF">2022-06-13T20:22:40Z</dcterms:created>
  <dcterms:modified xsi:type="dcterms:W3CDTF">2022-08-09T17:07:14Z</dcterms:modified>
</cp:coreProperties>
</file>