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livejohnshopkins-my.sharepoint.com/personal/sjordaa1_jh_edu/Documents/Documents/Shreya/Frontiers Submission/08142022 revision/"/>
    </mc:Choice>
  </mc:AlternateContent>
  <xr:revisionPtr revIDLastSave="16" documentId="8_{A73A0180-ABE1-4C9D-9286-C86EBEA3E24A}" xr6:coauthVersionLast="47" xr6:coauthVersionMax="47" xr10:uidLastSave="{56252C4C-CD2D-437E-9676-F279B6D28BC4}"/>
  <bookViews>
    <workbookView xWindow="-110" yWindow="-110" windowWidth="25180" windowHeight="16260" tabRatio="626" firstSheet="2" activeTab="3" xr2:uid="{AD4730B2-CAE9-451E-BFBE-2AACA62B755D}"/>
  </bookViews>
  <sheets>
    <sheet name="Title" sheetId="11" r:id="rId1"/>
    <sheet name="CSP Sites" sheetId="1" r:id="rId2"/>
    <sheet name="Inventory - Land Area Occupied" sheetId="23" r:id="rId3"/>
    <sheet name="Land Transformation (Lifetime)" sheetId="7" r:id="rId4"/>
    <sheet name="Land-Use Efficiency" sheetId="20" r:id="rId5"/>
    <sheet name="Land use efficiency" sheetId="25" r:id="rId6"/>
    <sheet name="Land Area for 1W" sheetId="24" r:id="rId7"/>
    <sheet name="Impact Assessment - Carbon Loss" sheetId="6" state="hidden" r:id="rId8"/>
    <sheet name="Impact Assessment - SOCSIC" sheetId="13" state="hidden" r:id="rId9"/>
    <sheet name="Scenario Analysis - Carbon Loss" sheetId="21" r:id="rId10"/>
    <sheet name="Tornado Plot Final" sheetId="16" state="hidden" r:id="rId11"/>
    <sheet name="CO2 Emissions" sheetId="17" r:id="rId12"/>
    <sheet name="Tornado Plot" sheetId="15" state="hidden" r:id="rId13"/>
    <sheet name="Land Transformation (Annual)" sheetId="18"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7" l="1"/>
  <c r="L26" i="20"/>
  <c r="M28" i="20" s="1"/>
  <c r="I30" i="7"/>
  <c r="L29" i="7"/>
  <c r="L32" i="7"/>
  <c r="L31" i="7"/>
  <c r="L30" i="7"/>
  <c r="J18" i="7"/>
  <c r="I18" i="7"/>
  <c r="H18" i="7"/>
  <c r="G18" i="7"/>
  <c r="F18" i="7"/>
  <c r="E18" i="7"/>
  <c r="D18" i="7"/>
  <c r="C17" i="7"/>
  <c r="K15" i="20"/>
  <c r="K20" i="24" s="1"/>
  <c r="J15" i="20"/>
  <c r="I15" i="20"/>
  <c r="I22" i="24" s="1"/>
  <c r="H15" i="20"/>
  <c r="H21" i="24" s="1"/>
  <c r="G15" i="20"/>
  <c r="G26" i="24" s="1"/>
  <c r="F15" i="20"/>
  <c r="F23" i="24" s="1"/>
  <c r="E15" i="20"/>
  <c r="E21" i="24" s="1"/>
  <c r="D15" i="20"/>
  <c r="D20" i="20" s="1"/>
  <c r="K15" i="24"/>
  <c r="J15" i="24"/>
  <c r="I15" i="24"/>
  <c r="H15" i="24"/>
  <c r="G15" i="24"/>
  <c r="F15" i="24"/>
  <c r="E15" i="24"/>
  <c r="D15" i="24"/>
  <c r="D20" i="24"/>
  <c r="H20" i="24"/>
  <c r="J20" i="24"/>
  <c r="D21" i="24"/>
  <c r="J21" i="24"/>
  <c r="K21" i="24"/>
  <c r="D22" i="24"/>
  <c r="G22" i="24"/>
  <c r="H22" i="24"/>
  <c r="J22" i="24"/>
  <c r="D23" i="24"/>
  <c r="H23" i="24"/>
  <c r="J23" i="24"/>
  <c r="K23" i="24"/>
  <c r="D24" i="24"/>
  <c r="F24" i="24"/>
  <c r="H24" i="24"/>
  <c r="J24" i="24"/>
  <c r="K24" i="24"/>
  <c r="D25" i="24"/>
  <c r="H25" i="24"/>
  <c r="J25" i="24"/>
  <c r="K25" i="24"/>
  <c r="D26" i="24"/>
  <c r="H26" i="24"/>
  <c r="J26" i="24"/>
  <c r="K26" i="24"/>
  <c r="M26" i="20" l="1"/>
  <c r="M27" i="20"/>
  <c r="C30" i="7"/>
  <c r="K22" i="24"/>
  <c r="I26" i="24"/>
  <c r="I23" i="24"/>
  <c r="L23" i="24" s="1"/>
  <c r="I21" i="24"/>
  <c r="I20" i="24"/>
  <c r="I24" i="24"/>
  <c r="I25" i="24"/>
  <c r="G23" i="24"/>
  <c r="G21" i="24"/>
  <c r="L21" i="24" s="1"/>
  <c r="G24" i="24"/>
  <c r="G20" i="24"/>
  <c r="G25" i="24"/>
  <c r="F25" i="24"/>
  <c r="F26" i="24"/>
  <c r="F20" i="24"/>
  <c r="F21" i="24"/>
  <c r="F22" i="24"/>
  <c r="E26" i="24"/>
  <c r="E23" i="24"/>
  <c r="E20" i="24"/>
  <c r="E25" i="24"/>
  <c r="L25" i="24" s="1"/>
  <c r="E24" i="24"/>
  <c r="E22" i="24"/>
  <c r="L24" i="24"/>
  <c r="L26" i="24"/>
  <c r="L20" i="24"/>
  <c r="D26" i="20"/>
  <c r="D23" i="20"/>
  <c r="D21" i="20"/>
  <c r="J30" i="7"/>
  <c r="J8" i="23"/>
  <c r="J14" i="23"/>
  <c r="J13" i="23"/>
  <c r="J12" i="23"/>
  <c r="J11" i="23"/>
  <c r="J10" i="23"/>
  <c r="J9" i="23"/>
  <c r="J7" i="23"/>
  <c r="M13" i="23"/>
  <c r="L13" i="23"/>
  <c r="L12" i="23"/>
  <c r="M12" i="23" s="1"/>
  <c r="L11" i="23"/>
  <c r="M11" i="23" s="1"/>
  <c r="L10" i="23"/>
  <c r="M10" i="23" s="1"/>
  <c r="L7" i="23"/>
  <c r="M7" i="23" s="1"/>
  <c r="D29" i="17"/>
  <c r="E29" i="17"/>
  <c r="C29" i="17"/>
  <c r="D12" i="17"/>
  <c r="E12" i="17"/>
  <c r="C12" i="17"/>
  <c r="H19" i="21"/>
  <c r="I15" i="23"/>
  <c r="D15" i="23"/>
  <c r="E15" i="23"/>
  <c r="F15" i="23"/>
  <c r="G15" i="23"/>
  <c r="H15" i="23"/>
  <c r="C15" i="23"/>
  <c r="L22" i="24" l="1"/>
  <c r="C55" i="21"/>
  <c r="J53" i="21"/>
  <c r="I53" i="21"/>
  <c r="H53" i="21"/>
  <c r="G53" i="21"/>
  <c r="F53" i="21"/>
  <c r="E53" i="21"/>
  <c r="D53" i="21"/>
  <c r="C53" i="21"/>
  <c r="J52" i="21"/>
  <c r="I52" i="21"/>
  <c r="H52" i="21"/>
  <c r="G52" i="21"/>
  <c r="F52" i="21"/>
  <c r="E52" i="21"/>
  <c r="D52" i="21"/>
  <c r="C52" i="21"/>
  <c r="J49" i="21"/>
  <c r="I49" i="21"/>
  <c r="H49" i="21"/>
  <c r="G49" i="21"/>
  <c r="F49" i="21"/>
  <c r="E49" i="21"/>
  <c r="D49" i="21"/>
  <c r="C49" i="21"/>
  <c r="J31" i="21"/>
  <c r="J76" i="21" s="1"/>
  <c r="I31" i="21"/>
  <c r="I76" i="21" s="1"/>
  <c r="H31" i="21"/>
  <c r="H76" i="21" s="1"/>
  <c r="G31" i="21"/>
  <c r="F31" i="21"/>
  <c r="F76" i="21" s="1"/>
  <c r="E31" i="21"/>
  <c r="E76" i="21" s="1"/>
  <c r="D31" i="21"/>
  <c r="D76" i="21" s="1"/>
  <c r="C31" i="21"/>
  <c r="C76" i="21" s="1"/>
  <c r="J30" i="21"/>
  <c r="J75" i="21" s="1"/>
  <c r="I30" i="21"/>
  <c r="I75" i="21" s="1"/>
  <c r="H30" i="21"/>
  <c r="H75" i="21" s="1"/>
  <c r="G30" i="21"/>
  <c r="G75" i="21" s="1"/>
  <c r="F30" i="21"/>
  <c r="F75" i="21" s="1"/>
  <c r="E30" i="21"/>
  <c r="E75" i="21" s="1"/>
  <c r="D30" i="21"/>
  <c r="D75" i="21" s="1"/>
  <c r="C30" i="21"/>
  <c r="C75" i="21" s="1"/>
  <c r="J29" i="21"/>
  <c r="J74" i="21" s="1"/>
  <c r="I29" i="21"/>
  <c r="I74" i="21" s="1"/>
  <c r="H29" i="21"/>
  <c r="H74" i="21" s="1"/>
  <c r="G29" i="21"/>
  <c r="G74" i="21" s="1"/>
  <c r="F29" i="21"/>
  <c r="F74" i="21" s="1"/>
  <c r="E29" i="21"/>
  <c r="E74" i="21" s="1"/>
  <c r="D29" i="21"/>
  <c r="D74" i="21" s="1"/>
  <c r="C29" i="21"/>
  <c r="C74" i="21" s="1"/>
  <c r="J28" i="21"/>
  <c r="J73" i="21" s="1"/>
  <c r="I28" i="21"/>
  <c r="I73" i="21" s="1"/>
  <c r="H28" i="21"/>
  <c r="H73" i="21" s="1"/>
  <c r="G28" i="21"/>
  <c r="G73" i="21" s="1"/>
  <c r="F28" i="21"/>
  <c r="F73" i="21" s="1"/>
  <c r="E28" i="21"/>
  <c r="E73" i="21" s="1"/>
  <c r="D28" i="21"/>
  <c r="D73" i="21" s="1"/>
  <c r="C28" i="21"/>
  <c r="C73" i="21" s="1"/>
  <c r="J27" i="21"/>
  <c r="J72" i="21" s="1"/>
  <c r="I27" i="21"/>
  <c r="I72" i="21" s="1"/>
  <c r="H27" i="21"/>
  <c r="G27" i="21"/>
  <c r="F27" i="21"/>
  <c r="F72" i="21" s="1"/>
  <c r="E27" i="21"/>
  <c r="E72" i="21" s="1"/>
  <c r="D27" i="21"/>
  <c r="D72" i="21" s="1"/>
  <c r="C27" i="21"/>
  <c r="C72" i="21" s="1"/>
  <c r="J26" i="21"/>
  <c r="J71" i="21" s="1"/>
  <c r="I26" i="21"/>
  <c r="I71" i="21" s="1"/>
  <c r="H26" i="21"/>
  <c r="H71" i="21" s="1"/>
  <c r="G26" i="21"/>
  <c r="G71" i="21" s="1"/>
  <c r="F26" i="21"/>
  <c r="F71" i="21" s="1"/>
  <c r="E26" i="21"/>
  <c r="E71" i="21" s="1"/>
  <c r="D26" i="21"/>
  <c r="D71" i="21" s="1"/>
  <c r="C26" i="21"/>
  <c r="C71" i="21" s="1"/>
  <c r="J14" i="21"/>
  <c r="I14" i="21"/>
  <c r="H14" i="21"/>
  <c r="G14" i="21"/>
  <c r="F14" i="21"/>
  <c r="E14" i="21"/>
  <c r="D14" i="21"/>
  <c r="C14" i="21"/>
  <c r="G50" i="21" l="1"/>
  <c r="G72" i="21"/>
  <c r="G83" i="21" s="1"/>
  <c r="G54" i="21"/>
  <c r="G64" i="21" s="1"/>
  <c r="G76" i="21"/>
  <c r="H50" i="21"/>
  <c r="H60" i="21" s="1"/>
  <c r="H72" i="21"/>
  <c r="H83" i="21" s="1"/>
  <c r="I83" i="21"/>
  <c r="C84" i="21"/>
  <c r="C59" i="21"/>
  <c r="C62" i="21"/>
  <c r="C63" i="21"/>
  <c r="D83" i="21"/>
  <c r="D84" i="21"/>
  <c r="D85" i="21"/>
  <c r="D86" i="21"/>
  <c r="D87" i="21"/>
  <c r="D59" i="21"/>
  <c r="D62" i="21"/>
  <c r="D63" i="21"/>
  <c r="E84" i="21"/>
  <c r="E59" i="21"/>
  <c r="F83" i="21"/>
  <c r="F84" i="21"/>
  <c r="F85" i="21"/>
  <c r="F86" i="21"/>
  <c r="F87" i="21"/>
  <c r="F59" i="21"/>
  <c r="F62" i="21"/>
  <c r="F63" i="21"/>
  <c r="C86" i="21"/>
  <c r="E85" i="21"/>
  <c r="E62" i="21"/>
  <c r="G84" i="21"/>
  <c r="G85" i="21"/>
  <c r="G86" i="21"/>
  <c r="G59" i="21"/>
  <c r="G62" i="21"/>
  <c r="G63" i="21"/>
  <c r="C83" i="21"/>
  <c r="E86" i="21"/>
  <c r="E63" i="21"/>
  <c r="H84" i="21"/>
  <c r="H39" i="21"/>
  <c r="H86" i="21"/>
  <c r="H87" i="21"/>
  <c r="H62" i="21"/>
  <c r="H63" i="21"/>
  <c r="C85" i="21"/>
  <c r="E87" i="21"/>
  <c r="I84" i="21"/>
  <c r="I85" i="21"/>
  <c r="I86" i="21"/>
  <c r="I87" i="21"/>
  <c r="I59" i="21"/>
  <c r="I62" i="21"/>
  <c r="I63" i="21"/>
  <c r="C87" i="21"/>
  <c r="E83" i="21"/>
  <c r="J83" i="21"/>
  <c r="J84" i="21"/>
  <c r="J85" i="21"/>
  <c r="J86" i="21"/>
  <c r="J87" i="21"/>
  <c r="J59" i="21"/>
  <c r="J62" i="21"/>
  <c r="J63" i="21"/>
  <c r="E82" i="21"/>
  <c r="E77" i="21"/>
  <c r="F82" i="21"/>
  <c r="F77" i="21"/>
  <c r="G82" i="21"/>
  <c r="D82" i="21"/>
  <c r="D77" i="21"/>
  <c r="G60" i="21"/>
  <c r="H82" i="21"/>
  <c r="I82" i="21"/>
  <c r="I77" i="21"/>
  <c r="J82" i="21"/>
  <c r="J77" i="21"/>
  <c r="C82" i="21"/>
  <c r="C77" i="21"/>
  <c r="H37" i="21"/>
  <c r="H54" i="21"/>
  <c r="H64" i="21" s="1"/>
  <c r="H85" i="21"/>
  <c r="C32" i="21"/>
  <c r="C36" i="21"/>
  <c r="C37" i="21"/>
  <c r="C38" i="21"/>
  <c r="C39" i="21"/>
  <c r="C40" i="21"/>
  <c r="C41" i="21"/>
  <c r="C50" i="21"/>
  <c r="C60" i="21" s="1"/>
  <c r="C51" i="21"/>
  <c r="C61" i="21" s="1"/>
  <c r="C54" i="21"/>
  <c r="C64" i="21" s="1"/>
  <c r="G32" i="21"/>
  <c r="G39" i="21"/>
  <c r="G51" i="21"/>
  <c r="G61" i="21" s="1"/>
  <c r="H36" i="21"/>
  <c r="H40" i="21"/>
  <c r="H59" i="21"/>
  <c r="D32" i="21"/>
  <c r="D36" i="21"/>
  <c r="D37" i="21"/>
  <c r="D38" i="21"/>
  <c r="D39" i="21"/>
  <c r="D40" i="21"/>
  <c r="D41" i="21"/>
  <c r="D50" i="21"/>
  <c r="D60" i="21" s="1"/>
  <c r="D51" i="21"/>
  <c r="D61" i="21" s="1"/>
  <c r="D54" i="21"/>
  <c r="D64" i="21" s="1"/>
  <c r="G41" i="21"/>
  <c r="G87" i="21"/>
  <c r="E32" i="21"/>
  <c r="E36" i="21"/>
  <c r="E37" i="21"/>
  <c r="E38" i="21"/>
  <c r="E39" i="21"/>
  <c r="E40" i="21"/>
  <c r="E41" i="21"/>
  <c r="E50" i="21"/>
  <c r="E60" i="21" s="1"/>
  <c r="E51" i="21"/>
  <c r="E61" i="21" s="1"/>
  <c r="E54" i="21"/>
  <c r="E64" i="21" s="1"/>
  <c r="G37" i="21"/>
  <c r="G40" i="21"/>
  <c r="F32" i="21"/>
  <c r="F36" i="21"/>
  <c r="F37" i="21"/>
  <c r="F38" i="21"/>
  <c r="F39" i="21"/>
  <c r="F40" i="21"/>
  <c r="F41" i="21"/>
  <c r="F50" i="21"/>
  <c r="F60" i="21" s="1"/>
  <c r="F51" i="21"/>
  <c r="F61" i="21" s="1"/>
  <c r="F54" i="21"/>
  <c r="F64" i="21" s="1"/>
  <c r="G38" i="21"/>
  <c r="H32" i="21"/>
  <c r="H41" i="21"/>
  <c r="H51" i="21"/>
  <c r="H61" i="21" s="1"/>
  <c r="I32" i="21"/>
  <c r="I36" i="21"/>
  <c r="I37" i="21"/>
  <c r="I38" i="21"/>
  <c r="I39" i="21"/>
  <c r="I40" i="21"/>
  <c r="I41" i="21"/>
  <c r="I50" i="21"/>
  <c r="I60" i="21" s="1"/>
  <c r="I51" i="21"/>
  <c r="I61" i="21" s="1"/>
  <c r="I54" i="21"/>
  <c r="I64" i="21" s="1"/>
  <c r="G36" i="21"/>
  <c r="H38" i="21"/>
  <c r="J32" i="21"/>
  <c r="J36" i="21"/>
  <c r="J37" i="21"/>
  <c r="J38" i="21"/>
  <c r="J39" i="21"/>
  <c r="J40" i="21"/>
  <c r="J41" i="21"/>
  <c r="J50" i="21"/>
  <c r="J60" i="21" s="1"/>
  <c r="J51" i="21"/>
  <c r="J61" i="21" s="1"/>
  <c r="J54" i="21"/>
  <c r="J64" i="21" s="1"/>
  <c r="J55" i="21" l="1"/>
  <c r="D65" i="21"/>
  <c r="I88" i="21"/>
  <c r="C65" i="21"/>
  <c r="F88" i="21"/>
  <c r="E65" i="21"/>
  <c r="G65" i="21"/>
  <c r="E88" i="21"/>
  <c r="J65" i="21"/>
  <c r="C88" i="21"/>
  <c r="D88" i="21"/>
  <c r="I65" i="21"/>
  <c r="D42" i="21"/>
  <c r="G77" i="21"/>
  <c r="F65" i="21"/>
  <c r="J88" i="21"/>
  <c r="H55" i="21"/>
  <c r="J42" i="21"/>
  <c r="E55" i="21"/>
  <c r="C42" i="21"/>
  <c r="H77" i="21"/>
  <c r="G88" i="21"/>
  <c r="E42" i="21"/>
  <c r="H88" i="21"/>
  <c r="H65" i="21"/>
  <c r="G42" i="21"/>
  <c r="F55" i="21"/>
  <c r="G55" i="21"/>
  <c r="I55" i="21"/>
  <c r="F42" i="21"/>
  <c r="H42" i="21"/>
  <c r="I42" i="21"/>
  <c r="D55" i="21"/>
  <c r="E22" i="20"/>
  <c r="F21" i="20"/>
  <c r="G20" i="20"/>
  <c r="H25" i="20"/>
  <c r="I24" i="20"/>
  <c r="J21" i="20"/>
  <c r="K23" i="20"/>
  <c r="H24" i="20" l="1"/>
  <c r="I21" i="20"/>
  <c r="K21" i="20"/>
  <c r="D22" i="20"/>
  <c r="F22" i="20"/>
  <c r="E26" i="20"/>
  <c r="E20" i="20"/>
  <c r="M20" i="20" s="1"/>
  <c r="H23" i="20"/>
  <c r="J23" i="20"/>
  <c r="K26" i="20"/>
  <c r="J20" i="20"/>
  <c r="E23" i="20"/>
  <c r="G25" i="20"/>
  <c r="H21" i="20"/>
  <c r="J22" i="20"/>
  <c r="J26" i="20"/>
  <c r="G23" i="20"/>
  <c r="I20" i="20"/>
  <c r="I26" i="20"/>
  <c r="E21" i="20"/>
  <c r="G22" i="20"/>
  <c r="K20" i="20"/>
  <c r="H26" i="20"/>
  <c r="F20" i="20"/>
  <c r="G21" i="20"/>
  <c r="I23" i="20"/>
  <c r="G26" i="20"/>
  <c r="F24" i="20"/>
  <c r="M24" i="20" s="1"/>
  <c r="H20" i="20"/>
  <c r="I22" i="20"/>
  <c r="K22" i="20"/>
  <c r="F26" i="20"/>
  <c r="J16" i="18"/>
  <c r="J28" i="18" s="1"/>
  <c r="I16" i="18"/>
  <c r="I22" i="18" s="1"/>
  <c r="H16" i="18"/>
  <c r="H25" i="18" s="1"/>
  <c r="F16" i="18"/>
  <c r="F23" i="18" s="1"/>
  <c r="C16" i="18"/>
  <c r="C23" i="18" s="1"/>
  <c r="G14" i="18"/>
  <c r="E14" i="18"/>
  <c r="D14" i="18"/>
  <c r="G13" i="18"/>
  <c r="G16" i="18" s="1"/>
  <c r="E13" i="18"/>
  <c r="E16" i="18" s="1"/>
  <c r="E28" i="18" s="1"/>
  <c r="D13" i="18"/>
  <c r="E22" i="17"/>
  <c r="E23" i="17"/>
  <c r="E24" i="17"/>
  <c r="E25" i="17"/>
  <c r="E26" i="17"/>
  <c r="E27" i="17"/>
  <c r="E28" i="17"/>
  <c r="D22" i="17"/>
  <c r="D23" i="17"/>
  <c r="D24" i="17"/>
  <c r="D25" i="17"/>
  <c r="D26" i="17"/>
  <c r="D27" i="17"/>
  <c r="D28" i="17"/>
  <c r="D21" i="17"/>
  <c r="E21" i="17"/>
  <c r="C22" i="17"/>
  <c r="C23" i="17"/>
  <c r="C24" i="17"/>
  <c r="C25" i="17"/>
  <c r="C26" i="17"/>
  <c r="C27" i="17"/>
  <c r="C28" i="17"/>
  <c r="C21" i="17"/>
  <c r="I25" i="16"/>
  <c r="I26" i="16"/>
  <c r="I27" i="16"/>
  <c r="J27" i="16" s="1"/>
  <c r="I28" i="16"/>
  <c r="I29" i="16"/>
  <c r="I30" i="16"/>
  <c r="I31" i="16"/>
  <c r="J31" i="16" s="1"/>
  <c r="I24" i="16"/>
  <c r="J25" i="16"/>
  <c r="J26" i="16"/>
  <c r="J28" i="16"/>
  <c r="J29" i="16"/>
  <c r="J30" i="16"/>
  <c r="J24" i="16"/>
  <c r="J13" i="16"/>
  <c r="J14" i="16"/>
  <c r="J15" i="16"/>
  <c r="J16" i="16"/>
  <c r="J17" i="16"/>
  <c r="J18" i="16"/>
  <c r="J19" i="16"/>
  <c r="J12" i="16"/>
  <c r="I13" i="16"/>
  <c r="I14" i="16"/>
  <c r="I15" i="16"/>
  <c r="I16" i="16"/>
  <c r="I17" i="16"/>
  <c r="I18" i="16"/>
  <c r="I19" i="16"/>
  <c r="I12" i="16"/>
  <c r="C11" i="15"/>
  <c r="C10" i="15"/>
  <c r="C9" i="15"/>
  <c r="C8" i="15"/>
  <c r="C7" i="15"/>
  <c r="C6" i="15"/>
  <c r="C5" i="15"/>
  <c r="C4" i="15"/>
  <c r="D25" i="13"/>
  <c r="D61" i="13" s="1"/>
  <c r="E25" i="13"/>
  <c r="E61" i="13" s="1"/>
  <c r="F25" i="13"/>
  <c r="F61" i="13" s="1"/>
  <c r="G25" i="13"/>
  <c r="H25" i="13"/>
  <c r="I25" i="13"/>
  <c r="J25" i="13"/>
  <c r="C25" i="13"/>
  <c r="D24" i="13"/>
  <c r="E24" i="13"/>
  <c r="F24" i="13"/>
  <c r="G24" i="13"/>
  <c r="H24" i="13"/>
  <c r="H60" i="13" s="1"/>
  <c r="I24" i="13"/>
  <c r="I60" i="13" s="1"/>
  <c r="J24" i="13"/>
  <c r="J60" i="13" s="1"/>
  <c r="D23" i="13"/>
  <c r="D59" i="13" s="1"/>
  <c r="E23" i="13"/>
  <c r="E59" i="13" s="1"/>
  <c r="F23" i="13"/>
  <c r="F59" i="13" s="1"/>
  <c r="G23" i="13"/>
  <c r="H23" i="13"/>
  <c r="I23" i="13"/>
  <c r="J23" i="13"/>
  <c r="C24" i="13"/>
  <c r="C60" i="13" s="1"/>
  <c r="C23" i="13"/>
  <c r="D22" i="13"/>
  <c r="D58" i="13" s="1"/>
  <c r="E22" i="13"/>
  <c r="F22" i="13"/>
  <c r="F58" i="13" s="1"/>
  <c r="G22" i="13"/>
  <c r="H22" i="13"/>
  <c r="I22" i="13"/>
  <c r="I58" i="13" s="1"/>
  <c r="J22" i="13"/>
  <c r="C22" i="13"/>
  <c r="C58" i="13" s="1"/>
  <c r="D21" i="13"/>
  <c r="D57" i="13" s="1"/>
  <c r="E21" i="13"/>
  <c r="F21" i="13"/>
  <c r="G21" i="13"/>
  <c r="H21" i="13"/>
  <c r="H57" i="13" s="1"/>
  <c r="I21" i="13"/>
  <c r="I57" i="13" s="1"/>
  <c r="J21" i="13"/>
  <c r="C21" i="13"/>
  <c r="C57" i="13" s="1"/>
  <c r="D20" i="13"/>
  <c r="D56" i="13" s="1"/>
  <c r="E20" i="13"/>
  <c r="E56" i="13" s="1"/>
  <c r="F20" i="13"/>
  <c r="G20" i="13"/>
  <c r="H20" i="13"/>
  <c r="I20" i="13"/>
  <c r="I56" i="13" s="1"/>
  <c r="J20" i="13"/>
  <c r="C20" i="13"/>
  <c r="J61" i="13"/>
  <c r="I61" i="13"/>
  <c r="H61" i="13"/>
  <c r="G61" i="13"/>
  <c r="C61" i="13"/>
  <c r="G60" i="13"/>
  <c r="F60" i="13"/>
  <c r="E60" i="13"/>
  <c r="D60" i="13"/>
  <c r="J59" i="13"/>
  <c r="I59" i="13"/>
  <c r="H59" i="13"/>
  <c r="G59" i="13"/>
  <c r="C59" i="13"/>
  <c r="J58" i="13"/>
  <c r="H58" i="13"/>
  <c r="G58" i="13"/>
  <c r="E58" i="13"/>
  <c r="J57" i="13"/>
  <c r="G57" i="13"/>
  <c r="F57" i="13"/>
  <c r="E57" i="13"/>
  <c r="J56" i="13"/>
  <c r="H26" i="13"/>
  <c r="H62" i="13" s="1"/>
  <c r="G56" i="13"/>
  <c r="C56" i="13"/>
  <c r="J15" i="13"/>
  <c r="I15" i="13"/>
  <c r="H15" i="13"/>
  <c r="G15" i="13"/>
  <c r="F15" i="13"/>
  <c r="E15" i="13"/>
  <c r="D15" i="13"/>
  <c r="C15" i="13"/>
  <c r="D24" i="7"/>
  <c r="E23" i="7"/>
  <c r="F30" i="7"/>
  <c r="G28" i="7"/>
  <c r="H27" i="7"/>
  <c r="I26" i="7"/>
  <c r="F17" i="7"/>
  <c r="H17" i="7"/>
  <c r="I17" i="7"/>
  <c r="J17" i="7"/>
  <c r="G15" i="7"/>
  <c r="E15" i="7"/>
  <c r="D15" i="7"/>
  <c r="G14" i="7"/>
  <c r="E14" i="7"/>
  <c r="D14" i="7"/>
  <c r="I57" i="6"/>
  <c r="I60" i="6"/>
  <c r="H58" i="6"/>
  <c r="H61" i="6"/>
  <c r="G59" i="6"/>
  <c r="G62" i="6"/>
  <c r="E61" i="6"/>
  <c r="D62" i="6"/>
  <c r="D61" i="6"/>
  <c r="D15" i="6"/>
  <c r="D56" i="6" s="1"/>
  <c r="E15" i="6"/>
  <c r="E62" i="6" s="1"/>
  <c r="F15" i="6"/>
  <c r="F61" i="6" s="1"/>
  <c r="G15" i="6"/>
  <c r="G60" i="6" s="1"/>
  <c r="H15" i="6"/>
  <c r="H59" i="6" s="1"/>
  <c r="I15" i="6"/>
  <c r="I58" i="6" s="1"/>
  <c r="J15" i="6"/>
  <c r="J57" i="6" s="1"/>
  <c r="C15" i="6"/>
  <c r="C57" i="6" s="1"/>
  <c r="C20" i="6"/>
  <c r="C21" i="6"/>
  <c r="C22" i="6"/>
  <c r="F26" i="6"/>
  <c r="J21" i="6"/>
  <c r="J22" i="6"/>
  <c r="J23" i="6"/>
  <c r="J24" i="6"/>
  <c r="J25" i="6"/>
  <c r="I21" i="6"/>
  <c r="I22" i="6"/>
  <c r="I23" i="6"/>
  <c r="I24" i="6"/>
  <c r="I25" i="6"/>
  <c r="H21" i="6"/>
  <c r="H22" i="6"/>
  <c r="H23" i="6"/>
  <c r="H24" i="6"/>
  <c r="H25" i="6"/>
  <c r="G21" i="6"/>
  <c r="G22" i="6"/>
  <c r="G23" i="6"/>
  <c r="G24" i="6"/>
  <c r="G25" i="6"/>
  <c r="G26" i="6" s="1"/>
  <c r="F21" i="6"/>
  <c r="F22" i="6"/>
  <c r="F23" i="6"/>
  <c r="F24" i="6"/>
  <c r="F25" i="6"/>
  <c r="E21" i="6"/>
  <c r="E26" i="6" s="1"/>
  <c r="E22" i="6"/>
  <c r="E23" i="6"/>
  <c r="E24" i="6"/>
  <c r="E25" i="6"/>
  <c r="D21" i="6"/>
  <c r="D22" i="6"/>
  <c r="D23" i="6"/>
  <c r="D24" i="6"/>
  <c r="D25" i="6"/>
  <c r="D20" i="6"/>
  <c r="E20" i="6"/>
  <c r="F20" i="6"/>
  <c r="G20" i="6"/>
  <c r="H20" i="6"/>
  <c r="I20" i="6"/>
  <c r="I26" i="6" s="1"/>
  <c r="J20" i="6"/>
  <c r="J26" i="6" s="1"/>
  <c r="C23" i="6"/>
  <c r="C26" i="6" s="1"/>
  <c r="C24" i="6"/>
  <c r="C25" i="6"/>
  <c r="M23" i="20" l="1"/>
  <c r="L25" i="20"/>
  <c r="M25" i="20"/>
  <c r="M21" i="20"/>
  <c r="M22" i="20"/>
  <c r="F21" i="18"/>
  <c r="C22" i="18"/>
  <c r="H23" i="18"/>
  <c r="F28" i="18"/>
  <c r="H24" i="18"/>
  <c r="D16" i="18"/>
  <c r="D28" i="18" s="1"/>
  <c r="J26" i="18"/>
  <c r="J25" i="18"/>
  <c r="F22" i="18"/>
  <c r="G22" i="18"/>
  <c r="G23" i="18"/>
  <c r="G24" i="18"/>
  <c r="G26" i="18"/>
  <c r="G25" i="18"/>
  <c r="G28" i="18"/>
  <c r="G21" i="18"/>
  <c r="E24" i="18"/>
  <c r="H21" i="18"/>
  <c r="E23" i="18"/>
  <c r="H22" i="18"/>
  <c r="J24" i="18"/>
  <c r="H28" i="18"/>
  <c r="I21" i="18"/>
  <c r="D25" i="18"/>
  <c r="E22" i="18"/>
  <c r="I26" i="18"/>
  <c r="J23" i="18"/>
  <c r="I28" i="18"/>
  <c r="J21" i="18"/>
  <c r="F26" i="18"/>
  <c r="I25" i="18"/>
  <c r="J22" i="18"/>
  <c r="C21" i="18"/>
  <c r="C26" i="18"/>
  <c r="F25" i="18"/>
  <c r="I24" i="18"/>
  <c r="C28" i="18"/>
  <c r="C25" i="18"/>
  <c r="F24" i="18"/>
  <c r="H26" i="18"/>
  <c r="I23" i="18"/>
  <c r="E25" i="18"/>
  <c r="E21" i="18"/>
  <c r="C24" i="18"/>
  <c r="E26" i="18"/>
  <c r="L24" i="20"/>
  <c r="L22" i="20"/>
  <c r="L21" i="20"/>
  <c r="L20" i="20"/>
  <c r="L23" i="20"/>
  <c r="M68" i="7"/>
  <c r="J25" i="7"/>
  <c r="D17" i="7"/>
  <c r="H30" i="7"/>
  <c r="D30" i="7"/>
  <c r="F26" i="13"/>
  <c r="F62" i="13" s="1"/>
  <c r="F56" i="13"/>
  <c r="H56" i="13"/>
  <c r="I26" i="13"/>
  <c r="I62" i="13" s="1"/>
  <c r="J26" i="13"/>
  <c r="J62" i="13" s="1"/>
  <c r="C26" i="13"/>
  <c r="C62" i="13" s="1"/>
  <c r="D26" i="13"/>
  <c r="D62" i="13" s="1"/>
  <c r="E26" i="13"/>
  <c r="E62" i="13" s="1"/>
  <c r="G26" i="13"/>
  <c r="G62" i="13" s="1"/>
  <c r="G30" i="7"/>
  <c r="E30" i="7"/>
  <c r="E17" i="7"/>
  <c r="G17" i="7"/>
  <c r="C62" i="6"/>
  <c r="D60" i="6"/>
  <c r="E60" i="6"/>
  <c r="F59" i="6"/>
  <c r="G58" i="6"/>
  <c r="H57" i="6"/>
  <c r="J56" i="6"/>
  <c r="F60" i="6"/>
  <c r="C61" i="6"/>
  <c r="D59" i="6"/>
  <c r="E59" i="6"/>
  <c r="F58" i="6"/>
  <c r="G57" i="6"/>
  <c r="I56" i="6"/>
  <c r="J62" i="6"/>
  <c r="C56" i="6"/>
  <c r="C60" i="6"/>
  <c r="D58" i="6"/>
  <c r="E58" i="6"/>
  <c r="F57" i="6"/>
  <c r="H56" i="6"/>
  <c r="I62" i="6"/>
  <c r="J61" i="6"/>
  <c r="C59" i="6"/>
  <c r="D57" i="6"/>
  <c r="E57" i="6"/>
  <c r="G56" i="6"/>
  <c r="H62" i="6"/>
  <c r="I61" i="6"/>
  <c r="J60" i="6"/>
  <c r="J59" i="6"/>
  <c r="C58" i="6"/>
  <c r="F56" i="6"/>
  <c r="E56" i="6"/>
  <c r="F62" i="6"/>
  <c r="G61" i="6"/>
  <c r="H60" i="6"/>
  <c r="I59" i="6"/>
  <c r="J58" i="6"/>
  <c r="J28" i="7"/>
  <c r="J26" i="7"/>
  <c r="C26" i="7"/>
  <c r="E26" i="7"/>
  <c r="J24" i="7"/>
  <c r="F25" i="7"/>
  <c r="C27" i="7"/>
  <c r="E25" i="7"/>
  <c r="C24" i="7"/>
  <c r="G24" i="7"/>
  <c r="G27" i="7"/>
  <c r="D27" i="7"/>
  <c r="D23" i="7"/>
  <c r="I25" i="7"/>
  <c r="C23" i="7"/>
  <c r="E28" i="7"/>
  <c r="F27" i="7"/>
  <c r="G26" i="7"/>
  <c r="H25" i="7"/>
  <c r="I24" i="7"/>
  <c r="F28" i="7"/>
  <c r="H26" i="7"/>
  <c r="C28" i="7"/>
  <c r="D28" i="7"/>
  <c r="E27" i="7"/>
  <c r="F26" i="7"/>
  <c r="G25" i="7"/>
  <c r="H24" i="7"/>
  <c r="J23" i="7"/>
  <c r="I23" i="7"/>
  <c r="D26" i="7"/>
  <c r="F24" i="7"/>
  <c r="H23" i="7"/>
  <c r="C25" i="7"/>
  <c r="D25" i="7"/>
  <c r="E24" i="7"/>
  <c r="G23" i="7"/>
  <c r="I28" i="7"/>
  <c r="J27" i="7"/>
  <c r="F23" i="7"/>
  <c r="H28" i="7"/>
  <c r="I27" i="7"/>
  <c r="D26" i="6"/>
  <c r="H26" i="6"/>
  <c r="J29" i="7" l="1"/>
  <c r="L24" i="7"/>
  <c r="L28" i="7"/>
  <c r="L27" i="7"/>
  <c r="L26" i="7"/>
  <c r="L25" i="7"/>
  <c r="K23" i="7"/>
  <c r="L23" i="7"/>
  <c r="C27" i="18"/>
  <c r="D21" i="18"/>
  <c r="D24" i="18"/>
  <c r="D23" i="18"/>
  <c r="K23" i="18" s="1"/>
  <c r="D22" i="18"/>
  <c r="K22" i="18" s="1"/>
  <c r="D26" i="18"/>
  <c r="K26" i="18"/>
  <c r="K21" i="18"/>
  <c r="K25" i="18"/>
  <c r="K25" i="7"/>
  <c r="K24" i="7"/>
  <c r="K27" i="7"/>
  <c r="K28" i="7"/>
  <c r="K26" i="7"/>
  <c r="G27" i="18"/>
  <c r="E27" i="18"/>
  <c r="H27" i="18"/>
  <c r="J27" i="18"/>
  <c r="F27" i="18"/>
  <c r="I27" i="18"/>
  <c r="G29" i="7"/>
  <c r="H29" i="7"/>
  <c r="C29" i="7"/>
  <c r="I29" i="7"/>
  <c r="D29" i="7"/>
  <c r="E29" i="7"/>
  <c r="F29" i="7"/>
  <c r="M26" i="7" l="1"/>
  <c r="D27" i="18"/>
  <c r="K27" i="18" s="1"/>
  <c r="K24" i="18"/>
  <c r="K29" i="7"/>
  <c r="M24" i="7" l="1"/>
  <c r="M27" i="7"/>
  <c r="M28" i="7"/>
  <c r="M29" i="7"/>
  <c r="M25" i="7"/>
  <c r="M23" i="7"/>
</calcChain>
</file>

<file path=xl/sharedStrings.xml><?xml version="1.0" encoding="utf-8"?>
<sst xmlns="http://schemas.openxmlformats.org/spreadsheetml/2006/main" count="565" uniqueCount="118">
  <si>
    <t>Parabolic Trough</t>
  </si>
  <si>
    <t>Nevada</t>
  </si>
  <si>
    <t>Clark</t>
  </si>
  <si>
    <t>Nevada Solar One</t>
  </si>
  <si>
    <t>Solar Tower</t>
  </si>
  <si>
    <t>Nye</t>
  </si>
  <si>
    <t>Crescent Dunes</t>
  </si>
  <si>
    <t>California</t>
  </si>
  <si>
    <t>Riverside</t>
  </si>
  <si>
    <t>Genesis</t>
  </si>
  <si>
    <t>San Bernardino</t>
  </si>
  <si>
    <t>Mojave Solar Project</t>
  </si>
  <si>
    <t>Arizona</t>
  </si>
  <si>
    <t>Maricopa</t>
  </si>
  <si>
    <t>External Roads</t>
  </si>
  <si>
    <t>Internal Roads</t>
  </si>
  <si>
    <t>Water Bodies</t>
  </si>
  <si>
    <t>Generator</t>
  </si>
  <si>
    <t xml:space="preserve">Operating Year </t>
  </si>
  <si>
    <t>Type</t>
  </si>
  <si>
    <t>State</t>
  </si>
  <si>
    <t>County</t>
  </si>
  <si>
    <t>Ivanpah (1-3)</t>
  </si>
  <si>
    <t>Substation</t>
  </si>
  <si>
    <t>Mirrors</t>
  </si>
  <si>
    <t>Project Site</t>
  </si>
  <si>
    <t>1986-88</t>
  </si>
  <si>
    <t>SEGS 1 (III,IV,V, VI, VII)</t>
  </si>
  <si>
    <t>SEGS 2 (VIII, IX)</t>
  </si>
  <si>
    <t>1989-90</t>
  </si>
  <si>
    <t>Solana Generating Station</t>
  </si>
  <si>
    <t>SEGS 1 (III-VII)</t>
  </si>
  <si>
    <t xml:space="preserve">Area in sq.m </t>
  </si>
  <si>
    <t>Carbon Stock Multiplied (kgC / m2 * m2)</t>
  </si>
  <si>
    <t>Net Generation for 30 years</t>
  </si>
  <si>
    <t>Net Generation in 2019</t>
  </si>
  <si>
    <t>Net Generation in 2017</t>
  </si>
  <si>
    <t>Net Generation in 2018</t>
  </si>
  <si>
    <t>Average Net Generation</t>
  </si>
  <si>
    <t>Name of Plant</t>
  </si>
  <si>
    <t>Carbon Loss (KgC / MWh)</t>
  </si>
  <si>
    <t>Warm Desert ecoregion- carbon stock per unit of area (kgC/m2) - USGS</t>
  </si>
  <si>
    <t>Schlesinger - Inorganic carbon (Min)</t>
  </si>
  <si>
    <t>Max</t>
  </si>
  <si>
    <t>In kgC / m2</t>
  </si>
  <si>
    <t>OC</t>
  </si>
  <si>
    <t>IC</t>
  </si>
  <si>
    <t>Organic carbon - Evans et al (Min)</t>
  </si>
  <si>
    <t>Avg. Net Generation (MWh)</t>
  </si>
  <si>
    <t>Scenario 1: Only organic carbon released</t>
  </si>
  <si>
    <t>Best Case Scenario</t>
  </si>
  <si>
    <t>Worst Case Scenario</t>
  </si>
  <si>
    <t xml:space="preserve">Low </t>
  </si>
  <si>
    <t>Organic carbon</t>
  </si>
  <si>
    <t>Baseline</t>
  </si>
  <si>
    <t xml:space="preserve">Organic carbon + inorganic carbon from only area disturbed </t>
  </si>
  <si>
    <t>High</t>
  </si>
  <si>
    <t>Organic carbon + all inorganic carbon</t>
  </si>
  <si>
    <t>Carbon loss: kgC / MWh</t>
  </si>
  <si>
    <t>Low Scenario: Only Organic Carbon</t>
  </si>
  <si>
    <t>Site</t>
  </si>
  <si>
    <t>Carbon Loss (kgC / MWh)</t>
  </si>
  <si>
    <t>Baseline Scenario: Organic carbon + some inorganic</t>
  </si>
  <si>
    <t>Percentage Difference</t>
  </si>
  <si>
    <t>High Scenario: Both Organic Carbon and Inorganic carbon</t>
  </si>
  <si>
    <t>Scenario 1</t>
  </si>
  <si>
    <t>Scenario 2</t>
  </si>
  <si>
    <t>Scenario 3</t>
  </si>
  <si>
    <t>Converting C to CO2</t>
  </si>
  <si>
    <t>Ratio of atomic mass</t>
  </si>
  <si>
    <t>Min</t>
  </si>
  <si>
    <t>Installed Capacity (MW)</t>
  </si>
  <si>
    <t>in W</t>
  </si>
  <si>
    <t>Average</t>
  </si>
  <si>
    <t>Average across all sites</t>
  </si>
  <si>
    <t>Element</t>
  </si>
  <si>
    <t>Solar Energy Generating System - SEGS 1 (Plants III,IV,V, VI, VII)</t>
  </si>
  <si>
    <t>Solar Energy Generating System - SEGS 2 (Plants VIII, IX)</t>
  </si>
  <si>
    <t>Genesis Solar Energy Project</t>
  </si>
  <si>
    <t>Crescent Dunes Solar Energy Project</t>
  </si>
  <si>
    <t>Ivanpah Solar Electric Generating System (Plants 1-3)</t>
  </si>
  <si>
    <t>Concentrated Solar Power Plants included in the study</t>
  </si>
  <si>
    <t>\</t>
  </si>
  <si>
    <t>Land Area Occupied (in sq. m)</t>
  </si>
  <si>
    <t>Land Area Occupied (in sq. m)*</t>
  </si>
  <si>
    <t>Project Site**</t>
  </si>
  <si>
    <t>Notes</t>
  </si>
  <si>
    <t>*Estimated using ArcMap</t>
  </si>
  <si>
    <t>Net Generation (in MWh)</t>
  </si>
  <si>
    <t>Lifetime Land Transformation (sq.m / MWh)</t>
  </si>
  <si>
    <t>Net Generation over 30 years (lifetime)</t>
  </si>
  <si>
    <t>Capacity</t>
  </si>
  <si>
    <t>Land-use Efficiency (W / m2)</t>
  </si>
  <si>
    <t>Carbon Stock released (in kgC)</t>
  </si>
  <si>
    <t>(Average kgC / m2 * m2)</t>
  </si>
  <si>
    <t>Carbon Stock (in kgC/m2)</t>
  </si>
  <si>
    <t>Organic carbon (from Evans et al)</t>
  </si>
  <si>
    <t>Inorganic carbon (from Schlesinger)</t>
  </si>
  <si>
    <t>Generator*</t>
  </si>
  <si>
    <t>Water Bodies*</t>
  </si>
  <si>
    <t>Substation*</t>
  </si>
  <si>
    <t>Scenario 2: Organic carbon released + inorganic carbon released from installation of certain elements*</t>
  </si>
  <si>
    <t>Scenario 3: All Inorganic carbon released in addition to all organic carbon</t>
  </si>
  <si>
    <t>Land-Use based CO2 Emissions (kgCO2 / MWh)</t>
  </si>
  <si>
    <t>Annual Land Transformation (sq.m / MWh)</t>
  </si>
  <si>
    <t>Life cycle impacts of land use on ecosystem services of concentrated solar power generation in the United States</t>
  </si>
  <si>
    <t>Supporting Information</t>
  </si>
  <si>
    <t xml:space="preserve">** Project site land area will be a bit bigger than sum of all the other elements because it also includes area between elements. It can therefore be taken as the overall land area occupied by the site. Project site area does not include area occupied by external roads. </t>
  </si>
  <si>
    <t>*</t>
  </si>
  <si>
    <t>m2/acre</t>
  </si>
  <si>
    <t xml:space="preserve">  </t>
  </si>
  <si>
    <t>Land Area Required for 1W (m2/W)</t>
  </si>
  <si>
    <t>Median across all sites</t>
  </si>
  <si>
    <t xml:space="preserve">Min </t>
  </si>
  <si>
    <t>lifetime assumption</t>
  </si>
  <si>
    <t>years</t>
  </si>
  <si>
    <t>MIN</t>
  </si>
  <si>
    <t>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</si>
</sst>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00"/>
  </numFmts>
  <fonts count="30" x14ac:knownFonts="1">
    <font>
      <sz val="10"/>
      <name val="Arial"/>
      <charset val="1"/>
    </font>
    <font>
      <sz val="11"/>
      <color theme="1"/>
      <name val="Calibri"/>
      <family val="2"/>
      <scheme val="minor"/>
    </font>
    <font>
      <sz val="10"/>
      <name val="Arial"/>
      <family val="2"/>
    </font>
    <font>
      <sz val="10"/>
      <color indexed="8"/>
      <name val="Arial"/>
      <family val="2"/>
    </font>
    <font>
      <b/>
      <sz val="10"/>
      <name val="Arial"/>
      <family val="2"/>
    </font>
    <font>
      <sz val="10"/>
      <name val="Arial"/>
      <family val="2"/>
    </font>
    <font>
      <b/>
      <sz val="10"/>
      <color indexed="8"/>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
      <sz val="10"/>
      <color indexed="8"/>
      <name val="Arial"/>
    </font>
    <font>
      <sz val="14"/>
      <name val="Arial"/>
      <family val="2"/>
    </font>
    <font>
      <b/>
      <sz val="14"/>
      <name val="Times New Roman"/>
      <family val="1"/>
    </font>
    <font>
      <b/>
      <sz val="14"/>
      <name val="Arial"/>
      <family val="2"/>
    </font>
    <font>
      <b/>
      <sz val="11"/>
      <color rgb="FF000000"/>
      <name val="Times New Roman"/>
      <family val="1"/>
    </font>
    <font>
      <sz val="11"/>
      <color rgb="FF000000"/>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rgb="FFED7D31"/>
        <bgColor indexed="64"/>
      </patternFill>
    </fill>
    <fill>
      <patternFill patternType="solid">
        <fgColor rgb="FFFFC000"/>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s>
  <cellStyleXfs count="46">
    <xf numFmtId="0" fontId="0"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22" fillId="4" borderId="0" applyNumberFormat="0" applyBorder="0" applyAlignment="0" applyProtection="0"/>
    <xf numFmtId="0" fontId="1" fillId="8" borderId="9" applyNumberFormat="0" applyFont="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 fillId="0" borderId="0"/>
    <xf numFmtId="0" fontId="23" fillId="0" borderId="0" applyNumberFormat="0" applyFill="0" applyBorder="0" applyAlignment="0" applyProtection="0"/>
  </cellStyleXfs>
  <cellXfs count="94">
    <xf numFmtId="0" fontId="0" fillId="0" borderId="0" xfId="0"/>
    <xf numFmtId="0" fontId="0" fillId="0" borderId="0" xfId="0" applyAlignment="1">
      <alignment horizontal="center"/>
    </xf>
    <xf numFmtId="0" fontId="4" fillId="0" borderId="0" xfId="0" applyFont="1" applyAlignment="1">
      <alignment horizontal="center"/>
    </xf>
    <xf numFmtId="0" fontId="0" fillId="0" borderId="0" xfId="0" applyFill="1"/>
    <xf numFmtId="164" fontId="0" fillId="0" borderId="0" xfId="0" applyNumberFormat="1" applyAlignment="1">
      <alignment horizontal="center"/>
    </xf>
    <xf numFmtId="164" fontId="5" fillId="0" borderId="0" xfId="0" applyNumberFormat="1" applyFont="1" applyAlignment="1">
      <alignment horizontal="center"/>
    </xf>
    <xf numFmtId="165" fontId="0" fillId="0" borderId="0" xfId="1" applyNumberFormat="1" applyFont="1" applyAlignment="1">
      <alignment horizontal="center"/>
    </xf>
    <xf numFmtId="165" fontId="0" fillId="0" borderId="0" xfId="0" applyNumberFormat="1" applyAlignment="1">
      <alignment horizontal="center"/>
    </xf>
    <xf numFmtId="0" fontId="2" fillId="0" borderId="0" xfId="0" applyFont="1" applyAlignment="1">
      <alignment horizontal="center"/>
    </xf>
    <xf numFmtId="0" fontId="6" fillId="0" borderId="0" xfId="0" applyNumberFormat="1" applyFont="1" applyFill="1" applyBorder="1" applyAlignment="1" applyProtection="1">
      <alignment horizontal="center" wrapText="1"/>
    </xf>
    <xf numFmtId="0" fontId="2" fillId="0" borderId="0" xfId="0" applyFont="1"/>
    <xf numFmtId="0" fontId="4" fillId="0" borderId="0" xfId="0" applyFont="1"/>
    <xf numFmtId="3" fontId="24" fillId="0" borderId="0" xfId="0" applyNumberFormat="1" applyFont="1" applyFill="1" applyBorder="1" applyAlignment="1" applyProtection="1">
      <alignment horizontal="right" wrapText="1"/>
    </xf>
    <xf numFmtId="164" fontId="4" fillId="0" borderId="0" xfId="0" applyNumberFormat="1" applyFont="1" applyAlignment="1">
      <alignment horizontal="center"/>
    </xf>
    <xf numFmtId="0" fontId="0" fillId="33" borderId="0" xfId="0" applyFill="1" applyAlignment="1">
      <alignment horizontal="center"/>
    </xf>
    <xf numFmtId="0" fontId="2" fillId="33" borderId="0" xfId="0" applyFont="1" applyFill="1" applyAlignment="1">
      <alignment horizontal="center"/>
    </xf>
    <xf numFmtId="0" fontId="2" fillId="0" borderId="0" xfId="0" applyFont="1" applyFill="1" applyAlignment="1">
      <alignment horizontal="center"/>
    </xf>
    <xf numFmtId="0" fontId="0" fillId="0" borderId="0" xfId="0" applyFill="1" applyAlignment="1">
      <alignment horizontal="center"/>
    </xf>
    <xf numFmtId="0" fontId="0" fillId="0" borderId="0" xfId="0" applyBorder="1"/>
    <xf numFmtId="0" fontId="2" fillId="0" borderId="0" xfId="0" applyFont="1" applyFill="1"/>
    <xf numFmtId="0" fontId="4"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164" fontId="0" fillId="0" borderId="1" xfId="0" applyNumberFormat="1" applyBorder="1" applyAlignment="1">
      <alignment horizontal="center"/>
    </xf>
    <xf numFmtId="0" fontId="3" fillId="0" borderId="1" xfId="0" applyNumberFormat="1" applyFont="1" applyFill="1" applyBorder="1" applyAlignment="1" applyProtection="1">
      <alignment horizontal="center" wrapText="1"/>
    </xf>
    <xf numFmtId="0" fontId="2" fillId="0" borderId="1" xfId="0" applyFont="1" applyFill="1" applyBorder="1" applyAlignment="1" applyProtection="1">
      <alignment horizontal="center"/>
    </xf>
    <xf numFmtId="9" fontId="0" fillId="0" borderId="0" xfId="1" applyFont="1" applyAlignment="1">
      <alignment horizontal="center"/>
    </xf>
    <xf numFmtId="9" fontId="0" fillId="0" borderId="0" xfId="1" applyFont="1" applyFill="1" applyAlignment="1">
      <alignment horizontal="center"/>
    </xf>
    <xf numFmtId="0" fontId="4" fillId="33" borderId="1" xfId="0" applyFont="1" applyFill="1" applyBorder="1"/>
    <xf numFmtId="0" fontId="0" fillId="34" borderId="0" xfId="0" applyFill="1"/>
    <xf numFmtId="0" fontId="25" fillId="34" borderId="0" xfId="0" applyFont="1" applyFill="1"/>
    <xf numFmtId="0" fontId="26" fillId="0" borderId="0" xfId="0" applyFont="1" applyAlignment="1">
      <alignment horizontal="center"/>
    </xf>
    <xf numFmtId="2" fontId="0" fillId="0" borderId="0" xfId="0" applyNumberFormat="1" applyAlignment="1">
      <alignment horizontal="center"/>
    </xf>
    <xf numFmtId="167" fontId="0" fillId="0" borderId="0" xfId="0" applyNumberFormat="1" applyAlignment="1">
      <alignment horizontal="center"/>
    </xf>
    <xf numFmtId="9" fontId="4" fillId="0" borderId="0" xfId="1" applyFont="1" applyAlignment="1">
      <alignment horizontal="center"/>
    </xf>
    <xf numFmtId="165" fontId="0" fillId="0" borderId="0" xfId="0" applyNumberFormat="1"/>
    <xf numFmtId="164" fontId="0" fillId="0" borderId="0" xfId="0" applyNumberFormat="1" applyFill="1" applyAlignment="1">
      <alignment horizontal="center"/>
    </xf>
    <xf numFmtId="10" fontId="0" fillId="0" borderId="0" xfId="1" applyNumberFormat="1" applyFont="1" applyFill="1" applyAlignment="1">
      <alignment horizontal="center"/>
    </xf>
    <xf numFmtId="9" fontId="0" fillId="0" borderId="0" xfId="0" applyNumberFormat="1"/>
    <xf numFmtId="164" fontId="0" fillId="0" borderId="0" xfId="0" applyNumberFormat="1"/>
    <xf numFmtId="0" fontId="4" fillId="0" borderId="0" xfId="0" applyFont="1" applyFill="1" applyAlignment="1">
      <alignment horizontal="center"/>
    </xf>
    <xf numFmtId="0" fontId="4" fillId="0" borderId="11" xfId="0" applyFont="1" applyBorder="1" applyAlignment="1">
      <alignment horizontal="center"/>
    </xf>
    <xf numFmtId="0" fontId="2" fillId="0" borderId="11" xfId="0" applyFont="1" applyBorder="1" applyAlignment="1">
      <alignment horizontal="center"/>
    </xf>
    <xf numFmtId="0" fontId="3" fillId="0" borderId="11" xfId="0" applyNumberFormat="1" applyFont="1" applyFill="1" applyBorder="1" applyAlignment="1" applyProtection="1">
      <alignment horizontal="center" wrapText="1"/>
    </xf>
    <xf numFmtId="0" fontId="4" fillId="0" borderId="12" xfId="0" applyFont="1" applyBorder="1" applyAlignment="1">
      <alignment horizontal="center"/>
    </xf>
    <xf numFmtId="0" fontId="0" fillId="0" borderId="12" xfId="0" applyBorder="1" applyAlignment="1">
      <alignment horizontal="center"/>
    </xf>
    <xf numFmtId="0" fontId="0" fillId="0" borderId="1" xfId="0" applyBorder="1"/>
    <xf numFmtId="164" fontId="0" fillId="0" borderId="1" xfId="0" applyNumberFormat="1" applyBorder="1"/>
    <xf numFmtId="0" fontId="2" fillId="0" borderId="0" xfId="0" applyFont="1" applyBorder="1"/>
    <xf numFmtId="164" fontId="0" fillId="0" borderId="0" xfId="0" applyNumberFormat="1" applyBorder="1"/>
    <xf numFmtId="164" fontId="5" fillId="0" borderId="0" xfId="0" applyNumberFormat="1" applyFont="1" applyFill="1" applyAlignment="1">
      <alignment horizontal="center"/>
    </xf>
    <xf numFmtId="0" fontId="2" fillId="0" borderId="0" xfId="0" applyFont="1" applyFill="1" applyAlignment="1"/>
    <xf numFmtId="0" fontId="2" fillId="0" borderId="1" xfId="0" applyFont="1" applyBorder="1" applyAlignment="1"/>
    <xf numFmtId="164" fontId="0" fillId="0" borderId="1" xfId="0" applyNumberFormat="1" applyBorder="1" applyAlignment="1"/>
    <xf numFmtId="164" fontId="5" fillId="0" borderId="1" xfId="0" applyNumberFormat="1" applyFont="1" applyBorder="1" applyAlignment="1"/>
    <xf numFmtId="0" fontId="3" fillId="0" borderId="1" xfId="0" applyNumberFormat="1" applyFont="1" applyFill="1" applyBorder="1" applyAlignment="1" applyProtection="1">
      <alignment wrapText="1"/>
    </xf>
    <xf numFmtId="0" fontId="4" fillId="0" borderId="1" xfId="0" applyFont="1" applyBorder="1"/>
    <xf numFmtId="164" fontId="24" fillId="0" borderId="1" xfId="0" applyNumberFormat="1" applyFont="1" applyFill="1" applyBorder="1" applyAlignment="1" applyProtection="1">
      <alignment horizontal="center" wrapText="1"/>
    </xf>
    <xf numFmtId="164" fontId="0" fillId="33" borderId="1" xfId="0" applyNumberFormat="1" applyFill="1" applyBorder="1" applyAlignment="1">
      <alignment horizontal="center"/>
    </xf>
    <xf numFmtId="1" fontId="0" fillId="0" borderId="1" xfId="0" applyNumberFormat="1" applyBorder="1" applyAlignment="1">
      <alignment horizontal="center"/>
    </xf>
    <xf numFmtId="0" fontId="2" fillId="33" borderId="1" xfId="0" applyFont="1" applyFill="1" applyBorder="1" applyAlignment="1">
      <alignment horizontal="center"/>
    </xf>
    <xf numFmtId="0" fontId="0" fillId="33" borderId="1" xfId="0" applyFill="1" applyBorder="1" applyAlignment="1">
      <alignment horizontal="center"/>
    </xf>
    <xf numFmtId="0" fontId="0" fillId="0" borderId="1" xfId="0" applyFill="1" applyBorder="1" applyAlignment="1">
      <alignment horizontal="center"/>
    </xf>
    <xf numFmtId="0" fontId="2" fillId="0" borderId="1" xfId="0" applyFont="1" applyFill="1" applyBorder="1" applyAlignment="1">
      <alignment horizontal="center"/>
    </xf>
    <xf numFmtId="2" fontId="0" fillId="0" borderId="1" xfId="0" applyNumberFormat="1" applyBorder="1" applyAlignment="1">
      <alignment horizontal="center"/>
    </xf>
    <xf numFmtId="0" fontId="0" fillId="0" borderId="0" xfId="0" applyFill="1" applyBorder="1" applyAlignment="1">
      <alignment horizontal="center"/>
    </xf>
    <xf numFmtId="0" fontId="0" fillId="35" borderId="0" xfId="0" applyFill="1"/>
    <xf numFmtId="0" fontId="4" fillId="35" borderId="0" xfId="0" applyFont="1" applyFill="1"/>
    <xf numFmtId="164" fontId="4" fillId="0" borderId="1" xfId="0" applyNumberFormat="1" applyFont="1" applyBorder="1" applyAlignment="1">
      <alignment horizontal="center"/>
    </xf>
    <xf numFmtId="166" fontId="0" fillId="0" borderId="1" xfId="0" applyNumberFormat="1" applyBorder="1" applyAlignment="1">
      <alignment horizontal="center"/>
    </xf>
    <xf numFmtId="166" fontId="4" fillId="0" borderId="1" xfId="0" applyNumberFormat="1" applyFont="1" applyBorder="1" applyAlignment="1">
      <alignment horizontal="center"/>
    </xf>
    <xf numFmtId="167" fontId="0" fillId="0" borderId="1" xfId="0" applyNumberFormat="1" applyBorder="1" applyAlignment="1">
      <alignment horizontal="center"/>
    </xf>
    <xf numFmtId="0" fontId="4" fillId="33" borderId="1" xfId="0" applyFont="1" applyFill="1" applyBorder="1" applyAlignment="1">
      <alignment horizontal="center"/>
    </xf>
    <xf numFmtId="167" fontId="4" fillId="0" borderId="1" xfId="0" applyNumberFormat="1" applyFont="1" applyBorder="1" applyAlignment="1">
      <alignment horizontal="center"/>
    </xf>
    <xf numFmtId="0" fontId="4" fillId="0" borderId="0" xfId="0" applyFont="1" applyBorder="1" applyAlignment="1">
      <alignment horizontal="center"/>
    </xf>
    <xf numFmtId="164" fontId="0" fillId="33" borderId="1" xfId="0" applyNumberFormat="1" applyFill="1" applyBorder="1"/>
    <xf numFmtId="2" fontId="0" fillId="33" borderId="1" xfId="0" applyNumberFormat="1" applyFill="1" applyBorder="1" applyAlignment="1">
      <alignment horizontal="center"/>
    </xf>
    <xf numFmtId="0" fontId="27" fillId="0" borderId="0" xfId="0" applyFont="1" applyAlignment="1">
      <alignment horizontal="center" vertical="center"/>
    </xf>
    <xf numFmtId="0" fontId="28" fillId="36" borderId="16" xfId="0" applyFont="1" applyFill="1" applyBorder="1" applyAlignment="1">
      <alignment vertical="center" wrapText="1"/>
    </xf>
    <xf numFmtId="0" fontId="29" fillId="37" borderId="17" xfId="0" applyFont="1" applyFill="1" applyBorder="1" applyAlignment="1">
      <alignment vertical="center" wrapText="1"/>
    </xf>
    <xf numFmtId="0" fontId="29" fillId="36" borderId="18" xfId="0" applyFont="1" applyFill="1" applyBorder="1" applyAlignment="1">
      <alignment vertical="center" wrapText="1"/>
    </xf>
    <xf numFmtId="0" fontId="29" fillId="37" borderId="18" xfId="0" applyFont="1" applyFill="1" applyBorder="1" applyAlignment="1">
      <alignment vertical="center" wrapText="1"/>
    </xf>
    <xf numFmtId="10" fontId="0" fillId="0" borderId="0" xfId="0" applyNumberFormat="1"/>
    <xf numFmtId="164" fontId="0" fillId="0" borderId="0" xfId="0" applyNumberFormat="1" applyBorder="1" applyAlignment="1"/>
    <xf numFmtId="0" fontId="4" fillId="0" borderId="0" xfId="0" applyFont="1" applyFill="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1" xfId="0" applyFont="1" applyBorder="1" applyAlignment="1">
      <alignment horizontal="center"/>
    </xf>
    <xf numFmtId="0" fontId="4" fillId="0" borderId="15" xfId="0" applyFont="1" applyBorder="1" applyAlignment="1">
      <alignment horizontal="center"/>
    </xf>
    <xf numFmtId="0" fontId="4" fillId="0" borderId="0" xfId="0" applyFont="1" applyFill="1" applyBorder="1" applyAlignment="1">
      <alignment horizontal="center"/>
    </xf>
    <xf numFmtId="0" fontId="4" fillId="0" borderId="0" xfId="0" applyFont="1" applyBorder="1" applyAlignment="1">
      <alignment horizontal="center"/>
    </xf>
    <xf numFmtId="0" fontId="2" fillId="0" borderId="0" xfId="0" applyFont="1" applyAlignment="1">
      <alignment horizontal="center"/>
    </xf>
    <xf numFmtId="164" fontId="4" fillId="0" borderId="15" xfId="0" applyNumberFormat="1" applyFont="1" applyBorder="1" applyAlignment="1">
      <alignment horizontal="center"/>
    </xf>
  </cellXfs>
  <cellStyles count="46">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8" xr:uid="{32FF9EC3-A5BC-4AF7-9093-A38E342DA56C}"/>
    <cellStyle name="60% - Accent2 2" xfId="39" xr:uid="{B821C06B-D64D-430A-B7B9-2BF3AD90EEC6}"/>
    <cellStyle name="60% - Accent3 2" xfId="40" xr:uid="{A8221FB2-CE50-4038-9B7F-3D6ACB15E575}"/>
    <cellStyle name="60% - Accent4 2" xfId="41" xr:uid="{0300DEAE-0817-4D60-BF2C-8E2ADC143145}"/>
    <cellStyle name="60% - Accent5 2" xfId="42" xr:uid="{359F670B-0035-4D21-A34D-3E43D64CBDDC}"/>
    <cellStyle name="60% - Accent6 2" xfId="43" xr:uid="{25F0ED1D-B2E6-4AE3-B9D1-9E7451D42E0D}"/>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E69DE56D-B6BA-4019-9D80-F97475AE11F7}"/>
    <cellStyle name="Input" xfId="9" builtinId="20" customBuiltin="1"/>
    <cellStyle name="Linked Cell" xfId="12" builtinId="24" customBuiltin="1"/>
    <cellStyle name="Neutral 2" xfId="36" xr:uid="{2F6DCC69-7649-4F4D-A488-FDAB371109FF}"/>
    <cellStyle name="Normal" xfId="0" builtinId="0"/>
    <cellStyle name="Normal 2" xfId="44" xr:uid="{87FF7F00-724E-421E-B663-5DDB26C9BDD2}"/>
    <cellStyle name="Normal 3" xfId="35" xr:uid="{DFD252E6-9F87-49B8-AE7B-6A42F0C9A32A}"/>
    <cellStyle name="Note 2" xfId="37" xr:uid="{34CD17E1-F06A-497D-B6F1-AB992D65F0D7}"/>
    <cellStyle name="Output" xfId="10" builtinId="21" customBuiltin="1"/>
    <cellStyle name="Percent" xfId="1" builtinId="5"/>
    <cellStyle name="Title" xfId="2" builtinId="15" customBuiltin="1"/>
    <cellStyle name="Total" xfId="16" builtinId="25" customBuiltin="1"/>
    <cellStyle name="Warning Text" xfId="14" builtinId="11" customBuiltin="1"/>
  </cellStyles>
  <dxfs count="0"/>
  <tableStyles count="0" defaultTableStyle="TableStyleMedium2" defaultPivotStyle="PivotStyleLight16"/>
  <colors>
    <mruColors>
      <color rgb="FFCC0000"/>
      <color rgb="FFFF3300"/>
      <color rgb="FF800080"/>
      <color rgb="FF990099"/>
      <color rgb="FFFF3399"/>
      <color rgb="FFD60093"/>
      <color rgb="FFCC3399"/>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'Inventory - Land Area Occupied'!$C$22</c:f>
              <c:strCache>
                <c:ptCount val="1"/>
              </c:strCache>
            </c:strRef>
          </c:tx>
          <c:spPr>
            <a:solidFill>
              <a:srgbClr val="800080"/>
            </a:solidFill>
            <a:ln>
              <a:noFill/>
            </a:ln>
            <a:effectLst/>
          </c:spPr>
          <c:invertIfNegative val="0"/>
          <c:cat>
            <c:numRef>
              <c:f>'Inventory - Land Area Occupied'!$D$21:$L$21</c:f>
              <c:numCache>
                <c:formatCode>General</c:formatCode>
                <c:ptCount val="9"/>
              </c:numCache>
            </c:numRef>
          </c:cat>
          <c:val>
            <c:numRef>
              <c:f>'Inventory - Land Area Occupied'!$D$22:$M$22</c:f>
              <c:numCache>
                <c:formatCode>0.0</c:formatCode>
                <c:ptCount val="10"/>
              </c:numCache>
            </c:numRef>
          </c:val>
          <c:extLst>
            <c:ext xmlns:c16="http://schemas.microsoft.com/office/drawing/2014/chart" uri="{C3380CC4-5D6E-409C-BE32-E72D297353CC}">
              <c16:uniqueId val="{00000000-50DD-4DA0-A189-08D708F48F3D}"/>
            </c:ext>
          </c:extLst>
        </c:ser>
        <c:ser>
          <c:idx val="1"/>
          <c:order val="1"/>
          <c:tx>
            <c:strRef>
              <c:f>'Inventory - Land Area Occupied'!$C$23</c:f>
              <c:strCache>
                <c:ptCount val="1"/>
              </c:strCache>
            </c:strRef>
          </c:tx>
          <c:spPr>
            <a:solidFill>
              <a:schemeClr val="accent2"/>
            </a:solidFill>
            <a:ln>
              <a:noFill/>
            </a:ln>
            <a:effectLst/>
          </c:spPr>
          <c:invertIfNegative val="0"/>
          <c:cat>
            <c:numRef>
              <c:f>'Inventory - Land Area Occupied'!$D$21:$L$21</c:f>
              <c:numCache>
                <c:formatCode>General</c:formatCode>
                <c:ptCount val="9"/>
              </c:numCache>
            </c:numRef>
          </c:cat>
          <c:val>
            <c:numRef>
              <c:f>'Inventory - Land Area Occupied'!$D$23:$M$23</c:f>
              <c:numCache>
                <c:formatCode>0.0</c:formatCode>
                <c:ptCount val="10"/>
              </c:numCache>
            </c:numRef>
          </c:val>
          <c:extLst>
            <c:ext xmlns:c16="http://schemas.microsoft.com/office/drawing/2014/chart" uri="{C3380CC4-5D6E-409C-BE32-E72D297353CC}">
              <c16:uniqueId val="{00000001-50DD-4DA0-A189-08D708F48F3D}"/>
            </c:ext>
          </c:extLst>
        </c:ser>
        <c:ser>
          <c:idx val="2"/>
          <c:order val="2"/>
          <c:tx>
            <c:strRef>
              <c:f>'Inventory - Land Area Occupied'!$C$24</c:f>
              <c:strCache>
                <c:ptCount val="1"/>
              </c:strCache>
            </c:strRef>
          </c:tx>
          <c:spPr>
            <a:solidFill>
              <a:schemeClr val="accent3"/>
            </a:solidFill>
            <a:ln>
              <a:noFill/>
            </a:ln>
            <a:effectLst/>
          </c:spPr>
          <c:invertIfNegative val="0"/>
          <c:cat>
            <c:numRef>
              <c:f>'Inventory - Land Area Occupied'!$D$21:$L$21</c:f>
              <c:numCache>
                <c:formatCode>General</c:formatCode>
                <c:ptCount val="9"/>
              </c:numCache>
            </c:numRef>
          </c:cat>
          <c:val>
            <c:numRef>
              <c:f>'Inventory - Land Area Occupied'!$D$24:$M$24</c:f>
              <c:numCache>
                <c:formatCode>0.0</c:formatCode>
                <c:ptCount val="10"/>
              </c:numCache>
            </c:numRef>
          </c:val>
          <c:extLst>
            <c:ext xmlns:c16="http://schemas.microsoft.com/office/drawing/2014/chart" uri="{C3380CC4-5D6E-409C-BE32-E72D297353CC}">
              <c16:uniqueId val="{00000002-50DD-4DA0-A189-08D708F48F3D}"/>
            </c:ext>
          </c:extLst>
        </c:ser>
        <c:ser>
          <c:idx val="3"/>
          <c:order val="3"/>
          <c:tx>
            <c:strRef>
              <c:f>'Inventory - Land Area Occupied'!$C$25</c:f>
              <c:strCache>
                <c:ptCount val="1"/>
              </c:strCache>
            </c:strRef>
          </c:tx>
          <c:spPr>
            <a:solidFill>
              <a:schemeClr val="accent4"/>
            </a:solidFill>
            <a:ln>
              <a:noFill/>
            </a:ln>
            <a:effectLst/>
          </c:spPr>
          <c:invertIfNegative val="0"/>
          <c:cat>
            <c:numRef>
              <c:f>'Inventory - Land Area Occupied'!$D$21:$L$21</c:f>
              <c:numCache>
                <c:formatCode>General</c:formatCode>
                <c:ptCount val="9"/>
              </c:numCache>
            </c:numRef>
          </c:cat>
          <c:val>
            <c:numRef>
              <c:f>'Inventory - Land Area Occupied'!$D$25:$M$25</c:f>
              <c:numCache>
                <c:formatCode>0.0</c:formatCode>
                <c:ptCount val="10"/>
              </c:numCache>
            </c:numRef>
          </c:val>
          <c:extLst>
            <c:ext xmlns:c16="http://schemas.microsoft.com/office/drawing/2014/chart" uri="{C3380CC4-5D6E-409C-BE32-E72D297353CC}">
              <c16:uniqueId val="{00000003-50DD-4DA0-A189-08D708F48F3D}"/>
            </c:ext>
          </c:extLst>
        </c:ser>
        <c:ser>
          <c:idx val="4"/>
          <c:order val="4"/>
          <c:tx>
            <c:strRef>
              <c:f>'Inventory - Land Area Occupied'!$C$26</c:f>
              <c:strCache>
                <c:ptCount val="1"/>
              </c:strCache>
            </c:strRef>
          </c:tx>
          <c:spPr>
            <a:solidFill>
              <a:schemeClr val="accent5"/>
            </a:solidFill>
            <a:ln>
              <a:noFill/>
            </a:ln>
            <a:effectLst/>
          </c:spPr>
          <c:invertIfNegative val="0"/>
          <c:cat>
            <c:numRef>
              <c:f>'Inventory - Land Area Occupied'!$D$21:$L$21</c:f>
              <c:numCache>
                <c:formatCode>General</c:formatCode>
                <c:ptCount val="9"/>
              </c:numCache>
            </c:numRef>
          </c:cat>
          <c:val>
            <c:numRef>
              <c:f>'Inventory - Land Area Occupied'!$D$26:$M$26</c:f>
              <c:numCache>
                <c:formatCode>0.0</c:formatCode>
                <c:ptCount val="10"/>
              </c:numCache>
            </c:numRef>
          </c:val>
          <c:extLst>
            <c:ext xmlns:c16="http://schemas.microsoft.com/office/drawing/2014/chart" uri="{C3380CC4-5D6E-409C-BE32-E72D297353CC}">
              <c16:uniqueId val="{00000004-50DD-4DA0-A189-08D708F48F3D}"/>
            </c:ext>
          </c:extLst>
        </c:ser>
        <c:ser>
          <c:idx val="5"/>
          <c:order val="5"/>
          <c:tx>
            <c:strRef>
              <c:f>'Inventory - Land Area Occupied'!$C$27</c:f>
              <c:strCache>
                <c:ptCount val="1"/>
              </c:strCache>
            </c:strRef>
          </c:tx>
          <c:spPr>
            <a:solidFill>
              <a:schemeClr val="accent6"/>
            </a:solidFill>
            <a:ln>
              <a:noFill/>
            </a:ln>
            <a:effectLst/>
          </c:spPr>
          <c:invertIfNegative val="0"/>
          <c:cat>
            <c:numRef>
              <c:f>'Inventory - Land Area Occupied'!$D$21:$L$21</c:f>
              <c:numCache>
                <c:formatCode>General</c:formatCode>
                <c:ptCount val="9"/>
              </c:numCache>
            </c:numRef>
          </c:cat>
          <c:val>
            <c:numRef>
              <c:f>'Inventory - Land Area Occupied'!$D$27:$M$27</c:f>
              <c:numCache>
                <c:formatCode>0.0</c:formatCode>
                <c:ptCount val="10"/>
              </c:numCache>
            </c:numRef>
          </c:val>
          <c:extLst>
            <c:ext xmlns:c16="http://schemas.microsoft.com/office/drawing/2014/chart" uri="{C3380CC4-5D6E-409C-BE32-E72D297353CC}">
              <c16:uniqueId val="{00000005-50DD-4DA0-A189-08D708F48F3D}"/>
            </c:ext>
          </c:extLst>
        </c:ser>
        <c:dLbls>
          <c:showLegendKey val="0"/>
          <c:showVal val="0"/>
          <c:showCatName val="0"/>
          <c:showSerName val="0"/>
          <c:showPercent val="0"/>
          <c:showBubbleSize val="0"/>
        </c:dLbls>
        <c:gapWidth val="150"/>
        <c:overlap val="100"/>
        <c:axId val="458750095"/>
        <c:axId val="2038150927"/>
        <c:extLst>
          <c:ext xmlns:c15="http://schemas.microsoft.com/office/drawing/2012/chart" uri="{02D57815-91ED-43cb-92C2-25804820EDAC}">
            <c15:filteredBarSeries>
              <c15:ser>
                <c:idx val="6"/>
                <c:order val="6"/>
                <c:tx>
                  <c:strRef>
                    <c:extLst>
                      <c:ext uri="{02D57815-91ED-43cb-92C2-25804820EDAC}">
                        <c15:formulaRef>
                          <c15:sqref>'Inventory - Land Area Occupied'!$C$29</c15:sqref>
                        </c15:formulaRef>
                      </c:ext>
                    </c:extLst>
                    <c:strCache>
                      <c:ptCount val="1"/>
                    </c:strCache>
                  </c:strRef>
                </c:tx>
                <c:spPr>
                  <a:solidFill>
                    <a:schemeClr val="accent1">
                      <a:lumMod val="60000"/>
                    </a:schemeClr>
                  </a:solidFill>
                  <a:ln>
                    <a:noFill/>
                  </a:ln>
                  <a:effectLst/>
                </c:spPr>
                <c:invertIfNegative val="0"/>
                <c:cat>
                  <c:numRef>
                    <c:extLst>
                      <c:ext uri="{02D57815-91ED-43cb-92C2-25804820EDAC}">
                        <c15:formulaRef>
                          <c15:sqref>'Inventory - Land Area Occupied'!$D$21:$L$21</c15:sqref>
                        </c15:formulaRef>
                      </c:ext>
                    </c:extLst>
                    <c:numCache>
                      <c:formatCode>General</c:formatCode>
                      <c:ptCount val="9"/>
                    </c:numCache>
                  </c:numRef>
                </c:cat>
                <c:val>
                  <c:numRef>
                    <c:extLst>
                      <c:ext uri="{02D57815-91ED-43cb-92C2-25804820EDAC}">
                        <c15:formulaRef>
                          <c15:sqref>'Inventory - Land Area Occupied'!$D$29:$L$29</c15:sqref>
                        </c15:formulaRef>
                      </c:ext>
                    </c:extLst>
                    <c:numCache>
                      <c:formatCode>0.0</c:formatCode>
                      <c:ptCount val="9"/>
                    </c:numCache>
                  </c:numRef>
                </c:val>
                <c:extLst>
                  <c:ext xmlns:c16="http://schemas.microsoft.com/office/drawing/2014/chart" uri="{C3380CC4-5D6E-409C-BE32-E72D297353CC}">
                    <c16:uniqueId val="{00000006-50DD-4DA0-A189-08D708F48F3D}"/>
                  </c:ext>
                </c:extLst>
              </c15:ser>
            </c15:filteredBarSeries>
          </c:ext>
        </c:extLst>
      </c:barChart>
      <c:catAx>
        <c:axId val="458750095"/>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1"/>
                  <a:t>Site</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8150927"/>
        <c:crosses val="autoZero"/>
        <c:auto val="1"/>
        <c:lblAlgn val="ctr"/>
        <c:lblOffset val="100"/>
        <c:noMultiLvlLbl val="0"/>
      </c:catAx>
      <c:valAx>
        <c:axId val="2038150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1"/>
                  <a:t>Area</a:t>
                </a:r>
                <a:r>
                  <a:rPr lang="en-US" sz="1800" b="1" baseline="0"/>
                  <a:t> in sq.km</a:t>
                </a:r>
                <a:endParaRPr lang="en-US" sz="1800" b="1"/>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750095"/>
        <c:crosses val="autoZero"/>
        <c:crossBetween val="between"/>
      </c:valAx>
      <c:spPr>
        <a:noFill/>
        <a:ln>
          <a:noFill/>
        </a:ln>
        <a:effectLst/>
      </c:spPr>
    </c:plotArea>
    <c:legend>
      <c:legendPos val="b"/>
      <c:layout>
        <c:manualLayout>
          <c:xMode val="edge"/>
          <c:yMode val="edge"/>
          <c:x val="0.2320566959889587"/>
          <c:y val="0.92062111787884249"/>
          <c:w val="0.64185516284148691"/>
          <c:h val="6.2155131161091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'Land-Use Efficiency'!$D$19:$L$19</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'Land-Use Efficiency'!$D$26:$L$26</c:f>
              <c:numCache>
                <c:formatCode>0.00</c:formatCode>
                <c:ptCount val="9"/>
                <c:pt idx="0">
                  <c:v>32.695281821406653</c:v>
                </c:pt>
                <c:pt idx="1">
                  <c:v>43.314486763484332</c:v>
                </c:pt>
                <c:pt idx="2">
                  <c:v>43.101126016917192</c:v>
                </c:pt>
                <c:pt idx="3">
                  <c:v>39.152406334859343</c:v>
                </c:pt>
                <c:pt idx="4">
                  <c:v>29.312379003691859</c:v>
                </c:pt>
                <c:pt idx="5">
                  <c:v>36.963056164624582</c:v>
                </c:pt>
                <c:pt idx="6">
                  <c:v>11.373769358155448</c:v>
                </c:pt>
                <c:pt idx="7">
                  <c:v>47.926862468265071</c:v>
                </c:pt>
                <c:pt idx="8">
                  <c:v>35.479920991425558</c:v>
                </c:pt>
              </c:numCache>
            </c:numRef>
          </c:val>
          <c:extLst>
            <c:ext xmlns:c16="http://schemas.microsoft.com/office/drawing/2014/chart" uri="{C3380CC4-5D6E-409C-BE32-E72D297353CC}">
              <c16:uniqueId val="{00000000-5B31-4C91-8DFB-6036CAEEF58F}"/>
            </c:ext>
          </c:extLst>
        </c:ser>
        <c:dLbls>
          <c:showLegendKey val="0"/>
          <c:showVal val="0"/>
          <c:showCatName val="0"/>
          <c:showSerName val="0"/>
          <c:showPercent val="0"/>
          <c:showBubbleSize val="0"/>
        </c:dLbls>
        <c:gapWidth val="150"/>
        <c:axId val="1719989935"/>
        <c:axId val="1719983279"/>
      </c:barChart>
      <c:catAx>
        <c:axId val="1719989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9983279"/>
        <c:crosses val="autoZero"/>
        <c:auto val="1"/>
        <c:lblAlgn val="ctr"/>
        <c:lblOffset val="100"/>
        <c:noMultiLvlLbl val="0"/>
      </c:catAx>
      <c:valAx>
        <c:axId val="17199832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Land-use Efficiency in Watts per square meter (W/m</a:t>
                </a:r>
                <a:r>
                  <a:rPr lang="en-US" sz="1000" b="1" i="0" u="none" strike="noStrike" baseline="30000">
                    <a:effectLst/>
                  </a:rPr>
                  <a:t>2</a:t>
                </a:r>
                <a:r>
                  <a:rPr lang="en-US" sz="1000" b="1" i="0" u="none" strike="noStrike" baseline="0">
                    <a:effectLst/>
                  </a:rPr>
                  <a: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9989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Stock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'Impact Assessment - Carbon Loss'!$B$20</c:f>
              <c:strCache>
                <c:ptCount val="1"/>
                <c:pt idx="0">
                  <c:v>Mirrors</c:v>
                </c:pt>
              </c:strCache>
            </c:strRef>
          </c:tx>
          <c:spPr>
            <a:solidFill>
              <a:schemeClr val="accent1"/>
            </a:solidFill>
            <a:ln>
              <a:noFill/>
            </a:ln>
            <a:effectLst/>
          </c:spPr>
          <c:invertIfNegative val="0"/>
          <c:cat>
            <c:strRef>
              <c:f>'Impact Assessment - Carbon Loss'!$C$19:$J$19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Loss'!$C$20:$J$20</c:f>
              <c:numCache>
                <c:formatCode>0.0</c:formatCode>
                <c:ptCount val="8"/>
                <c:pt idx="0">
                  <c:v>46989920.700000003</c:v>
                </c:pt>
                <c:pt idx="1">
                  <c:v>20986369.800000001</c:v>
                </c:pt>
                <c:pt idx="2">
                  <c:v>20639222.699999999</c:v>
                </c:pt>
                <c:pt idx="3">
                  <c:v>33336841.600000001</c:v>
                </c:pt>
                <c:pt idx="4">
                  <c:v>82402116.089062497</c:v>
                </c:pt>
                <c:pt idx="5">
                  <c:v>32700757</c:v>
                </c:pt>
                <c:pt idx="6">
                  <c:v>66505138</c:v>
                </c:pt>
                <c:pt idx="7">
                  <c:v>7789044.7999999998</c:v>
                </c:pt>
              </c:numCache>
            </c:numRef>
          </c:val>
          <c:extLst>
            <c:ext xmlns:c16="http://schemas.microsoft.com/office/drawing/2014/chart" uri="{C3380CC4-5D6E-409C-BE32-E72D297353CC}">
              <c16:uniqueId val="{00000000-9584-4836-9474-C12DD5F052F8}"/>
            </c:ext>
          </c:extLst>
        </c:ser>
        <c:ser>
          <c:idx val="1"/>
          <c:order val="1"/>
          <c:tx>
            <c:strRef>
              <c:f>'Impact Assessment - Carbon Loss'!$B$21</c:f>
              <c:strCache>
                <c:ptCount val="1"/>
                <c:pt idx="0">
                  <c:v>Generator</c:v>
                </c:pt>
              </c:strCache>
            </c:strRef>
          </c:tx>
          <c:spPr>
            <a:solidFill>
              <a:schemeClr val="accent2"/>
            </a:solidFill>
            <a:ln>
              <a:noFill/>
            </a:ln>
            <a:effectLst/>
          </c:spPr>
          <c:invertIfNegative val="0"/>
          <c:cat>
            <c:strRef>
              <c:f>'Impact Assessment - Carbon Loss'!$C$19:$J$19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Loss'!$C$21:$J$21</c:f>
              <c:numCache>
                <c:formatCode>0.0</c:formatCode>
                <c:ptCount val="8"/>
                <c:pt idx="0">
                  <c:v>1432618.2506969001</c:v>
                </c:pt>
                <c:pt idx="1">
                  <c:v>635195.49560840009</c:v>
                </c:pt>
                <c:pt idx="2">
                  <c:v>311410.63476730004</c:v>
                </c:pt>
                <c:pt idx="3">
                  <c:v>718818.22831779998</c:v>
                </c:pt>
                <c:pt idx="4">
                  <c:v>478860.38476730004</c:v>
                </c:pt>
                <c:pt idx="5">
                  <c:v>521745.30307649996</c:v>
                </c:pt>
                <c:pt idx="6">
                  <c:v>484774.48</c:v>
                </c:pt>
                <c:pt idx="7">
                  <c:v>267954.43476730003</c:v>
                </c:pt>
              </c:numCache>
            </c:numRef>
          </c:val>
          <c:extLst>
            <c:ext xmlns:c16="http://schemas.microsoft.com/office/drawing/2014/chart" uri="{C3380CC4-5D6E-409C-BE32-E72D297353CC}">
              <c16:uniqueId val="{00000001-9584-4836-9474-C12DD5F052F8}"/>
            </c:ext>
          </c:extLst>
        </c:ser>
        <c:ser>
          <c:idx val="2"/>
          <c:order val="2"/>
          <c:tx>
            <c:strRef>
              <c:f>'Impact Assessment - Carbon Loss'!$B$22</c:f>
              <c:strCache>
                <c:ptCount val="1"/>
                <c:pt idx="0">
                  <c:v>Water Bodies</c:v>
                </c:pt>
              </c:strCache>
            </c:strRef>
          </c:tx>
          <c:spPr>
            <a:solidFill>
              <a:schemeClr val="accent3"/>
            </a:solidFill>
            <a:ln>
              <a:noFill/>
            </a:ln>
            <a:effectLst/>
          </c:spPr>
          <c:invertIfNegative val="0"/>
          <c:cat>
            <c:strRef>
              <c:f>'Impact Assessment - Carbon Loss'!$C$19:$J$19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Loss'!$C$22:$J$22</c:f>
              <c:numCache>
                <c:formatCode>0.0</c:formatCode>
                <c:ptCount val="8"/>
                <c:pt idx="0">
                  <c:v>1350222.1847673</c:v>
                </c:pt>
                <c:pt idx="1">
                  <c:v>902504.08047210006</c:v>
                </c:pt>
                <c:pt idx="2">
                  <c:v>875026.70000000007</c:v>
                </c:pt>
                <c:pt idx="3">
                  <c:v>641089.5</c:v>
                </c:pt>
                <c:pt idx="4">
                  <c:v>0</c:v>
                </c:pt>
                <c:pt idx="5">
                  <c:v>214442.88261969999</c:v>
                </c:pt>
                <c:pt idx="6">
                  <c:v>1635892.1</c:v>
                </c:pt>
                <c:pt idx="7">
                  <c:v>283367.78476730001</c:v>
                </c:pt>
              </c:numCache>
            </c:numRef>
          </c:val>
          <c:extLst>
            <c:ext xmlns:c16="http://schemas.microsoft.com/office/drawing/2014/chart" uri="{C3380CC4-5D6E-409C-BE32-E72D297353CC}">
              <c16:uniqueId val="{00000002-9584-4836-9474-C12DD5F052F8}"/>
            </c:ext>
          </c:extLst>
        </c:ser>
        <c:ser>
          <c:idx val="3"/>
          <c:order val="3"/>
          <c:tx>
            <c:strRef>
              <c:f>'Impact Assessment - Carbon Loss'!$B$23</c:f>
              <c:strCache>
                <c:ptCount val="1"/>
                <c:pt idx="0">
                  <c:v>Internal Roads</c:v>
                </c:pt>
              </c:strCache>
            </c:strRef>
          </c:tx>
          <c:spPr>
            <a:solidFill>
              <a:schemeClr val="accent4"/>
            </a:solidFill>
            <a:ln>
              <a:noFill/>
            </a:ln>
            <a:effectLst/>
          </c:spPr>
          <c:invertIfNegative val="0"/>
          <c:cat>
            <c:strRef>
              <c:f>'Impact Assessment - Carbon Loss'!$C$19:$J$19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Loss'!$C$23:$J$23</c:f>
              <c:numCache>
                <c:formatCode>0.0</c:formatCode>
                <c:ptCount val="8"/>
                <c:pt idx="0">
                  <c:v>112633.834134</c:v>
                </c:pt>
                <c:pt idx="1">
                  <c:v>214291.32619430003</c:v>
                </c:pt>
                <c:pt idx="2">
                  <c:v>0</c:v>
                </c:pt>
                <c:pt idx="3">
                  <c:v>297317.92493640003</c:v>
                </c:pt>
                <c:pt idx="4">
                  <c:v>563566.55213889992</c:v>
                </c:pt>
                <c:pt idx="5">
                  <c:v>314611.90000000002</c:v>
                </c:pt>
                <c:pt idx="6">
                  <c:v>117774.61</c:v>
                </c:pt>
                <c:pt idx="7">
                  <c:v>38574.244021800005</c:v>
                </c:pt>
              </c:numCache>
            </c:numRef>
          </c:val>
          <c:extLst>
            <c:ext xmlns:c16="http://schemas.microsoft.com/office/drawing/2014/chart" uri="{C3380CC4-5D6E-409C-BE32-E72D297353CC}">
              <c16:uniqueId val="{00000003-9584-4836-9474-C12DD5F052F8}"/>
            </c:ext>
          </c:extLst>
        </c:ser>
        <c:ser>
          <c:idx val="4"/>
          <c:order val="4"/>
          <c:tx>
            <c:strRef>
              <c:f>'Impact Assessment - Carbon Loss'!$B$24</c:f>
              <c:strCache>
                <c:ptCount val="1"/>
                <c:pt idx="0">
                  <c:v>External Roads</c:v>
                </c:pt>
              </c:strCache>
            </c:strRef>
          </c:tx>
          <c:spPr>
            <a:solidFill>
              <a:schemeClr val="accent5"/>
            </a:solidFill>
            <a:ln>
              <a:noFill/>
            </a:ln>
            <a:effectLst/>
          </c:spPr>
          <c:invertIfNegative val="0"/>
          <c:cat>
            <c:strRef>
              <c:f>'Impact Assessment - Carbon Loss'!$C$19:$J$19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Loss'!$C$24:$J$24</c:f>
              <c:numCache>
                <c:formatCode>0.0</c:formatCode>
                <c:ptCount val="8"/>
                <c:pt idx="0">
                  <c:v>0</c:v>
                </c:pt>
                <c:pt idx="1">
                  <c:v>0</c:v>
                </c:pt>
                <c:pt idx="2">
                  <c:v>114798.46999999999</c:v>
                </c:pt>
                <c:pt idx="3">
                  <c:v>0</c:v>
                </c:pt>
                <c:pt idx="4">
                  <c:v>408928.47</c:v>
                </c:pt>
                <c:pt idx="5">
                  <c:v>438985.33999999997</c:v>
                </c:pt>
                <c:pt idx="6">
                  <c:v>0</c:v>
                </c:pt>
                <c:pt idx="7">
                  <c:v>0</c:v>
                </c:pt>
              </c:numCache>
            </c:numRef>
          </c:val>
          <c:extLst>
            <c:ext xmlns:c16="http://schemas.microsoft.com/office/drawing/2014/chart" uri="{C3380CC4-5D6E-409C-BE32-E72D297353CC}">
              <c16:uniqueId val="{00000004-9584-4836-9474-C12DD5F052F8}"/>
            </c:ext>
          </c:extLst>
        </c:ser>
        <c:ser>
          <c:idx val="5"/>
          <c:order val="5"/>
          <c:tx>
            <c:strRef>
              <c:f>'Impact Assessment - Carbon Loss'!$B$25</c:f>
              <c:strCache>
                <c:ptCount val="1"/>
                <c:pt idx="0">
                  <c:v>Substation</c:v>
                </c:pt>
              </c:strCache>
            </c:strRef>
          </c:tx>
          <c:spPr>
            <a:solidFill>
              <a:schemeClr val="accent6"/>
            </a:solidFill>
            <a:ln>
              <a:noFill/>
            </a:ln>
            <a:effectLst/>
          </c:spPr>
          <c:invertIfNegative val="0"/>
          <c:cat>
            <c:strRef>
              <c:f>'Impact Assessment - Carbon Loss'!$C$19:$J$19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Loss'!$C$25:$J$25</c:f>
              <c:numCache>
                <c:formatCode>0.0</c:formatCode>
                <c:ptCount val="8"/>
                <c:pt idx="0">
                  <c:v>0</c:v>
                </c:pt>
                <c:pt idx="1">
                  <c:v>0</c:v>
                </c:pt>
                <c:pt idx="2">
                  <c:v>0</c:v>
                </c:pt>
                <c:pt idx="3">
                  <c:v>157395.73000000001</c:v>
                </c:pt>
                <c:pt idx="4">
                  <c:v>1157778.0847672999</c:v>
                </c:pt>
                <c:pt idx="5">
                  <c:v>0</c:v>
                </c:pt>
                <c:pt idx="6">
                  <c:v>0</c:v>
                </c:pt>
                <c:pt idx="7">
                  <c:v>0</c:v>
                </c:pt>
              </c:numCache>
            </c:numRef>
          </c:val>
          <c:extLst>
            <c:ext xmlns:c16="http://schemas.microsoft.com/office/drawing/2014/chart" uri="{C3380CC4-5D6E-409C-BE32-E72D297353CC}">
              <c16:uniqueId val="{00000005-9584-4836-9474-C12DD5F052F8}"/>
            </c:ext>
          </c:extLst>
        </c:ser>
        <c:dLbls>
          <c:showLegendKey val="0"/>
          <c:showVal val="0"/>
          <c:showCatName val="0"/>
          <c:showSerName val="0"/>
          <c:showPercent val="0"/>
          <c:showBubbleSize val="0"/>
        </c:dLbls>
        <c:gapWidth val="150"/>
        <c:overlap val="100"/>
        <c:axId val="1208609952"/>
        <c:axId val="1208610368"/>
      </c:barChart>
      <c:catAx>
        <c:axId val="120860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8610368"/>
        <c:crosses val="autoZero"/>
        <c:auto val="1"/>
        <c:lblAlgn val="ctr"/>
        <c:lblOffset val="100"/>
        <c:noMultiLvlLbl val="0"/>
      </c:catAx>
      <c:valAx>
        <c:axId val="12086103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8609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Release of Carbon from Land Use for CSP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'Impact Assessment - Carbon Loss'!$B$56</c:f>
              <c:strCache>
                <c:ptCount val="1"/>
                <c:pt idx="0">
                  <c:v>Mirrors</c:v>
                </c:pt>
              </c:strCache>
            </c:strRef>
          </c:tx>
          <c:spPr>
            <a:solidFill>
              <a:schemeClr val="accent1"/>
            </a:solidFill>
            <a:ln>
              <a:noFill/>
            </a:ln>
            <a:effectLst/>
          </c:spPr>
          <c:invertIfNegative val="0"/>
          <c:cat>
            <c:strRef>
              <c:f>'Impact Assessment - Carbon Loss'!$C$55:$J$55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Loss'!$C$56:$J$56</c:f>
              <c:numCache>
                <c:formatCode>0.0</c:formatCode>
                <c:ptCount val="8"/>
                <c:pt idx="0">
                  <c:v>2.0505101279836415</c:v>
                </c:pt>
                <c:pt idx="1">
                  <c:v>4.0389550018379561</c:v>
                </c:pt>
                <c:pt idx="2">
                  <c:v>2.6798999544244033</c:v>
                </c:pt>
                <c:pt idx="3">
                  <c:v>1.9453205531442603</c:v>
                </c:pt>
                <c:pt idx="4">
                  <c:v>3.7663185542215962</c:v>
                </c:pt>
                <c:pt idx="5">
                  <c:v>1.7505608624337265</c:v>
                </c:pt>
                <c:pt idx="6">
                  <c:v>23.091500553805982</c:v>
                </c:pt>
                <c:pt idx="7">
                  <c:v>2.300061952782412</c:v>
                </c:pt>
              </c:numCache>
            </c:numRef>
          </c:val>
          <c:extLst>
            <c:ext xmlns:c16="http://schemas.microsoft.com/office/drawing/2014/chart" uri="{C3380CC4-5D6E-409C-BE32-E72D297353CC}">
              <c16:uniqueId val="{00000000-D0D2-4C2B-9E82-11C666AD73DA}"/>
            </c:ext>
          </c:extLst>
        </c:ser>
        <c:ser>
          <c:idx val="1"/>
          <c:order val="1"/>
          <c:tx>
            <c:strRef>
              <c:f>'Impact Assessment - Carbon Loss'!$B$57</c:f>
              <c:strCache>
                <c:ptCount val="1"/>
                <c:pt idx="0">
                  <c:v>Generator</c:v>
                </c:pt>
              </c:strCache>
            </c:strRef>
          </c:tx>
          <c:spPr>
            <a:solidFill>
              <a:schemeClr val="accent2"/>
            </a:solidFill>
            <a:ln>
              <a:noFill/>
            </a:ln>
            <a:effectLst/>
          </c:spPr>
          <c:invertIfNegative val="0"/>
          <c:cat>
            <c:strRef>
              <c:f>'Impact Assessment - Carbon Loss'!$C$55:$J$55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Loss'!$C$57:$J$57</c:f>
              <c:numCache>
                <c:formatCode>0.0</c:formatCode>
                <c:ptCount val="8"/>
                <c:pt idx="0">
                  <c:v>6.2515496702853571E-2</c:v>
                </c:pt>
                <c:pt idx="1">
                  <c:v>0.12224725136276246</c:v>
                </c:pt>
                <c:pt idx="2">
                  <c:v>4.0435115122826888E-2</c:v>
                </c:pt>
                <c:pt idx="3">
                  <c:v>4.194554152128676E-2</c:v>
                </c:pt>
                <c:pt idx="4">
                  <c:v>2.1887068410736659E-2</c:v>
                </c:pt>
                <c:pt idx="5">
                  <c:v>2.7930451509863938E-2</c:v>
                </c:pt>
                <c:pt idx="6">
                  <c:v>0.16832038110184822</c:v>
                </c:pt>
                <c:pt idx="7">
                  <c:v>7.9125466127449112E-2</c:v>
                </c:pt>
              </c:numCache>
            </c:numRef>
          </c:val>
          <c:extLst>
            <c:ext xmlns:c16="http://schemas.microsoft.com/office/drawing/2014/chart" uri="{C3380CC4-5D6E-409C-BE32-E72D297353CC}">
              <c16:uniqueId val="{00000001-D0D2-4C2B-9E82-11C666AD73DA}"/>
            </c:ext>
          </c:extLst>
        </c:ser>
        <c:ser>
          <c:idx val="2"/>
          <c:order val="2"/>
          <c:tx>
            <c:strRef>
              <c:f>'Impact Assessment - Carbon Loss'!$B$58</c:f>
              <c:strCache>
                <c:ptCount val="1"/>
                <c:pt idx="0">
                  <c:v>Water Bodies</c:v>
                </c:pt>
              </c:strCache>
            </c:strRef>
          </c:tx>
          <c:spPr>
            <a:solidFill>
              <a:schemeClr val="accent3"/>
            </a:solidFill>
            <a:ln>
              <a:noFill/>
            </a:ln>
            <a:effectLst/>
          </c:spPr>
          <c:invertIfNegative val="0"/>
          <c:cat>
            <c:strRef>
              <c:f>'Impact Assessment - Carbon Loss'!$C$55:$J$55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Loss'!$C$58:$J$58</c:f>
              <c:numCache>
                <c:formatCode>0.0</c:formatCode>
                <c:ptCount val="8"/>
                <c:pt idx="0">
                  <c:v>5.8919960358510416E-2</c:v>
                </c:pt>
                <c:pt idx="1">
                  <c:v>0.17369242059205273</c:v>
                </c:pt>
                <c:pt idx="2">
                  <c:v>0.11361784537797233</c:v>
                </c:pt>
                <c:pt idx="3">
                  <c:v>3.7409800116006711E-2</c:v>
                </c:pt>
                <c:pt idx="4">
                  <c:v>0</c:v>
                </c:pt>
                <c:pt idx="5">
                  <c:v>1.1479713376100632E-2</c:v>
                </c:pt>
                <c:pt idx="6">
                  <c:v>0.56800428461808228</c:v>
                </c:pt>
                <c:pt idx="7">
                  <c:v>8.3676943338097415E-2</c:v>
                </c:pt>
              </c:numCache>
            </c:numRef>
          </c:val>
          <c:extLst>
            <c:ext xmlns:c16="http://schemas.microsoft.com/office/drawing/2014/chart" uri="{C3380CC4-5D6E-409C-BE32-E72D297353CC}">
              <c16:uniqueId val="{00000002-D0D2-4C2B-9E82-11C666AD73DA}"/>
            </c:ext>
          </c:extLst>
        </c:ser>
        <c:ser>
          <c:idx val="3"/>
          <c:order val="3"/>
          <c:tx>
            <c:strRef>
              <c:f>'Impact Assessment - Carbon Loss'!$B$59</c:f>
              <c:strCache>
                <c:ptCount val="1"/>
                <c:pt idx="0">
                  <c:v>Internal Roads</c:v>
                </c:pt>
              </c:strCache>
            </c:strRef>
          </c:tx>
          <c:spPr>
            <a:solidFill>
              <a:schemeClr val="accent4"/>
            </a:solidFill>
            <a:ln>
              <a:noFill/>
            </a:ln>
            <a:effectLst/>
          </c:spPr>
          <c:invertIfNegative val="0"/>
          <c:cat>
            <c:strRef>
              <c:f>'Impact Assessment - Carbon Loss'!$C$55:$J$55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Loss'!$C$59:$J$59</c:f>
              <c:numCache>
                <c:formatCode>0.0</c:formatCode>
                <c:ptCount val="8"/>
                <c:pt idx="0">
                  <c:v>4.9150288871501876E-3</c:v>
                </c:pt>
                <c:pt idx="1">
                  <c:v>4.1241674097582948E-2</c:v>
                </c:pt>
                <c:pt idx="2">
                  <c:v>0</c:v>
                </c:pt>
                <c:pt idx="3">
                  <c:v>1.7349534102144258E-2</c:v>
                </c:pt>
                <c:pt idx="4">
                  <c:v>2.5758697259246323E-2</c:v>
                </c:pt>
                <c:pt idx="5">
                  <c:v>1.684203454360134E-2</c:v>
                </c:pt>
                <c:pt idx="6">
                  <c:v>4.0892967879252937E-2</c:v>
                </c:pt>
                <c:pt idx="7">
                  <c:v>1.1390761423260348E-2</c:v>
                </c:pt>
              </c:numCache>
            </c:numRef>
          </c:val>
          <c:extLst>
            <c:ext xmlns:c16="http://schemas.microsoft.com/office/drawing/2014/chart" uri="{C3380CC4-5D6E-409C-BE32-E72D297353CC}">
              <c16:uniqueId val="{00000003-D0D2-4C2B-9E82-11C666AD73DA}"/>
            </c:ext>
          </c:extLst>
        </c:ser>
        <c:ser>
          <c:idx val="4"/>
          <c:order val="4"/>
          <c:tx>
            <c:strRef>
              <c:f>'Impact Assessment - Carbon Loss'!$B$60</c:f>
              <c:strCache>
                <c:ptCount val="1"/>
                <c:pt idx="0">
                  <c:v>External Roads</c:v>
                </c:pt>
              </c:strCache>
            </c:strRef>
          </c:tx>
          <c:spPr>
            <a:solidFill>
              <a:schemeClr val="accent5"/>
            </a:solidFill>
            <a:ln>
              <a:noFill/>
            </a:ln>
            <a:effectLst/>
          </c:spPr>
          <c:invertIfNegative val="0"/>
          <c:cat>
            <c:strRef>
              <c:f>'Impact Assessment - Carbon Loss'!$C$55:$J$55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Loss'!$C$60:$J$60</c:f>
              <c:numCache>
                <c:formatCode>0.0</c:formatCode>
                <c:ptCount val="8"/>
                <c:pt idx="0">
                  <c:v>0</c:v>
                </c:pt>
                <c:pt idx="1">
                  <c:v>0</c:v>
                </c:pt>
                <c:pt idx="2">
                  <c:v>1.4906007798490939E-2</c:v>
                </c:pt>
                <c:pt idx="3">
                  <c:v>0</c:v>
                </c:pt>
                <c:pt idx="4">
                  <c:v>1.8690720056822412E-2</c:v>
                </c:pt>
                <c:pt idx="5">
                  <c:v>2.3500084581716645E-2</c:v>
                </c:pt>
                <c:pt idx="6">
                  <c:v>0</c:v>
                </c:pt>
                <c:pt idx="7">
                  <c:v>0</c:v>
                </c:pt>
              </c:numCache>
            </c:numRef>
          </c:val>
          <c:extLst>
            <c:ext xmlns:c16="http://schemas.microsoft.com/office/drawing/2014/chart" uri="{C3380CC4-5D6E-409C-BE32-E72D297353CC}">
              <c16:uniqueId val="{00000004-D0D2-4C2B-9E82-11C666AD73DA}"/>
            </c:ext>
          </c:extLst>
        </c:ser>
        <c:ser>
          <c:idx val="5"/>
          <c:order val="5"/>
          <c:tx>
            <c:strRef>
              <c:f>'Impact Assessment - Carbon Loss'!$B$61</c:f>
              <c:strCache>
                <c:ptCount val="1"/>
                <c:pt idx="0">
                  <c:v>Substation</c:v>
                </c:pt>
              </c:strCache>
            </c:strRef>
          </c:tx>
          <c:spPr>
            <a:solidFill>
              <a:schemeClr val="accent6"/>
            </a:solidFill>
            <a:ln>
              <a:noFill/>
            </a:ln>
            <a:effectLst/>
          </c:spPr>
          <c:invertIfNegative val="0"/>
          <c:cat>
            <c:strRef>
              <c:f>'Impact Assessment - Carbon Loss'!$C$55:$J$55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Carbon Loss'!$C$61:$J$61</c:f>
              <c:numCache>
                <c:formatCode>0.0</c:formatCode>
                <c:ptCount val="8"/>
                <c:pt idx="0">
                  <c:v>0</c:v>
                </c:pt>
                <c:pt idx="1">
                  <c:v>0</c:v>
                </c:pt>
                <c:pt idx="2">
                  <c:v>0</c:v>
                </c:pt>
                <c:pt idx="3">
                  <c:v>9.1845877968878935E-3</c:v>
                </c:pt>
                <c:pt idx="4">
                  <c:v>5.2918071638077963E-2</c:v>
                </c:pt>
                <c:pt idx="5">
                  <c:v>0</c:v>
                </c:pt>
                <c:pt idx="6">
                  <c:v>0</c:v>
                </c:pt>
                <c:pt idx="7">
                  <c:v>0</c:v>
                </c:pt>
              </c:numCache>
            </c:numRef>
          </c:val>
          <c:extLst>
            <c:ext xmlns:c16="http://schemas.microsoft.com/office/drawing/2014/chart" uri="{C3380CC4-5D6E-409C-BE32-E72D297353CC}">
              <c16:uniqueId val="{00000005-D0D2-4C2B-9E82-11C666AD73DA}"/>
            </c:ext>
          </c:extLst>
        </c:ser>
        <c:dLbls>
          <c:showLegendKey val="0"/>
          <c:showVal val="0"/>
          <c:showCatName val="0"/>
          <c:showSerName val="0"/>
          <c:showPercent val="0"/>
          <c:showBubbleSize val="0"/>
        </c:dLbls>
        <c:gapWidth val="150"/>
        <c:overlap val="100"/>
        <c:axId val="851579632"/>
        <c:axId val="851575472"/>
      </c:barChart>
      <c:catAx>
        <c:axId val="851579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CSP</a:t>
                </a:r>
                <a:r>
                  <a:rPr lang="en-US" baseline="0"/>
                  <a:t> Site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75472"/>
        <c:crosses val="autoZero"/>
        <c:auto val="1"/>
        <c:lblAlgn val="ctr"/>
        <c:lblOffset val="100"/>
        <c:noMultiLvlLbl val="0"/>
      </c:catAx>
      <c:valAx>
        <c:axId val="85157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Release of Carbon (Kg C / MWh generation)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79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Stock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'Impact Assessment - SOCSIC'!$B$20</c:f>
              <c:strCache>
                <c:ptCount val="1"/>
                <c:pt idx="0">
                  <c:v>Mirrors</c:v>
                </c:pt>
              </c:strCache>
            </c:strRef>
          </c:tx>
          <c:spPr>
            <a:solidFill>
              <a:schemeClr val="accent1"/>
            </a:solidFill>
            <a:ln>
              <a:noFill/>
            </a:ln>
            <a:effectLst/>
          </c:spPr>
          <c:invertIfNegative val="0"/>
          <c:cat>
            <c:strRef>
              <c:f>'Impact Assessment - SOCSIC'!$C$19:$J$19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SOCSIC'!$C$20:$J$20</c:f>
              <c:numCache>
                <c:formatCode>0.0</c:formatCode>
                <c:ptCount val="8"/>
                <c:pt idx="0">
                  <c:v>7714763.1000000006</c:v>
                </c:pt>
                <c:pt idx="1">
                  <c:v>3445523.4000000004</c:v>
                </c:pt>
                <c:pt idx="2">
                  <c:v>3388529.1</c:v>
                </c:pt>
                <c:pt idx="3">
                  <c:v>5473212.8000000007</c:v>
                </c:pt>
                <c:pt idx="4">
                  <c:v>13528705.6265625</c:v>
                </c:pt>
                <c:pt idx="5">
                  <c:v>5368781</c:v>
                </c:pt>
                <c:pt idx="6">
                  <c:v>10918754</c:v>
                </c:pt>
                <c:pt idx="7">
                  <c:v>1278798.4000000001</c:v>
                </c:pt>
              </c:numCache>
            </c:numRef>
          </c:val>
          <c:extLst>
            <c:ext xmlns:c16="http://schemas.microsoft.com/office/drawing/2014/chart" uri="{C3380CC4-5D6E-409C-BE32-E72D297353CC}">
              <c16:uniqueId val="{00000000-B12F-46D2-AFBB-E8FFBC84F402}"/>
            </c:ext>
          </c:extLst>
        </c:ser>
        <c:ser>
          <c:idx val="1"/>
          <c:order val="1"/>
          <c:tx>
            <c:strRef>
              <c:f>'Impact Assessment - SOCSIC'!$B$21</c:f>
              <c:strCache>
                <c:ptCount val="1"/>
                <c:pt idx="0">
                  <c:v>Generator</c:v>
                </c:pt>
              </c:strCache>
            </c:strRef>
          </c:tx>
          <c:spPr>
            <a:solidFill>
              <a:schemeClr val="accent2"/>
            </a:solidFill>
            <a:ln>
              <a:noFill/>
            </a:ln>
            <a:effectLst/>
          </c:spPr>
          <c:invertIfNegative val="0"/>
          <c:cat>
            <c:strRef>
              <c:f>'Impact Assessment - SOCSIC'!$C$19:$J$19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SOCSIC'!$C$21:$J$21</c:f>
              <c:numCache>
                <c:formatCode>0.0</c:formatCode>
                <c:ptCount val="8"/>
                <c:pt idx="0">
                  <c:v>1796118.4038588</c:v>
                </c:pt>
                <c:pt idx="1">
                  <c:v>796364.50195680012</c:v>
                </c:pt>
                <c:pt idx="2">
                  <c:v>390425.27343960002</c:v>
                </c:pt>
                <c:pt idx="3">
                  <c:v>901204.94296560006</c:v>
                </c:pt>
                <c:pt idx="4">
                  <c:v>600362.27343960002</c:v>
                </c:pt>
                <c:pt idx="5">
                  <c:v>654128.43967799994</c:v>
                </c:pt>
                <c:pt idx="6">
                  <c:v>607776.96</c:v>
                </c:pt>
                <c:pt idx="7">
                  <c:v>335942.87343960005</c:v>
                </c:pt>
              </c:numCache>
            </c:numRef>
          </c:val>
          <c:extLst>
            <c:ext xmlns:c16="http://schemas.microsoft.com/office/drawing/2014/chart" uri="{C3380CC4-5D6E-409C-BE32-E72D297353CC}">
              <c16:uniqueId val="{00000001-B12F-46D2-AFBB-E8FFBC84F402}"/>
            </c:ext>
          </c:extLst>
        </c:ser>
        <c:ser>
          <c:idx val="2"/>
          <c:order val="2"/>
          <c:tx>
            <c:strRef>
              <c:f>'Impact Assessment - SOCSIC'!$B$22</c:f>
              <c:strCache>
                <c:ptCount val="1"/>
                <c:pt idx="0">
                  <c:v>Water Bodies</c:v>
                </c:pt>
              </c:strCache>
            </c:strRef>
          </c:tx>
          <c:spPr>
            <a:solidFill>
              <a:schemeClr val="accent3"/>
            </a:solidFill>
            <a:ln>
              <a:noFill/>
            </a:ln>
            <a:effectLst/>
          </c:spPr>
          <c:invertIfNegative val="0"/>
          <c:cat>
            <c:strRef>
              <c:f>'Impact Assessment - SOCSIC'!$C$19:$J$19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SOCSIC'!$C$22:$J$22</c:f>
              <c:numCache>
                <c:formatCode>0.0</c:formatCode>
                <c:ptCount val="8"/>
                <c:pt idx="0">
                  <c:v>1692815.8734396</c:v>
                </c:pt>
                <c:pt idx="1">
                  <c:v>1131497.6531292</c:v>
                </c:pt>
                <c:pt idx="2">
                  <c:v>1097048.4000000001</c:v>
                </c:pt>
                <c:pt idx="3">
                  <c:v>803754</c:v>
                </c:pt>
                <c:pt idx="4">
                  <c:v>0</c:v>
                </c:pt>
                <c:pt idx="5">
                  <c:v>268853.76328439999</c:v>
                </c:pt>
                <c:pt idx="6">
                  <c:v>2050969.2000000002</c:v>
                </c:pt>
                <c:pt idx="7">
                  <c:v>355267.0734396</c:v>
                </c:pt>
              </c:numCache>
            </c:numRef>
          </c:val>
          <c:extLst>
            <c:ext xmlns:c16="http://schemas.microsoft.com/office/drawing/2014/chart" uri="{C3380CC4-5D6E-409C-BE32-E72D297353CC}">
              <c16:uniqueId val="{00000002-B12F-46D2-AFBB-E8FFBC84F402}"/>
            </c:ext>
          </c:extLst>
        </c:ser>
        <c:ser>
          <c:idx val="3"/>
          <c:order val="3"/>
          <c:tx>
            <c:strRef>
              <c:f>'Impact Assessment - SOCSIC'!$B$23</c:f>
              <c:strCache>
                <c:ptCount val="1"/>
                <c:pt idx="0">
                  <c:v>Internal Roads</c:v>
                </c:pt>
              </c:strCache>
            </c:strRef>
          </c:tx>
          <c:spPr>
            <a:solidFill>
              <a:schemeClr val="accent4"/>
            </a:solidFill>
            <a:ln>
              <a:noFill/>
            </a:ln>
            <a:effectLst/>
          </c:spPr>
          <c:invertIfNegative val="0"/>
          <c:cat>
            <c:strRef>
              <c:f>'Impact Assessment - SOCSIC'!$C$19:$J$19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SOCSIC'!$C$23:$J$23</c:f>
              <c:numCache>
                <c:formatCode>0.0</c:formatCode>
                <c:ptCount val="8"/>
                <c:pt idx="0">
                  <c:v>18492.122022000003</c:v>
                </c:pt>
                <c:pt idx="1">
                  <c:v>35182.158031900006</c:v>
                </c:pt>
                <c:pt idx="2">
                  <c:v>0</c:v>
                </c:pt>
                <c:pt idx="3">
                  <c:v>48813.390661200006</c:v>
                </c:pt>
                <c:pt idx="4">
                  <c:v>92525.851843700002</c:v>
                </c:pt>
                <c:pt idx="5">
                  <c:v>51652.700000000004</c:v>
                </c:pt>
                <c:pt idx="6">
                  <c:v>19336.13</c:v>
                </c:pt>
                <c:pt idx="7">
                  <c:v>6333.0848394000004</c:v>
                </c:pt>
              </c:numCache>
            </c:numRef>
          </c:val>
          <c:extLst>
            <c:ext xmlns:c16="http://schemas.microsoft.com/office/drawing/2014/chart" uri="{C3380CC4-5D6E-409C-BE32-E72D297353CC}">
              <c16:uniqueId val="{00000003-B12F-46D2-AFBB-E8FFBC84F402}"/>
            </c:ext>
          </c:extLst>
        </c:ser>
        <c:ser>
          <c:idx val="4"/>
          <c:order val="4"/>
          <c:tx>
            <c:strRef>
              <c:f>'Impact Assessment - SOCSIC'!$B$24</c:f>
              <c:strCache>
                <c:ptCount val="1"/>
                <c:pt idx="0">
                  <c:v>External Roads</c:v>
                </c:pt>
              </c:strCache>
            </c:strRef>
          </c:tx>
          <c:spPr>
            <a:solidFill>
              <a:schemeClr val="accent5"/>
            </a:solidFill>
            <a:ln>
              <a:noFill/>
            </a:ln>
            <a:effectLst/>
          </c:spPr>
          <c:invertIfNegative val="0"/>
          <c:cat>
            <c:strRef>
              <c:f>'Impact Assessment - SOCSIC'!$C$19:$J$19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SOCSIC'!$C$24:$J$24</c:f>
              <c:numCache>
                <c:formatCode>0.0</c:formatCode>
                <c:ptCount val="8"/>
                <c:pt idx="0">
                  <c:v>0</c:v>
                </c:pt>
                <c:pt idx="1">
                  <c:v>0</c:v>
                </c:pt>
                <c:pt idx="2">
                  <c:v>18847.509999999998</c:v>
                </c:pt>
                <c:pt idx="3">
                  <c:v>0</c:v>
                </c:pt>
                <c:pt idx="4">
                  <c:v>67137.510000000009</c:v>
                </c:pt>
                <c:pt idx="5">
                  <c:v>72072.22</c:v>
                </c:pt>
                <c:pt idx="6">
                  <c:v>0</c:v>
                </c:pt>
                <c:pt idx="7">
                  <c:v>0</c:v>
                </c:pt>
              </c:numCache>
            </c:numRef>
          </c:val>
          <c:extLst>
            <c:ext xmlns:c16="http://schemas.microsoft.com/office/drawing/2014/chart" uri="{C3380CC4-5D6E-409C-BE32-E72D297353CC}">
              <c16:uniqueId val="{00000004-B12F-46D2-AFBB-E8FFBC84F402}"/>
            </c:ext>
          </c:extLst>
        </c:ser>
        <c:ser>
          <c:idx val="5"/>
          <c:order val="5"/>
          <c:tx>
            <c:strRef>
              <c:f>'Impact Assessment - SOCSIC'!$B$25</c:f>
              <c:strCache>
                <c:ptCount val="1"/>
                <c:pt idx="0">
                  <c:v>Substation</c:v>
                </c:pt>
              </c:strCache>
            </c:strRef>
          </c:tx>
          <c:spPr>
            <a:solidFill>
              <a:schemeClr val="accent6"/>
            </a:solidFill>
            <a:ln>
              <a:noFill/>
            </a:ln>
            <a:effectLst/>
          </c:spPr>
          <c:invertIfNegative val="0"/>
          <c:cat>
            <c:strRef>
              <c:f>'Impact Assessment - SOCSIC'!$C$19:$J$19</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SOCSIC'!$C$25:$J$25</c:f>
              <c:numCache>
                <c:formatCode>0.0</c:formatCode>
                <c:ptCount val="8"/>
                <c:pt idx="0">
                  <c:v>0</c:v>
                </c:pt>
                <c:pt idx="1">
                  <c:v>0</c:v>
                </c:pt>
                <c:pt idx="2">
                  <c:v>0</c:v>
                </c:pt>
                <c:pt idx="3">
                  <c:v>197331.96000000002</c:v>
                </c:pt>
                <c:pt idx="4">
                  <c:v>1451542.6734396</c:v>
                </c:pt>
                <c:pt idx="5">
                  <c:v>0</c:v>
                </c:pt>
                <c:pt idx="6">
                  <c:v>0</c:v>
                </c:pt>
                <c:pt idx="7">
                  <c:v>0</c:v>
                </c:pt>
              </c:numCache>
            </c:numRef>
          </c:val>
          <c:extLst>
            <c:ext xmlns:c16="http://schemas.microsoft.com/office/drawing/2014/chart" uri="{C3380CC4-5D6E-409C-BE32-E72D297353CC}">
              <c16:uniqueId val="{00000005-B12F-46D2-AFBB-E8FFBC84F402}"/>
            </c:ext>
          </c:extLst>
        </c:ser>
        <c:dLbls>
          <c:showLegendKey val="0"/>
          <c:showVal val="0"/>
          <c:showCatName val="0"/>
          <c:showSerName val="0"/>
          <c:showPercent val="0"/>
          <c:showBubbleSize val="0"/>
        </c:dLbls>
        <c:gapWidth val="150"/>
        <c:overlap val="100"/>
        <c:axId val="1208609952"/>
        <c:axId val="1208610368"/>
      </c:barChart>
      <c:catAx>
        <c:axId val="120860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8610368"/>
        <c:crosses val="autoZero"/>
        <c:auto val="1"/>
        <c:lblAlgn val="ctr"/>
        <c:lblOffset val="100"/>
        <c:noMultiLvlLbl val="0"/>
      </c:catAx>
      <c:valAx>
        <c:axId val="12086103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8609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Release of Carbon from Land Use for CSP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'Impact Assessment - SOCSIC'!$B$56</c:f>
              <c:strCache>
                <c:ptCount val="1"/>
                <c:pt idx="0">
                  <c:v>Mirrors</c:v>
                </c:pt>
              </c:strCache>
            </c:strRef>
          </c:tx>
          <c:spPr>
            <a:solidFill>
              <a:schemeClr val="accent1"/>
            </a:solidFill>
            <a:ln>
              <a:noFill/>
            </a:ln>
            <a:effectLst/>
          </c:spPr>
          <c:invertIfNegative val="0"/>
          <c:cat>
            <c:strRef>
              <c:f>'Impact Assessment - SOCSIC'!$C$55:$J$55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SOCSIC'!$C$56:$J$56</c:f>
              <c:numCache>
                <c:formatCode>0.0</c:formatCode>
                <c:ptCount val="8"/>
                <c:pt idx="0">
                  <c:v>0.3366509165346277</c:v>
                </c:pt>
                <c:pt idx="1">
                  <c:v>0.66311201522712715</c:v>
                </c:pt>
                <c:pt idx="2">
                  <c:v>0.43998357460699167</c:v>
                </c:pt>
                <c:pt idx="3">
                  <c:v>0.31938098633711742</c:v>
                </c:pt>
                <c:pt idx="4">
                  <c:v>0.61835080740951587</c:v>
                </c:pt>
                <c:pt idx="5">
                  <c:v>0.28740551472792525</c:v>
                </c:pt>
                <c:pt idx="6">
                  <c:v>3.7911418819681466</c:v>
                </c:pt>
                <c:pt idx="7">
                  <c:v>0.37762211165084386</c:v>
                </c:pt>
              </c:numCache>
            </c:numRef>
          </c:val>
          <c:extLst>
            <c:ext xmlns:c16="http://schemas.microsoft.com/office/drawing/2014/chart" uri="{C3380CC4-5D6E-409C-BE32-E72D297353CC}">
              <c16:uniqueId val="{00000000-73AC-43C0-AC96-81948993871E}"/>
            </c:ext>
          </c:extLst>
        </c:ser>
        <c:ser>
          <c:idx val="1"/>
          <c:order val="1"/>
          <c:tx>
            <c:strRef>
              <c:f>'Impact Assessment - SOCSIC'!$B$57</c:f>
              <c:strCache>
                <c:ptCount val="1"/>
                <c:pt idx="0">
                  <c:v>Generator</c:v>
                </c:pt>
              </c:strCache>
            </c:strRef>
          </c:tx>
          <c:spPr>
            <a:solidFill>
              <a:schemeClr val="accent2"/>
            </a:solidFill>
            <a:ln>
              <a:noFill/>
            </a:ln>
            <a:effectLst/>
          </c:spPr>
          <c:invertIfNegative val="0"/>
          <c:cat>
            <c:strRef>
              <c:f>'Impact Assessment - SOCSIC'!$C$55:$J$55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SOCSIC'!$C$57:$J$57</c:f>
              <c:numCache>
                <c:formatCode>0.0</c:formatCode>
                <c:ptCount val="8"/>
                <c:pt idx="0">
                  <c:v>7.8377637657308957E-2</c:v>
                </c:pt>
                <c:pt idx="1">
                  <c:v>0.15326521066376189</c:v>
                </c:pt>
                <c:pt idx="2">
                  <c:v>5.0694771198768029E-2</c:v>
                </c:pt>
                <c:pt idx="3">
                  <c:v>5.2588440116240129E-2</c:v>
                </c:pt>
                <c:pt idx="4">
                  <c:v>2.7440503679132526E-2</c:v>
                </c:pt>
                <c:pt idx="5">
                  <c:v>3.5017282489978672E-2</c:v>
                </c:pt>
                <c:pt idx="6">
                  <c:v>0.21102853750082462</c:v>
                </c:pt>
                <c:pt idx="7">
                  <c:v>9.9202076935906353E-2</c:v>
                </c:pt>
              </c:numCache>
            </c:numRef>
          </c:val>
          <c:extLst>
            <c:ext xmlns:c16="http://schemas.microsoft.com/office/drawing/2014/chart" uri="{C3380CC4-5D6E-409C-BE32-E72D297353CC}">
              <c16:uniqueId val="{00000001-73AC-43C0-AC96-81948993871E}"/>
            </c:ext>
          </c:extLst>
        </c:ser>
        <c:ser>
          <c:idx val="2"/>
          <c:order val="2"/>
          <c:tx>
            <c:strRef>
              <c:f>'Impact Assessment - SOCSIC'!$B$58</c:f>
              <c:strCache>
                <c:ptCount val="1"/>
                <c:pt idx="0">
                  <c:v>Water Bodies</c:v>
                </c:pt>
              </c:strCache>
            </c:strRef>
          </c:tx>
          <c:spPr>
            <a:solidFill>
              <a:schemeClr val="accent3"/>
            </a:solidFill>
            <a:ln>
              <a:noFill/>
            </a:ln>
            <a:effectLst/>
          </c:spPr>
          <c:invertIfNegative val="0"/>
          <c:cat>
            <c:strRef>
              <c:f>'Impact Assessment - SOCSIC'!$C$55:$J$55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SOCSIC'!$C$58:$J$58</c:f>
              <c:numCache>
                <c:formatCode>0.0</c:formatCode>
                <c:ptCount val="8"/>
                <c:pt idx="0">
                  <c:v>7.3869801046490671E-2</c:v>
                </c:pt>
                <c:pt idx="1">
                  <c:v>0.21776363178705116</c:v>
                </c:pt>
                <c:pt idx="2">
                  <c:v>0.14244625390671159</c:v>
                </c:pt>
                <c:pt idx="3">
                  <c:v>4.6901838951411395E-2</c:v>
                </c:pt>
                <c:pt idx="4">
                  <c:v>0</c:v>
                </c:pt>
                <c:pt idx="5">
                  <c:v>1.4392476471529152E-2</c:v>
                </c:pt>
                <c:pt idx="6">
                  <c:v>0.71212477474505831</c:v>
                </c:pt>
                <c:pt idx="7">
                  <c:v>0.10490840657313706</c:v>
                </c:pt>
              </c:numCache>
            </c:numRef>
          </c:val>
          <c:extLst>
            <c:ext xmlns:c16="http://schemas.microsoft.com/office/drawing/2014/chart" uri="{C3380CC4-5D6E-409C-BE32-E72D297353CC}">
              <c16:uniqueId val="{00000002-73AC-43C0-AC96-81948993871E}"/>
            </c:ext>
          </c:extLst>
        </c:ser>
        <c:ser>
          <c:idx val="3"/>
          <c:order val="3"/>
          <c:tx>
            <c:strRef>
              <c:f>'Impact Assessment - SOCSIC'!$B$59</c:f>
              <c:strCache>
                <c:ptCount val="1"/>
                <c:pt idx="0">
                  <c:v>Internal Roads</c:v>
                </c:pt>
              </c:strCache>
            </c:strRef>
          </c:tx>
          <c:spPr>
            <a:solidFill>
              <a:schemeClr val="accent4"/>
            </a:solidFill>
            <a:ln>
              <a:noFill/>
            </a:ln>
            <a:effectLst/>
          </c:spPr>
          <c:invertIfNegative val="0"/>
          <c:cat>
            <c:strRef>
              <c:f>'Impact Assessment - SOCSIC'!$C$55:$J$55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SOCSIC'!$C$59:$J$59</c:f>
              <c:numCache>
                <c:formatCode>0.0</c:formatCode>
                <c:ptCount val="8"/>
                <c:pt idx="0">
                  <c:v>8.069450411739115E-4</c:v>
                </c:pt>
                <c:pt idx="1">
                  <c:v>6.7710211204986938E-3</c:v>
                </c:pt>
                <c:pt idx="2">
                  <c:v>0</c:v>
                </c:pt>
                <c:pt idx="3">
                  <c:v>2.8484309719938334E-3</c:v>
                </c:pt>
                <c:pt idx="4">
                  <c:v>4.2290398485329787E-3</c:v>
                </c:pt>
                <c:pt idx="5">
                  <c:v>2.7651101489494737E-3</c:v>
                </c:pt>
                <c:pt idx="6">
                  <c:v>6.7137708458474971E-3</c:v>
                </c:pt>
                <c:pt idx="7">
                  <c:v>1.8701250097890123E-3</c:v>
                </c:pt>
              </c:numCache>
            </c:numRef>
          </c:val>
          <c:extLst>
            <c:ext xmlns:c16="http://schemas.microsoft.com/office/drawing/2014/chart" uri="{C3380CC4-5D6E-409C-BE32-E72D297353CC}">
              <c16:uniqueId val="{00000003-73AC-43C0-AC96-81948993871E}"/>
            </c:ext>
          </c:extLst>
        </c:ser>
        <c:ser>
          <c:idx val="4"/>
          <c:order val="4"/>
          <c:tx>
            <c:strRef>
              <c:f>'Impact Assessment - SOCSIC'!$B$60</c:f>
              <c:strCache>
                <c:ptCount val="1"/>
                <c:pt idx="0">
                  <c:v>External Roads</c:v>
                </c:pt>
              </c:strCache>
            </c:strRef>
          </c:tx>
          <c:spPr>
            <a:solidFill>
              <a:schemeClr val="accent5"/>
            </a:solidFill>
            <a:ln>
              <a:noFill/>
            </a:ln>
            <a:effectLst/>
          </c:spPr>
          <c:invertIfNegative val="0"/>
          <c:cat>
            <c:strRef>
              <c:f>'Impact Assessment - SOCSIC'!$C$55:$J$55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SOCSIC'!$C$60:$J$60</c:f>
              <c:numCache>
                <c:formatCode>0.0</c:formatCode>
                <c:ptCount val="8"/>
                <c:pt idx="0">
                  <c:v>0</c:v>
                </c:pt>
                <c:pt idx="1">
                  <c:v>0</c:v>
                </c:pt>
                <c:pt idx="2">
                  <c:v>2.4472550116925425E-3</c:v>
                </c:pt>
                <c:pt idx="3">
                  <c:v>0</c:v>
                </c:pt>
                <c:pt idx="4">
                  <c:v>3.0686256809708446E-3</c:v>
                </c:pt>
                <c:pt idx="5">
                  <c:v>3.8582228417743747E-3</c:v>
                </c:pt>
                <c:pt idx="6">
                  <c:v>0</c:v>
                </c:pt>
                <c:pt idx="7">
                  <c:v>0</c:v>
                </c:pt>
              </c:numCache>
            </c:numRef>
          </c:val>
          <c:extLst>
            <c:ext xmlns:c16="http://schemas.microsoft.com/office/drawing/2014/chart" uri="{C3380CC4-5D6E-409C-BE32-E72D297353CC}">
              <c16:uniqueId val="{00000004-73AC-43C0-AC96-81948993871E}"/>
            </c:ext>
          </c:extLst>
        </c:ser>
        <c:ser>
          <c:idx val="5"/>
          <c:order val="5"/>
          <c:tx>
            <c:strRef>
              <c:f>'Impact Assessment - SOCSIC'!$B$61</c:f>
              <c:strCache>
                <c:ptCount val="1"/>
                <c:pt idx="0">
                  <c:v>Substation</c:v>
                </c:pt>
              </c:strCache>
            </c:strRef>
          </c:tx>
          <c:spPr>
            <a:solidFill>
              <a:schemeClr val="accent6"/>
            </a:solidFill>
            <a:ln>
              <a:noFill/>
            </a:ln>
            <a:effectLst/>
          </c:spPr>
          <c:invertIfNegative val="0"/>
          <c:cat>
            <c:strRef>
              <c:f>'Impact Assessment - SOCSIC'!$C$55:$J$55</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'Impact Assessment - SOCSIC'!$C$61:$J$61</c:f>
              <c:numCache>
                <c:formatCode>0.0</c:formatCode>
                <c:ptCount val="8"/>
                <c:pt idx="0">
                  <c:v>0</c:v>
                </c:pt>
                <c:pt idx="1">
                  <c:v>0</c:v>
                </c:pt>
                <c:pt idx="2">
                  <c:v>0</c:v>
                </c:pt>
                <c:pt idx="3">
                  <c:v>1.1515005596098254E-2</c:v>
                </c:pt>
                <c:pt idx="4">
                  <c:v>6.6345045038784314E-2</c:v>
                </c:pt>
                <c:pt idx="5">
                  <c:v>0</c:v>
                </c:pt>
                <c:pt idx="6">
                  <c:v>0</c:v>
                </c:pt>
                <c:pt idx="7">
                  <c:v>0</c:v>
                </c:pt>
              </c:numCache>
            </c:numRef>
          </c:val>
          <c:extLst>
            <c:ext xmlns:c16="http://schemas.microsoft.com/office/drawing/2014/chart" uri="{C3380CC4-5D6E-409C-BE32-E72D297353CC}">
              <c16:uniqueId val="{00000005-73AC-43C0-AC96-81948993871E}"/>
            </c:ext>
          </c:extLst>
        </c:ser>
        <c:dLbls>
          <c:showLegendKey val="0"/>
          <c:showVal val="0"/>
          <c:showCatName val="0"/>
          <c:showSerName val="0"/>
          <c:showPercent val="0"/>
          <c:showBubbleSize val="0"/>
        </c:dLbls>
        <c:gapWidth val="150"/>
        <c:overlap val="100"/>
        <c:axId val="851579632"/>
        <c:axId val="851575472"/>
      </c:barChart>
      <c:catAx>
        <c:axId val="851579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CSP</a:t>
                </a:r>
                <a:r>
                  <a:rPr lang="en-US" baseline="0"/>
                  <a:t> Site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75472"/>
        <c:crosses val="autoZero"/>
        <c:auto val="1"/>
        <c:lblAlgn val="ctr"/>
        <c:lblOffset val="100"/>
        <c:noMultiLvlLbl val="0"/>
      </c:catAx>
      <c:valAx>
        <c:axId val="85157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Release of Carbon (Kg C / MWh generation)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79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'Tornado Plot'!$C$3</c:f>
              <c:strCache>
                <c:ptCount val="1"/>
                <c:pt idx="0">
                  <c:v>Best Case Scenario</c:v>
                </c:pt>
              </c:strCache>
            </c:strRef>
          </c:tx>
          <c:spPr>
            <a:solidFill>
              <a:schemeClr val="accent1"/>
            </a:solidFill>
            <a:ln>
              <a:noFill/>
            </a:ln>
            <a:effectLst/>
          </c:spPr>
          <c:invertIfNegative val="0"/>
          <c:cat>
            <c:strRef>
              <c:f>'Tornado Plot'!$B$4:$B$11</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'Tornado Plot'!$C$4:$C$11</c:f>
              <c:numCache>
                <c:formatCode>0.00</c:formatCode>
                <c:ptCount val="8"/>
                <c:pt idx="0">
                  <c:v>-7445.5813387460003</c:v>
                </c:pt>
                <c:pt idx="1">
                  <c:v>-3393.7851794439998</c:v>
                </c:pt>
                <c:pt idx="2">
                  <c:v>-3274.6952992189999</c:v>
                </c:pt>
                <c:pt idx="3">
                  <c:v>-5246.4870124259996</c:v>
                </c:pt>
                <c:pt idx="4">
                  <c:v>-12688.246206080001</c:v>
                </c:pt>
                <c:pt idx="5">
                  <c:v>-5103.0660336860001</c:v>
                </c:pt>
                <c:pt idx="6">
                  <c:v>-10260.235699999999</c:v>
                </c:pt>
                <c:pt idx="7">
                  <c:v>-1250.5882482919999</c:v>
                </c:pt>
              </c:numCache>
            </c:numRef>
          </c:val>
          <c:extLst>
            <c:ext xmlns:c16="http://schemas.microsoft.com/office/drawing/2014/chart" uri="{C3380CC4-5D6E-409C-BE32-E72D297353CC}">
              <c16:uniqueId val="{00000000-0087-46CD-B4F9-5793F0D306EE}"/>
            </c:ext>
          </c:extLst>
        </c:ser>
        <c:ser>
          <c:idx val="1"/>
          <c:order val="1"/>
          <c:tx>
            <c:strRef>
              <c:f>'Tornado Plot'!$D$3</c:f>
              <c:strCache>
                <c:ptCount val="1"/>
                <c:pt idx="0">
                  <c:v>Worst Case Scenario</c:v>
                </c:pt>
              </c:strCache>
            </c:strRef>
          </c:tx>
          <c:spPr>
            <a:solidFill>
              <a:schemeClr val="accent2"/>
            </a:solidFill>
            <a:ln>
              <a:noFill/>
            </a:ln>
            <a:effectLst/>
          </c:spPr>
          <c:invertIfNegative val="0"/>
          <c:cat>
            <c:strRef>
              <c:f>'Tornado Plot'!$B$4:$B$11</c:f>
              <c:strCache>
                <c:ptCount val="8"/>
                <c:pt idx="0">
                  <c:v>Solana Generating Station</c:v>
                </c:pt>
                <c:pt idx="1">
                  <c:v>SEGS 1 (III-VII)</c:v>
                </c:pt>
                <c:pt idx="2">
                  <c:v>SEGS 2 (VIII, IX)</c:v>
                </c:pt>
                <c:pt idx="3">
                  <c:v>Mojave Solar Project</c:v>
                </c:pt>
                <c:pt idx="4">
                  <c:v>Ivanpah (1-3)</c:v>
                </c:pt>
                <c:pt idx="5">
                  <c:v>Genesis</c:v>
                </c:pt>
                <c:pt idx="6">
                  <c:v>Crescent Dunes</c:v>
                </c:pt>
                <c:pt idx="7">
                  <c:v>Nevada Solar One</c:v>
                </c:pt>
              </c:strCache>
            </c:strRef>
          </c:cat>
          <c:val>
            <c:numRef>
              <c:f>'Tornado Plot'!$D$4:$D$11</c:f>
              <c:numCache>
                <c:formatCode>0.00</c:formatCode>
                <c:ptCount val="8"/>
                <c:pt idx="0">
                  <c:v>53608.185638971205</c:v>
                </c:pt>
                <c:pt idx="1">
                  <c:v>24435.2532919968</c:v>
                </c:pt>
                <c:pt idx="2">
                  <c:v>23577.806154376802</c:v>
                </c:pt>
                <c:pt idx="3">
                  <c:v>37774.7064894672</c:v>
                </c:pt>
                <c:pt idx="4">
                  <c:v>91355.37268377599</c:v>
                </c:pt>
                <c:pt idx="5">
                  <c:v>36742.075442539201</c:v>
                </c:pt>
                <c:pt idx="6">
                  <c:v>73873.697039999999</c:v>
                </c:pt>
                <c:pt idx="7">
                  <c:v>9004.2353877023997</c:v>
                </c:pt>
              </c:numCache>
            </c:numRef>
          </c:val>
          <c:extLst>
            <c:ext xmlns:c16="http://schemas.microsoft.com/office/drawing/2014/chart" uri="{C3380CC4-5D6E-409C-BE32-E72D297353CC}">
              <c16:uniqueId val="{00000001-0087-46CD-B4F9-5793F0D306EE}"/>
            </c:ext>
          </c:extLst>
        </c:ser>
        <c:dLbls>
          <c:showLegendKey val="0"/>
          <c:showVal val="0"/>
          <c:showCatName val="0"/>
          <c:showSerName val="0"/>
          <c:showPercent val="0"/>
          <c:showBubbleSize val="0"/>
        </c:dLbls>
        <c:gapWidth val="10"/>
        <c:overlap val="100"/>
        <c:axId val="89816095"/>
        <c:axId val="89817343"/>
      </c:barChart>
      <c:catAx>
        <c:axId val="89816095"/>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17343"/>
        <c:crosses val="autoZero"/>
        <c:auto val="1"/>
        <c:lblAlgn val="ctr"/>
        <c:lblOffset val="100"/>
        <c:noMultiLvlLbl val="0"/>
      </c:catAx>
      <c:valAx>
        <c:axId val="89817343"/>
        <c:scaling>
          <c:orientation val="minMax"/>
          <c:max val="100000"/>
          <c:min val="-100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Metric</a:t>
                </a:r>
                <a:r>
                  <a:rPr lang="en-US" baseline="0"/>
                  <a:t> tonnes of carbon released</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16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Land Transformation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'Land Transformation (Annual)'!$B$21</c:f>
              <c:strCache>
                <c:ptCount val="1"/>
                <c:pt idx="0">
                  <c:v>Mirrors</c:v>
                </c:pt>
              </c:strCache>
            </c:strRef>
          </c:tx>
          <c:spPr>
            <a:solidFill>
              <a:schemeClr val="accent1"/>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(Annual)'!$C$21:$K$21</c:f>
              <c:numCache>
                <c:formatCode>0.0</c:formatCode>
                <c:ptCount val="9"/>
                <c:pt idx="0">
                  <c:v>9.1813886327625731</c:v>
                </c:pt>
                <c:pt idx="1">
                  <c:v>18.084873142558013</c:v>
                </c:pt>
                <c:pt idx="2">
                  <c:v>11.999552034736135</c:v>
                </c:pt>
                <c:pt idx="3">
                  <c:v>8.7103905364668357</c:v>
                </c:pt>
                <c:pt idx="4">
                  <c:v>16.864112929350433</c:v>
                </c:pt>
                <c:pt idx="5">
                  <c:v>7.8383322198525063</c:v>
                </c:pt>
                <c:pt idx="6">
                  <c:v>103.39477859913127</c:v>
                </c:pt>
                <c:pt idx="7">
                  <c:v>10.29878486320483</c:v>
                </c:pt>
                <c:pt idx="8">
                  <c:v>23.296526619757827</c:v>
                </c:pt>
              </c:numCache>
            </c:numRef>
          </c:val>
          <c:extLst>
            <c:ext xmlns:c16="http://schemas.microsoft.com/office/drawing/2014/chart" uri="{C3380CC4-5D6E-409C-BE32-E72D297353CC}">
              <c16:uniqueId val="{00000000-5C11-476C-8FD0-8ADA3E8F5EE5}"/>
            </c:ext>
          </c:extLst>
        </c:ser>
        <c:ser>
          <c:idx val="1"/>
          <c:order val="1"/>
          <c:tx>
            <c:strRef>
              <c:f>'Land Transformation (Annual)'!$B$22</c:f>
              <c:strCache>
                <c:ptCount val="1"/>
                <c:pt idx="0">
                  <c:v>Generator</c:v>
                </c:pt>
              </c:strCache>
            </c:strRef>
          </c:tx>
          <c:spPr>
            <a:solidFill>
              <a:schemeClr val="accent2"/>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(Annual)'!$C$22:$K$22</c:f>
              <c:numCache>
                <c:formatCode>0.0</c:formatCode>
                <c:ptCount val="9"/>
                <c:pt idx="0">
                  <c:v>0.27992013449038911</c:v>
                </c:pt>
                <c:pt idx="1">
                  <c:v>0.54737575237057812</c:v>
                </c:pt>
                <c:pt idx="2">
                  <c:v>0.1810527542813144</c:v>
                </c:pt>
                <c:pt idx="3">
                  <c:v>0.18781585755800043</c:v>
                </c:pt>
                <c:pt idx="4">
                  <c:v>9.8001798854044739E-2</c:v>
                </c:pt>
                <c:pt idx="5">
                  <c:v>0.12506172317849526</c:v>
                </c:pt>
                <c:pt idx="6">
                  <c:v>0.75367334821723075</c:v>
                </c:pt>
                <c:pt idx="7">
                  <c:v>0.35429313191395118</c:v>
                </c:pt>
                <c:pt idx="8">
                  <c:v>0.31589931260800047</c:v>
                </c:pt>
              </c:numCache>
            </c:numRef>
          </c:val>
          <c:extLst>
            <c:ext xmlns:c16="http://schemas.microsoft.com/office/drawing/2014/chart" uri="{C3380CC4-5D6E-409C-BE32-E72D297353CC}">
              <c16:uniqueId val="{00000001-5C11-476C-8FD0-8ADA3E8F5EE5}"/>
            </c:ext>
          </c:extLst>
        </c:ser>
        <c:ser>
          <c:idx val="2"/>
          <c:order val="2"/>
          <c:tx>
            <c:strRef>
              <c:f>'Land Transformation (Annual)'!$B$23</c:f>
              <c:strCache>
                <c:ptCount val="1"/>
                <c:pt idx="0">
                  <c:v>Water Bodies</c:v>
                </c:pt>
              </c:strCache>
            </c:strRef>
          </c:tx>
          <c:spPr>
            <a:solidFill>
              <a:schemeClr val="accent3"/>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(Annual)'!$C$23:$K$23</c:f>
              <c:numCache>
                <c:formatCode>0.0</c:formatCode>
                <c:ptCount val="9"/>
                <c:pt idx="0">
                  <c:v>0.26382071802318097</c:v>
                </c:pt>
                <c:pt idx="1">
                  <c:v>0.77772725638232565</c:v>
                </c:pt>
                <c:pt idx="2">
                  <c:v>0.50873662109539841</c:v>
                </c:pt>
                <c:pt idx="3">
                  <c:v>0.16750656768361211</c:v>
                </c:pt>
                <c:pt idx="4">
                  <c:v>0</c:v>
                </c:pt>
                <c:pt idx="5">
                  <c:v>5.1401701684032686E-2</c:v>
                </c:pt>
                <c:pt idx="6">
                  <c:v>2.543302766946637</c:v>
                </c:pt>
                <c:pt idx="7">
                  <c:v>0.37467288061834664</c:v>
                </c:pt>
                <c:pt idx="8">
                  <c:v>0.5858960640541917</c:v>
                </c:pt>
              </c:numCache>
            </c:numRef>
          </c:val>
          <c:extLst>
            <c:ext xmlns:c16="http://schemas.microsoft.com/office/drawing/2014/chart" uri="{C3380CC4-5D6E-409C-BE32-E72D297353CC}">
              <c16:uniqueId val="{00000002-5C11-476C-8FD0-8ADA3E8F5EE5}"/>
            </c:ext>
          </c:extLst>
        </c:ser>
        <c:ser>
          <c:idx val="3"/>
          <c:order val="3"/>
          <c:tx>
            <c:strRef>
              <c:f>'Land Transformation (Annual)'!$B$24</c:f>
              <c:strCache>
                <c:ptCount val="1"/>
                <c:pt idx="0">
                  <c:v>Internal Roads</c:v>
                </c:pt>
              </c:strCache>
            </c:strRef>
          </c:tx>
          <c:spPr>
            <a:solidFill>
              <a:schemeClr val="accent4"/>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(Annual)'!$C$24:$K$24</c:f>
              <c:numCache>
                <c:formatCode>0.0</c:formatCode>
                <c:ptCount val="9"/>
                <c:pt idx="0">
                  <c:v>2.2007592032015768E-2</c:v>
                </c:pt>
                <c:pt idx="1">
                  <c:v>0.18466421237723707</c:v>
                </c:pt>
                <c:pt idx="2">
                  <c:v>0</c:v>
                </c:pt>
                <c:pt idx="3">
                  <c:v>7.7684481054377266E-2</c:v>
                </c:pt>
                <c:pt idx="4">
                  <c:v>0.11533745041453579</c:v>
                </c:pt>
                <c:pt idx="5">
                  <c:v>7.5412094971349278E-2</c:v>
                </c:pt>
                <c:pt idx="6">
                  <c:v>0.18310284125038628</c:v>
                </c:pt>
                <c:pt idx="7">
                  <c:v>5.1003409357882147E-2</c:v>
                </c:pt>
                <c:pt idx="8">
                  <c:v>8.8651510182222948E-2</c:v>
                </c:pt>
              </c:numCache>
            </c:numRef>
          </c:val>
          <c:extLst>
            <c:ext xmlns:c16="http://schemas.microsoft.com/office/drawing/2014/chart" uri="{C3380CC4-5D6E-409C-BE32-E72D297353CC}">
              <c16:uniqueId val="{00000003-5C11-476C-8FD0-8ADA3E8F5EE5}"/>
            </c:ext>
          </c:extLst>
        </c:ser>
        <c:ser>
          <c:idx val="4"/>
          <c:order val="4"/>
          <c:tx>
            <c:strRef>
              <c:f>'Land Transformation (Annual)'!$B$25</c:f>
              <c:strCache>
                <c:ptCount val="1"/>
                <c:pt idx="0">
                  <c:v>External Roads</c:v>
                </c:pt>
              </c:strCache>
            </c:strRef>
          </c:tx>
          <c:spPr>
            <a:solidFill>
              <a:schemeClr val="accent5"/>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(Annual)'!$C$25:$K$25</c:f>
              <c:numCache>
                <c:formatCode>0.0</c:formatCode>
                <c:ptCount val="9"/>
                <c:pt idx="0">
                  <c:v>0</c:v>
                </c:pt>
                <c:pt idx="1">
                  <c:v>0</c:v>
                </c:pt>
                <c:pt idx="2">
                  <c:v>6.6743318500705695E-2</c:v>
                </c:pt>
                <c:pt idx="3">
                  <c:v>0</c:v>
                </c:pt>
                <c:pt idx="4">
                  <c:v>8.3689791299204841E-2</c:v>
                </c:pt>
                <c:pt idx="5">
                  <c:v>0.1052242593211193</c:v>
                </c:pt>
                <c:pt idx="6">
                  <c:v>0</c:v>
                </c:pt>
                <c:pt idx="7">
                  <c:v>0</c:v>
                </c:pt>
                <c:pt idx="8">
                  <c:v>3.1957171140128728E-2</c:v>
                </c:pt>
              </c:numCache>
            </c:numRef>
          </c:val>
          <c:extLst>
            <c:ext xmlns:c16="http://schemas.microsoft.com/office/drawing/2014/chart" uri="{C3380CC4-5D6E-409C-BE32-E72D297353CC}">
              <c16:uniqueId val="{00000004-5C11-476C-8FD0-8ADA3E8F5EE5}"/>
            </c:ext>
          </c:extLst>
        </c:ser>
        <c:ser>
          <c:idx val="5"/>
          <c:order val="5"/>
          <c:tx>
            <c:strRef>
              <c:f>'Land Transformation (Annual)'!$B$26</c:f>
              <c:strCache>
                <c:ptCount val="1"/>
                <c:pt idx="0">
                  <c:v>Substation</c:v>
                </c:pt>
              </c:strCache>
            </c:strRef>
          </c:tx>
          <c:spPr>
            <a:solidFill>
              <a:schemeClr val="accent6"/>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(Annual)'!$C$26:$K$26</c:f>
              <c:numCache>
                <c:formatCode>0.0</c:formatCode>
                <c:ptCount val="9"/>
                <c:pt idx="0">
                  <c:v>0</c:v>
                </c:pt>
                <c:pt idx="1">
                  <c:v>0</c:v>
                </c:pt>
                <c:pt idx="2">
                  <c:v>0</c:v>
                </c:pt>
                <c:pt idx="3">
                  <c:v>4.1125019986065187E-2</c:v>
                </c:pt>
                <c:pt idx="4">
                  <c:v>0.23694658942422972</c:v>
                </c:pt>
                <c:pt idx="5">
                  <c:v>0</c:v>
                </c:pt>
                <c:pt idx="6">
                  <c:v>0</c:v>
                </c:pt>
                <c:pt idx="7">
                  <c:v>0</c:v>
                </c:pt>
                <c:pt idx="8">
                  <c:v>3.4758951176286863E-2</c:v>
                </c:pt>
              </c:numCache>
            </c:numRef>
          </c:val>
          <c:extLst>
            <c:ext xmlns:c16="http://schemas.microsoft.com/office/drawing/2014/chart" uri="{C3380CC4-5D6E-409C-BE32-E72D297353CC}">
              <c16:uniqueId val="{00000005-5C11-476C-8FD0-8ADA3E8F5EE5}"/>
            </c:ext>
          </c:extLst>
        </c:ser>
        <c:dLbls>
          <c:showLegendKey val="0"/>
          <c:showVal val="0"/>
          <c:showCatName val="0"/>
          <c:showSerName val="0"/>
          <c:showPercent val="0"/>
          <c:showBubbleSize val="0"/>
        </c:dLbls>
        <c:gapWidth val="150"/>
        <c:overlap val="100"/>
        <c:axId val="238490064"/>
        <c:axId val="238492560"/>
      </c:barChart>
      <c:catAx>
        <c:axId val="2384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92560"/>
        <c:crosses val="autoZero"/>
        <c:auto val="1"/>
        <c:lblAlgn val="ctr"/>
        <c:lblOffset val="100"/>
        <c:noMultiLvlLbl val="0"/>
      </c:catAx>
      <c:valAx>
        <c:axId val="238492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Land</a:t>
                </a:r>
                <a:r>
                  <a:rPr lang="en-US" baseline="0"/>
                  <a:t> Transformation (sq. m / MWh)</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9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Land Transformation (excluding</a:t>
            </a:r>
            <a:r>
              <a:rPr lang="en-US" baseline="0"/>
              <a:t> mirrors)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'Land Transformation (Annual)'!$B$22</c:f>
              <c:strCache>
                <c:ptCount val="1"/>
                <c:pt idx="0">
                  <c:v>Generator</c:v>
                </c:pt>
              </c:strCache>
            </c:strRef>
          </c:tx>
          <c:spPr>
            <a:solidFill>
              <a:schemeClr val="accent2"/>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(Annual)'!$C$22:$K$22</c:f>
              <c:numCache>
                <c:formatCode>0.0</c:formatCode>
                <c:ptCount val="9"/>
                <c:pt idx="0">
                  <c:v>0.27992013449038911</c:v>
                </c:pt>
                <c:pt idx="1">
                  <c:v>0.54737575237057812</c:v>
                </c:pt>
                <c:pt idx="2">
                  <c:v>0.1810527542813144</c:v>
                </c:pt>
                <c:pt idx="3">
                  <c:v>0.18781585755800043</c:v>
                </c:pt>
                <c:pt idx="4">
                  <c:v>9.8001798854044739E-2</c:v>
                </c:pt>
                <c:pt idx="5">
                  <c:v>0.12506172317849526</c:v>
                </c:pt>
                <c:pt idx="6">
                  <c:v>0.75367334821723075</c:v>
                </c:pt>
                <c:pt idx="7">
                  <c:v>0.35429313191395118</c:v>
                </c:pt>
                <c:pt idx="8">
                  <c:v>0.31589931260800047</c:v>
                </c:pt>
              </c:numCache>
            </c:numRef>
          </c:val>
          <c:extLst>
            <c:ext xmlns:c16="http://schemas.microsoft.com/office/drawing/2014/chart" uri="{C3380CC4-5D6E-409C-BE32-E72D297353CC}">
              <c16:uniqueId val="{00000001-04A7-466D-9280-FF153D62B884}"/>
            </c:ext>
          </c:extLst>
        </c:ser>
        <c:ser>
          <c:idx val="2"/>
          <c:order val="1"/>
          <c:tx>
            <c:strRef>
              <c:f>'Land Transformation (Annual)'!$B$23</c:f>
              <c:strCache>
                <c:ptCount val="1"/>
                <c:pt idx="0">
                  <c:v>Water Bodies</c:v>
                </c:pt>
              </c:strCache>
            </c:strRef>
          </c:tx>
          <c:spPr>
            <a:solidFill>
              <a:schemeClr val="accent3"/>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(Annual)'!$C$23:$K$23</c:f>
              <c:numCache>
                <c:formatCode>0.0</c:formatCode>
                <c:ptCount val="9"/>
                <c:pt idx="0">
                  <c:v>0.26382071802318097</c:v>
                </c:pt>
                <c:pt idx="1">
                  <c:v>0.77772725638232565</c:v>
                </c:pt>
                <c:pt idx="2">
                  <c:v>0.50873662109539841</c:v>
                </c:pt>
                <c:pt idx="3">
                  <c:v>0.16750656768361211</c:v>
                </c:pt>
                <c:pt idx="4">
                  <c:v>0</c:v>
                </c:pt>
                <c:pt idx="5">
                  <c:v>5.1401701684032686E-2</c:v>
                </c:pt>
                <c:pt idx="6">
                  <c:v>2.543302766946637</c:v>
                </c:pt>
                <c:pt idx="7">
                  <c:v>0.37467288061834664</c:v>
                </c:pt>
                <c:pt idx="8">
                  <c:v>0.5858960640541917</c:v>
                </c:pt>
              </c:numCache>
            </c:numRef>
          </c:val>
          <c:extLst>
            <c:ext xmlns:c16="http://schemas.microsoft.com/office/drawing/2014/chart" uri="{C3380CC4-5D6E-409C-BE32-E72D297353CC}">
              <c16:uniqueId val="{00000002-04A7-466D-9280-FF153D62B884}"/>
            </c:ext>
          </c:extLst>
        </c:ser>
        <c:ser>
          <c:idx val="3"/>
          <c:order val="2"/>
          <c:tx>
            <c:strRef>
              <c:f>'Land Transformation (Annual)'!$B$24</c:f>
              <c:strCache>
                <c:ptCount val="1"/>
                <c:pt idx="0">
                  <c:v>Internal Roads</c:v>
                </c:pt>
              </c:strCache>
            </c:strRef>
          </c:tx>
          <c:spPr>
            <a:solidFill>
              <a:schemeClr val="accent4"/>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(Annual)'!$C$24:$K$24</c:f>
              <c:numCache>
                <c:formatCode>0.0</c:formatCode>
                <c:ptCount val="9"/>
                <c:pt idx="0">
                  <c:v>2.2007592032015768E-2</c:v>
                </c:pt>
                <c:pt idx="1">
                  <c:v>0.18466421237723707</c:v>
                </c:pt>
                <c:pt idx="2">
                  <c:v>0</c:v>
                </c:pt>
                <c:pt idx="3">
                  <c:v>7.7684481054377266E-2</c:v>
                </c:pt>
                <c:pt idx="4">
                  <c:v>0.11533745041453579</c:v>
                </c:pt>
                <c:pt idx="5">
                  <c:v>7.5412094971349278E-2</c:v>
                </c:pt>
                <c:pt idx="6">
                  <c:v>0.18310284125038628</c:v>
                </c:pt>
                <c:pt idx="7">
                  <c:v>5.1003409357882147E-2</c:v>
                </c:pt>
                <c:pt idx="8">
                  <c:v>8.8651510182222948E-2</c:v>
                </c:pt>
              </c:numCache>
            </c:numRef>
          </c:val>
          <c:extLst>
            <c:ext xmlns:c16="http://schemas.microsoft.com/office/drawing/2014/chart" uri="{C3380CC4-5D6E-409C-BE32-E72D297353CC}">
              <c16:uniqueId val="{00000003-04A7-466D-9280-FF153D62B884}"/>
            </c:ext>
          </c:extLst>
        </c:ser>
        <c:ser>
          <c:idx val="4"/>
          <c:order val="3"/>
          <c:tx>
            <c:strRef>
              <c:f>'Land Transformation (Annual)'!$B$25</c:f>
              <c:strCache>
                <c:ptCount val="1"/>
                <c:pt idx="0">
                  <c:v>External Roads</c:v>
                </c:pt>
              </c:strCache>
            </c:strRef>
          </c:tx>
          <c:spPr>
            <a:solidFill>
              <a:schemeClr val="accent5"/>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(Annual)'!$C$25:$K$25</c:f>
              <c:numCache>
                <c:formatCode>0.0</c:formatCode>
                <c:ptCount val="9"/>
                <c:pt idx="0">
                  <c:v>0</c:v>
                </c:pt>
                <c:pt idx="1">
                  <c:v>0</c:v>
                </c:pt>
                <c:pt idx="2">
                  <c:v>6.6743318500705695E-2</c:v>
                </c:pt>
                <c:pt idx="3">
                  <c:v>0</c:v>
                </c:pt>
                <c:pt idx="4">
                  <c:v>8.3689791299204841E-2</c:v>
                </c:pt>
                <c:pt idx="5">
                  <c:v>0.1052242593211193</c:v>
                </c:pt>
                <c:pt idx="6">
                  <c:v>0</c:v>
                </c:pt>
                <c:pt idx="7">
                  <c:v>0</c:v>
                </c:pt>
                <c:pt idx="8">
                  <c:v>3.1957171140128728E-2</c:v>
                </c:pt>
              </c:numCache>
            </c:numRef>
          </c:val>
          <c:extLst>
            <c:ext xmlns:c16="http://schemas.microsoft.com/office/drawing/2014/chart" uri="{C3380CC4-5D6E-409C-BE32-E72D297353CC}">
              <c16:uniqueId val="{00000004-04A7-466D-9280-FF153D62B884}"/>
            </c:ext>
          </c:extLst>
        </c:ser>
        <c:ser>
          <c:idx val="5"/>
          <c:order val="4"/>
          <c:tx>
            <c:strRef>
              <c:f>'Land Transformation (Annual)'!$B$26</c:f>
              <c:strCache>
                <c:ptCount val="1"/>
                <c:pt idx="0">
                  <c:v>Substation</c:v>
                </c:pt>
              </c:strCache>
            </c:strRef>
          </c:tx>
          <c:spPr>
            <a:solidFill>
              <a:schemeClr val="accent6"/>
            </a:solidFill>
            <a:ln>
              <a:noFill/>
            </a:ln>
            <a:effectLst/>
          </c:spPr>
          <c:invertIfNegative val="0"/>
          <c:cat>
            <c:strRef>
              <c:f>'Land Transformation (Annual)'!$C$20:$K$20</c:f>
              <c:strCache>
                <c:ptCount val="9"/>
                <c:pt idx="0">
                  <c:v>Solana Generating Station</c:v>
                </c:pt>
                <c:pt idx="1">
                  <c:v>SEGS 1 (III-VII)</c:v>
                </c:pt>
                <c:pt idx="2">
                  <c:v>SEGS 2 (VIII, IX)</c:v>
                </c:pt>
                <c:pt idx="3">
                  <c:v>Mojave Solar Project</c:v>
                </c:pt>
                <c:pt idx="4">
                  <c:v>Ivanpah (1-3)</c:v>
                </c:pt>
                <c:pt idx="5">
                  <c:v>Genesis</c:v>
                </c:pt>
                <c:pt idx="6">
                  <c:v>Crescent Dunes</c:v>
                </c:pt>
                <c:pt idx="7">
                  <c:v>Nevada Solar One</c:v>
                </c:pt>
                <c:pt idx="8">
                  <c:v>Average across all sites</c:v>
                </c:pt>
              </c:strCache>
            </c:strRef>
          </c:cat>
          <c:val>
            <c:numRef>
              <c:f>'Land Transformation (Annual)'!$C$26:$K$26</c:f>
              <c:numCache>
                <c:formatCode>0.0</c:formatCode>
                <c:ptCount val="9"/>
                <c:pt idx="0">
                  <c:v>0</c:v>
                </c:pt>
                <c:pt idx="1">
                  <c:v>0</c:v>
                </c:pt>
                <c:pt idx="2">
                  <c:v>0</c:v>
                </c:pt>
                <c:pt idx="3">
                  <c:v>4.1125019986065187E-2</c:v>
                </c:pt>
                <c:pt idx="4">
                  <c:v>0.23694658942422972</c:v>
                </c:pt>
                <c:pt idx="5">
                  <c:v>0</c:v>
                </c:pt>
                <c:pt idx="6">
                  <c:v>0</c:v>
                </c:pt>
                <c:pt idx="7">
                  <c:v>0</c:v>
                </c:pt>
                <c:pt idx="8">
                  <c:v>3.4758951176286863E-2</c:v>
                </c:pt>
              </c:numCache>
            </c:numRef>
          </c:val>
          <c:extLst>
            <c:ext xmlns:c16="http://schemas.microsoft.com/office/drawing/2014/chart" uri="{C3380CC4-5D6E-409C-BE32-E72D297353CC}">
              <c16:uniqueId val="{00000005-04A7-466D-9280-FF153D62B884}"/>
            </c:ext>
          </c:extLst>
        </c:ser>
        <c:dLbls>
          <c:showLegendKey val="0"/>
          <c:showVal val="0"/>
          <c:showCatName val="0"/>
          <c:showSerName val="0"/>
          <c:showPercent val="0"/>
          <c:showBubbleSize val="0"/>
        </c:dLbls>
        <c:gapWidth val="150"/>
        <c:overlap val="100"/>
        <c:axId val="238490064"/>
        <c:axId val="238492560"/>
      </c:barChart>
      <c:catAx>
        <c:axId val="2384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92560"/>
        <c:crosses val="autoZero"/>
        <c:auto val="1"/>
        <c:lblAlgn val="ctr"/>
        <c:lblOffset val="100"/>
        <c:noMultiLvlLbl val="0"/>
      </c:catAx>
      <c:valAx>
        <c:axId val="238492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Land Transformation (sq. m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9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811665D-F9D8-4568-B621-62379B0597A0}">
  <sheetPr/>
  <sheetViews>
    <sheetView zoomScale="8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807720</xdr:colOff>
      <xdr:row>61</xdr:row>
      <xdr:rowOff>121920</xdr:rowOff>
    </xdr:from>
    <xdr:to>
      <xdr:col>8</xdr:col>
      <xdr:colOff>925830</xdr:colOff>
      <xdr:row>82</xdr:row>
      <xdr:rowOff>49530</xdr:rowOff>
    </xdr:to>
    <xdr:grpSp>
      <xdr:nvGrpSpPr>
        <xdr:cNvPr id="4" name="Group 3">
          <a:extLst>
            <a:ext uri="{FF2B5EF4-FFF2-40B4-BE49-F238E27FC236}">
              <a16:creationId xmlns:a16="http://schemas.microsoft.com/office/drawing/2014/main" id="{35AEA965-2581-4409-9E37-20E8FB2726E0}"/>
            </a:ext>
          </a:extLst>
        </xdr:cNvPr>
        <xdr:cNvGrpSpPr/>
      </xdr:nvGrpSpPr>
      <xdr:grpSpPr>
        <a:xfrm>
          <a:off x="6065520" y="11101070"/>
          <a:ext cx="6658610" cy="3261360"/>
          <a:chOff x="5737860" y="6332220"/>
          <a:chExt cx="7600950" cy="3448050"/>
        </a:xfrm>
      </xdr:grpSpPr>
      <xdr:graphicFrame macro="">
        <xdr:nvGraphicFramePr>
          <xdr:cNvPr id="3" name="Chart 2">
            <a:extLst>
              <a:ext uri="{FF2B5EF4-FFF2-40B4-BE49-F238E27FC236}">
                <a16:creationId xmlns:a16="http://schemas.microsoft.com/office/drawing/2014/main" id="{146DC15E-3E16-4683-8485-47EAC8D84B31}"/>
              </a:ext>
            </a:extLst>
          </xdr:cNvPr>
          <xdr:cNvGraphicFramePr/>
        </xdr:nvGraphicFramePr>
        <xdr:xfrm>
          <a:off x="5737860" y="6332220"/>
          <a:ext cx="7600950" cy="34480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1">
            <a:extLst>
              <a:ext uri="{FF2B5EF4-FFF2-40B4-BE49-F238E27FC236}">
                <a16:creationId xmlns:a16="http://schemas.microsoft.com/office/drawing/2014/main" id="{3171DAB5-79C3-45D2-AB67-34C7B4FA2F7E}"/>
              </a:ext>
            </a:extLst>
          </xdr:cNvPr>
          <xdr:cNvSpPr txBox="1"/>
        </xdr:nvSpPr>
        <xdr:spPr>
          <a:xfrm>
            <a:off x="12184380" y="9159240"/>
            <a:ext cx="1013460" cy="312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800"/>
              <a:t>solar tower site</a:t>
            </a:r>
          </a:p>
        </xdr:txBody>
      </xdr:sp>
    </xdr:grpSp>
    <xdr:clientData/>
  </xdr:twoCellAnchor>
</xdr:wsDr>
</file>

<file path=xl/drawings/drawing2.xml><?xml version="1.0" encoding="utf-8"?>
<xdr:wsDr xmlns:xdr="http://schemas.openxmlformats.org/drawingml/2006/spreadsheetDrawing" xmlns:a="http://schemas.openxmlformats.org/drawingml/2006/main">
  <xdr:absoluteAnchor>
    <xdr:pos x="0" y="0"/>
    <xdr:ext cx="8668488" cy="6290930"/>
    <xdr:graphicFrame macro="">
      <xdr:nvGraphicFramePr>
        <xdr:cNvPr id="2" name="Chart 1">
          <a:extLst>
            <a:ext uri="{FF2B5EF4-FFF2-40B4-BE49-F238E27FC236}">
              <a16:creationId xmlns:a16="http://schemas.microsoft.com/office/drawing/2014/main" id="{CEFDD22B-9C87-B17D-94B8-2E928E8F89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2</xdr:col>
      <xdr:colOff>45720</xdr:colOff>
      <xdr:row>29</xdr:row>
      <xdr:rowOff>118110</xdr:rowOff>
    </xdr:from>
    <xdr:to>
      <xdr:col>10</xdr:col>
      <xdr:colOff>91440</xdr:colOff>
      <xdr:row>51</xdr:row>
      <xdr:rowOff>76200</xdr:rowOff>
    </xdr:to>
    <xdr:graphicFrame macro="">
      <xdr:nvGraphicFramePr>
        <xdr:cNvPr id="2" name="Chart 1">
          <a:extLst>
            <a:ext uri="{FF2B5EF4-FFF2-40B4-BE49-F238E27FC236}">
              <a16:creationId xmlns:a16="http://schemas.microsoft.com/office/drawing/2014/main" id="{F5BFCC76-697E-4FA8-9E50-7DB5BA6A1D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1272540</xdr:colOff>
      <xdr:row>65</xdr:row>
      <xdr:rowOff>76200</xdr:rowOff>
    </xdr:from>
    <xdr:to>
      <xdr:col>9</xdr:col>
      <xdr:colOff>304800</xdr:colOff>
      <xdr:row>92</xdr:row>
      <xdr:rowOff>76200</xdr:rowOff>
    </xdr:to>
    <xdr:graphicFrame macro="">
      <xdr:nvGraphicFramePr>
        <xdr:cNvPr id="3" name="Chart 2">
          <a:extLst>
            <a:ext uri="{FF2B5EF4-FFF2-40B4-BE49-F238E27FC236}">
              <a16:creationId xmlns:a16="http://schemas.microsoft.com/office/drawing/2014/main" id="{187A150B-B3A4-4461-873F-02937F3AD5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xdr:colOff>
      <xdr:row>29</xdr:row>
      <xdr:rowOff>118110</xdr:rowOff>
    </xdr:from>
    <xdr:to>
      <xdr:col>10</xdr:col>
      <xdr:colOff>91440</xdr:colOff>
      <xdr:row>51</xdr:row>
      <xdr:rowOff>76200</xdr:rowOff>
    </xdr:to>
    <xdr:graphicFrame macro="">
      <xdr:nvGraphicFramePr>
        <xdr:cNvPr id="2" name="Chart 1">
          <a:extLst>
            <a:ext uri="{FF2B5EF4-FFF2-40B4-BE49-F238E27FC236}">
              <a16:creationId xmlns:a16="http://schemas.microsoft.com/office/drawing/2014/main" id="{B7E51594-21FC-4C39-BF9D-D19C91A36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1272540</xdr:colOff>
      <xdr:row>65</xdr:row>
      <xdr:rowOff>76200</xdr:rowOff>
    </xdr:from>
    <xdr:to>
      <xdr:col>9</xdr:col>
      <xdr:colOff>304800</xdr:colOff>
      <xdr:row>92</xdr:row>
      <xdr:rowOff>76200</xdr:rowOff>
    </xdr:to>
    <xdr:graphicFrame macro="">
      <xdr:nvGraphicFramePr>
        <xdr:cNvPr id="3" name="Chart 2">
          <a:extLst>
            <a:ext uri="{FF2B5EF4-FFF2-40B4-BE49-F238E27FC236}">
              <a16:creationId xmlns:a16="http://schemas.microsoft.com/office/drawing/2014/main" id="{E3967181-610C-4A89-97BE-D9710CB4A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289560</xdr:colOff>
      <xdr:row>16</xdr:row>
      <xdr:rowOff>45720</xdr:rowOff>
    </xdr:from>
    <xdr:to>
      <xdr:col>12</xdr:col>
      <xdr:colOff>487680</xdr:colOff>
      <xdr:row>39</xdr:row>
      <xdr:rowOff>38100</xdr:rowOff>
    </xdr:to>
    <xdr:graphicFrame macro="">
      <xdr:nvGraphicFramePr>
        <xdr:cNvPr id="4" name="Chart 3">
          <a:extLst>
            <a:ext uri="{FF2B5EF4-FFF2-40B4-BE49-F238E27FC236}">
              <a16:creationId xmlns:a16="http://schemas.microsoft.com/office/drawing/2014/main" id="{0DC1B586-1593-49BE-8BA2-429E208008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1196340</xdr:colOff>
      <xdr:row>29</xdr:row>
      <xdr:rowOff>114300</xdr:rowOff>
    </xdr:from>
    <xdr:to>
      <xdr:col>5</xdr:col>
      <xdr:colOff>68580</xdr:colOff>
      <xdr:row>53</xdr:row>
      <xdr:rowOff>76200</xdr:rowOff>
    </xdr:to>
    <xdr:graphicFrame macro="">
      <xdr:nvGraphicFramePr>
        <xdr:cNvPr id="3" name="Chart 2">
          <a:extLst>
            <a:ext uri="{FF2B5EF4-FFF2-40B4-BE49-F238E27FC236}">
              <a16:creationId xmlns:a16="http://schemas.microsoft.com/office/drawing/2014/main" id="{A3C29DFB-4405-B86B-658C-F9A107C7C2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29</xdr:row>
      <xdr:rowOff>99060</xdr:rowOff>
    </xdr:from>
    <xdr:to>
      <xdr:col>10</xdr:col>
      <xdr:colOff>1295400</xdr:colOff>
      <xdr:row>53</xdr:row>
      <xdr:rowOff>60960</xdr:rowOff>
    </xdr:to>
    <xdr:graphicFrame macro="">
      <xdr:nvGraphicFramePr>
        <xdr:cNvPr id="4" name="Chart 3">
          <a:extLst>
            <a:ext uri="{FF2B5EF4-FFF2-40B4-BE49-F238E27FC236}">
              <a16:creationId xmlns:a16="http://schemas.microsoft.com/office/drawing/2014/main" id="{3E7D225F-9F51-429D-9E99-0616406D7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CA0A8-2F54-4218-9AE3-E358EDE9A9F6}">
  <dimension ref="A1:W28"/>
  <sheetViews>
    <sheetView workbookViewId="0">
      <selection activeCell="G13" sqref="G13"/>
    </sheetView>
  </sheetViews>
  <sheetFormatPr defaultRowHeight="12.5" x14ac:dyDescent="0.25"/>
  <sheetData>
    <row r="1" spans="1:23" x14ac:dyDescent="0.25">
      <c r="A1" s="29"/>
      <c r="B1" s="29"/>
      <c r="C1" s="29"/>
      <c r="D1" s="29"/>
      <c r="E1" s="29"/>
      <c r="F1" s="29"/>
      <c r="G1" s="29"/>
      <c r="H1" s="29"/>
      <c r="I1" s="29"/>
      <c r="J1" s="29"/>
      <c r="K1" s="29"/>
      <c r="L1" s="29"/>
      <c r="M1" s="29"/>
      <c r="N1" s="29"/>
      <c r="O1" s="29"/>
      <c r="P1" s="29"/>
      <c r="Q1" s="29"/>
      <c r="R1" s="29"/>
      <c r="S1" s="29"/>
      <c r="T1" s="29"/>
      <c r="U1" s="29"/>
      <c r="V1" s="29"/>
      <c r="W1" s="29"/>
    </row>
    <row r="2" spans="1:23" x14ac:dyDescent="0.25">
      <c r="A2" s="29"/>
      <c r="B2" s="29"/>
      <c r="C2" s="29"/>
      <c r="D2" s="29"/>
      <c r="E2" s="29"/>
      <c r="F2" s="29"/>
      <c r="G2" s="29"/>
      <c r="H2" s="29"/>
      <c r="I2" s="29"/>
      <c r="J2" s="29"/>
      <c r="K2" s="29"/>
      <c r="L2" s="29"/>
      <c r="M2" s="29"/>
      <c r="N2" s="29"/>
      <c r="O2" s="29"/>
      <c r="P2" s="29"/>
      <c r="Q2" s="29"/>
      <c r="R2" s="29"/>
      <c r="S2" s="29"/>
      <c r="T2" s="29"/>
      <c r="U2" s="29"/>
      <c r="V2" s="29"/>
      <c r="W2" s="29"/>
    </row>
    <row r="3" spans="1:23" x14ac:dyDescent="0.25">
      <c r="A3" s="29"/>
      <c r="B3" s="29"/>
      <c r="C3" s="29"/>
      <c r="D3" s="29"/>
      <c r="E3" s="29"/>
      <c r="F3" s="29"/>
      <c r="G3" s="29"/>
      <c r="H3" s="29"/>
      <c r="I3" s="29"/>
      <c r="J3" s="29"/>
      <c r="K3" s="29"/>
      <c r="L3" s="29"/>
      <c r="M3" s="29"/>
      <c r="N3" s="29"/>
      <c r="O3" s="29"/>
      <c r="P3" s="29"/>
      <c r="Q3" s="29"/>
      <c r="R3" s="29"/>
      <c r="S3" s="29"/>
      <c r="T3" s="29"/>
      <c r="U3" s="29"/>
      <c r="V3" s="29"/>
      <c r="W3" s="29"/>
    </row>
    <row r="4" spans="1:23" x14ac:dyDescent="0.25">
      <c r="A4" s="29"/>
      <c r="B4" s="29"/>
      <c r="C4" s="29"/>
      <c r="D4" s="29"/>
      <c r="E4" s="29"/>
      <c r="F4" s="29"/>
      <c r="G4" s="29"/>
      <c r="H4" s="29"/>
      <c r="I4" s="29"/>
      <c r="J4" s="29"/>
      <c r="K4" s="29"/>
      <c r="L4" s="29"/>
      <c r="M4" s="29"/>
      <c r="N4" s="29"/>
      <c r="O4" s="29"/>
      <c r="P4" s="29"/>
      <c r="Q4" s="29"/>
      <c r="R4" s="29"/>
      <c r="S4" s="29"/>
      <c r="T4" s="29"/>
      <c r="U4" s="29"/>
      <c r="V4" s="29"/>
      <c r="W4" s="29"/>
    </row>
    <row r="5" spans="1:23" x14ac:dyDescent="0.25">
      <c r="A5" s="29"/>
      <c r="B5" s="29"/>
      <c r="C5" s="29"/>
      <c r="D5" s="29"/>
      <c r="E5" s="29"/>
      <c r="F5" s="29"/>
      <c r="G5" s="29"/>
      <c r="H5" s="29"/>
      <c r="I5" s="29"/>
      <c r="J5" s="29"/>
      <c r="K5" s="29"/>
      <c r="L5" s="29"/>
      <c r="M5" s="29"/>
      <c r="N5" s="29"/>
      <c r="O5" s="29"/>
      <c r="P5" s="29"/>
      <c r="Q5" s="29"/>
      <c r="R5" s="29"/>
      <c r="S5" s="29"/>
      <c r="T5" s="29"/>
      <c r="U5" s="29"/>
      <c r="V5" s="29"/>
      <c r="W5" s="29"/>
    </row>
    <row r="6" spans="1:23" ht="17.5" x14ac:dyDescent="0.35">
      <c r="A6" s="29"/>
      <c r="B6" s="30"/>
      <c r="C6" s="30"/>
      <c r="D6" s="30"/>
      <c r="E6" s="30"/>
      <c r="F6" s="30"/>
      <c r="G6" s="30"/>
      <c r="H6" s="30"/>
      <c r="I6" s="30"/>
      <c r="J6" s="30"/>
      <c r="K6" s="30"/>
      <c r="L6" s="30"/>
      <c r="M6" s="29"/>
      <c r="N6" s="29"/>
      <c r="O6" s="29"/>
      <c r="P6" s="29"/>
      <c r="Q6" s="29"/>
      <c r="R6" s="29"/>
      <c r="S6" s="29"/>
      <c r="T6" s="29"/>
      <c r="U6" s="29"/>
      <c r="V6" s="29"/>
      <c r="W6" s="29"/>
    </row>
    <row r="7" spans="1:23" ht="17.5" x14ac:dyDescent="0.35">
      <c r="A7" s="29"/>
      <c r="B7" s="30"/>
      <c r="C7" s="30"/>
      <c r="D7" s="30"/>
      <c r="E7" s="30"/>
      <c r="F7" s="30"/>
      <c r="G7" s="30"/>
      <c r="H7" s="30"/>
      <c r="I7" s="30"/>
      <c r="J7" s="30"/>
      <c r="K7" s="30"/>
      <c r="L7" s="30"/>
      <c r="M7" s="29"/>
      <c r="N7" s="29"/>
      <c r="O7" s="29"/>
      <c r="P7" s="29"/>
      <c r="Q7" s="29"/>
      <c r="R7" s="29"/>
      <c r="S7" s="29"/>
      <c r="T7" s="29"/>
      <c r="U7" s="29"/>
      <c r="V7" s="29"/>
      <c r="W7" s="29"/>
    </row>
    <row r="8" spans="1:23" ht="18" x14ac:dyDescent="0.35">
      <c r="A8" s="29"/>
      <c r="B8" s="30"/>
      <c r="C8" s="30"/>
      <c r="D8" s="30"/>
      <c r="E8" s="30"/>
      <c r="F8" s="30"/>
      <c r="H8" s="30"/>
      <c r="I8" s="30"/>
      <c r="J8" s="30"/>
      <c r="K8" s="77" t="s">
        <v>105</v>
      </c>
      <c r="L8" s="30"/>
      <c r="M8" s="29"/>
      <c r="N8" s="29"/>
      <c r="O8" s="29"/>
      <c r="P8" s="29"/>
      <c r="Q8" s="29"/>
      <c r="R8" s="29"/>
      <c r="S8" s="29"/>
      <c r="T8" s="29"/>
      <c r="U8" s="29"/>
      <c r="V8" s="29"/>
      <c r="W8" s="29"/>
    </row>
    <row r="9" spans="1:23" ht="17.5" x14ac:dyDescent="0.35">
      <c r="A9" s="29"/>
      <c r="B9" s="30"/>
      <c r="C9" s="30"/>
      <c r="D9" s="30"/>
      <c r="E9" s="30"/>
      <c r="F9" s="30"/>
      <c r="G9" s="31"/>
      <c r="H9" s="30"/>
      <c r="I9" s="30"/>
      <c r="J9" s="30" t="s">
        <v>106</v>
      </c>
      <c r="K9" s="30"/>
      <c r="L9" s="30"/>
      <c r="M9" s="29"/>
      <c r="N9" s="29"/>
      <c r="O9" s="29"/>
      <c r="P9" s="29"/>
      <c r="Q9" s="29"/>
      <c r="R9" s="29"/>
      <c r="S9" s="29"/>
      <c r="T9" s="29"/>
      <c r="U9" s="29"/>
      <c r="V9" s="29"/>
      <c r="W9" s="29"/>
    </row>
    <row r="10" spans="1:23" ht="17.5" x14ac:dyDescent="0.35">
      <c r="A10" s="29"/>
      <c r="B10" s="30"/>
      <c r="C10" s="30"/>
      <c r="D10" s="30"/>
      <c r="E10" s="30"/>
      <c r="F10" s="30"/>
      <c r="G10" s="30"/>
      <c r="H10" s="30"/>
      <c r="I10" s="30"/>
      <c r="J10" s="30"/>
      <c r="K10" s="30"/>
      <c r="L10" s="30"/>
      <c r="M10" s="29"/>
      <c r="N10" s="29"/>
      <c r="O10" s="29"/>
      <c r="P10" s="29"/>
      <c r="Q10" s="29"/>
      <c r="R10" s="29"/>
      <c r="S10" s="29"/>
      <c r="T10" s="29"/>
      <c r="U10" s="29"/>
      <c r="V10" s="29"/>
      <c r="W10" s="29"/>
    </row>
    <row r="11" spans="1:23" ht="17.5" x14ac:dyDescent="0.35">
      <c r="A11" s="29"/>
      <c r="B11" s="30"/>
      <c r="C11" s="30"/>
      <c r="D11" s="30"/>
      <c r="E11" s="30"/>
      <c r="F11" s="30"/>
      <c r="G11" s="30"/>
      <c r="H11" s="30"/>
      <c r="I11" s="30"/>
      <c r="J11" s="30"/>
      <c r="K11" s="30"/>
      <c r="L11" s="30"/>
      <c r="M11" s="29"/>
      <c r="N11" s="29"/>
      <c r="O11" s="29"/>
      <c r="P11" s="29"/>
      <c r="Q11" s="29"/>
      <c r="R11" s="29"/>
      <c r="S11" s="29"/>
      <c r="T11" s="29"/>
      <c r="U11" s="29"/>
      <c r="V11" s="29"/>
      <c r="W11" s="29"/>
    </row>
    <row r="12" spans="1:23" ht="17.5" x14ac:dyDescent="0.35">
      <c r="A12" s="29"/>
      <c r="B12" s="30"/>
      <c r="C12" s="30"/>
      <c r="D12" s="30"/>
      <c r="E12" s="30"/>
      <c r="F12" s="30"/>
      <c r="G12" s="30"/>
      <c r="H12" s="30"/>
      <c r="I12" s="30"/>
      <c r="J12" s="30"/>
      <c r="K12" s="30"/>
      <c r="L12" s="30"/>
      <c r="M12" s="29"/>
      <c r="N12" s="29"/>
      <c r="O12" s="29"/>
      <c r="P12" s="29"/>
      <c r="Q12" s="29"/>
      <c r="R12" s="29"/>
      <c r="S12" s="29"/>
      <c r="T12" s="29"/>
      <c r="U12" s="29"/>
      <c r="V12" s="29"/>
      <c r="W12" s="29"/>
    </row>
    <row r="13" spans="1:23" ht="17.5" x14ac:dyDescent="0.35">
      <c r="A13" s="29"/>
      <c r="B13" s="30"/>
      <c r="C13" s="30"/>
      <c r="D13" s="30"/>
      <c r="E13" s="30"/>
      <c r="F13" s="30"/>
      <c r="G13" s="30"/>
      <c r="H13" s="30"/>
      <c r="I13" s="30"/>
      <c r="J13" s="30"/>
      <c r="K13" s="30"/>
      <c r="L13" s="30"/>
      <c r="M13" s="29"/>
      <c r="N13" s="29"/>
      <c r="O13" s="29"/>
      <c r="P13" s="29"/>
      <c r="Q13" s="29"/>
      <c r="R13" s="29"/>
      <c r="S13" s="29"/>
      <c r="T13" s="29"/>
      <c r="U13" s="29"/>
      <c r="V13" s="29"/>
      <c r="W13" s="29"/>
    </row>
    <row r="14" spans="1:23" x14ac:dyDescent="0.25">
      <c r="A14" s="29"/>
      <c r="B14" s="29"/>
      <c r="C14" s="29"/>
      <c r="D14" s="29"/>
      <c r="E14" s="29"/>
      <c r="F14" s="29"/>
      <c r="G14" s="29"/>
      <c r="H14" s="29"/>
      <c r="I14" s="29"/>
      <c r="J14" s="29"/>
      <c r="K14" s="29"/>
      <c r="L14" s="29"/>
      <c r="M14" s="29"/>
      <c r="N14" s="29"/>
      <c r="O14" s="29"/>
      <c r="P14" s="29"/>
      <c r="Q14" s="29"/>
      <c r="R14" s="29"/>
      <c r="S14" s="29"/>
      <c r="T14" s="29"/>
      <c r="U14" s="29"/>
      <c r="V14" s="29"/>
      <c r="W14" s="29"/>
    </row>
    <row r="15" spans="1:23" x14ac:dyDescent="0.25">
      <c r="A15" s="29"/>
      <c r="B15" s="29"/>
      <c r="C15" s="29"/>
      <c r="D15" s="29"/>
      <c r="E15" s="29"/>
      <c r="F15" s="29"/>
      <c r="G15" s="29"/>
      <c r="H15" s="29"/>
      <c r="I15" s="29"/>
      <c r="J15" s="29"/>
      <c r="K15" s="29"/>
      <c r="L15" s="29"/>
      <c r="M15" s="29"/>
      <c r="N15" s="29"/>
      <c r="O15" s="29"/>
      <c r="P15" s="29"/>
      <c r="Q15" s="29"/>
      <c r="R15" s="29"/>
      <c r="S15" s="29"/>
      <c r="T15" s="29"/>
      <c r="U15" s="29"/>
      <c r="V15" s="29"/>
      <c r="W15" s="29"/>
    </row>
    <row r="16" spans="1:23" x14ac:dyDescent="0.25">
      <c r="A16" s="29"/>
      <c r="B16" s="29"/>
      <c r="C16" s="29"/>
      <c r="D16" s="29"/>
      <c r="E16" s="29"/>
      <c r="F16" s="29"/>
      <c r="G16" s="29"/>
      <c r="H16" s="29"/>
      <c r="I16" s="29"/>
      <c r="J16" s="29"/>
      <c r="K16" s="29"/>
      <c r="L16" s="29"/>
      <c r="M16" s="29"/>
      <c r="N16" s="29"/>
      <c r="O16" s="29"/>
      <c r="P16" s="29"/>
      <c r="Q16" s="29"/>
      <c r="R16" s="29"/>
      <c r="S16" s="29"/>
      <c r="T16" s="29"/>
      <c r="U16" s="29"/>
      <c r="V16" s="29"/>
      <c r="W16" s="29"/>
    </row>
    <row r="17" spans="1:23" x14ac:dyDescent="0.25">
      <c r="A17" s="29"/>
      <c r="B17" s="29"/>
      <c r="C17" s="29"/>
      <c r="D17" s="29"/>
      <c r="E17" s="29"/>
      <c r="F17" s="29"/>
      <c r="G17" s="29"/>
      <c r="H17" s="29"/>
      <c r="I17" s="29"/>
      <c r="J17" s="29"/>
      <c r="K17" s="29"/>
      <c r="L17" s="29"/>
      <c r="M17" s="29"/>
      <c r="N17" s="29"/>
      <c r="O17" s="29"/>
      <c r="P17" s="29"/>
      <c r="Q17" s="29"/>
      <c r="R17" s="29"/>
      <c r="S17" s="29"/>
      <c r="T17" s="29"/>
      <c r="U17" s="29"/>
      <c r="V17" s="29"/>
      <c r="W17" s="29"/>
    </row>
    <row r="18" spans="1:23" x14ac:dyDescent="0.25">
      <c r="A18" s="29"/>
      <c r="B18" s="29"/>
      <c r="C18" s="29"/>
      <c r="D18" s="29"/>
      <c r="E18" s="29"/>
      <c r="F18" s="29"/>
      <c r="G18" s="29"/>
      <c r="H18" s="29"/>
      <c r="I18" s="29"/>
      <c r="J18" s="29"/>
      <c r="K18" s="29"/>
      <c r="L18" s="29"/>
      <c r="M18" s="29"/>
      <c r="N18" s="29"/>
      <c r="O18" s="29"/>
      <c r="P18" s="29"/>
      <c r="Q18" s="29"/>
      <c r="R18" s="29"/>
      <c r="S18" s="29"/>
      <c r="T18" s="29"/>
      <c r="U18" s="29"/>
      <c r="V18" s="29"/>
      <c r="W18" s="29"/>
    </row>
    <row r="19" spans="1:23" x14ac:dyDescent="0.25">
      <c r="A19" s="29"/>
      <c r="B19" s="29"/>
      <c r="C19" s="29"/>
      <c r="D19" s="29"/>
      <c r="E19" s="29"/>
      <c r="F19" s="29"/>
      <c r="G19" s="29"/>
      <c r="H19" s="29"/>
      <c r="I19" s="29"/>
      <c r="J19" s="29"/>
      <c r="K19" s="29"/>
      <c r="L19" s="29"/>
      <c r="M19" s="29"/>
      <c r="N19" s="29"/>
      <c r="O19" s="29"/>
      <c r="P19" s="29"/>
      <c r="Q19" s="29"/>
      <c r="R19" s="29"/>
      <c r="S19" s="29"/>
      <c r="T19" s="29"/>
      <c r="U19" s="29"/>
      <c r="V19" s="29"/>
      <c r="W19" s="29"/>
    </row>
    <row r="20" spans="1:23" x14ac:dyDescent="0.25">
      <c r="A20" s="29"/>
      <c r="B20" s="29"/>
      <c r="C20" s="29"/>
      <c r="D20" s="29"/>
      <c r="E20" s="29"/>
      <c r="F20" s="29"/>
      <c r="G20" s="29"/>
      <c r="H20" s="29"/>
      <c r="I20" s="29"/>
      <c r="J20" s="29"/>
      <c r="K20" s="29"/>
      <c r="L20" s="29"/>
      <c r="M20" s="29"/>
      <c r="N20" s="29"/>
      <c r="O20" s="29"/>
      <c r="P20" s="29"/>
      <c r="Q20" s="29"/>
      <c r="R20" s="29"/>
      <c r="S20" s="29"/>
      <c r="T20" s="29"/>
      <c r="U20" s="29"/>
      <c r="V20" s="29"/>
      <c r="W20" s="29"/>
    </row>
    <row r="21" spans="1:23" x14ac:dyDescent="0.25">
      <c r="A21" s="29"/>
      <c r="B21" s="29"/>
      <c r="C21" s="29"/>
      <c r="D21" s="29"/>
      <c r="E21" s="29"/>
      <c r="F21" s="29"/>
      <c r="G21" s="29"/>
      <c r="H21" s="29"/>
      <c r="I21" s="29"/>
      <c r="J21" s="29"/>
      <c r="K21" s="29"/>
      <c r="L21" s="29"/>
      <c r="M21" s="29"/>
      <c r="N21" s="29"/>
      <c r="O21" s="29"/>
      <c r="P21" s="29"/>
      <c r="Q21" s="29"/>
      <c r="R21" s="29"/>
      <c r="S21" s="29"/>
      <c r="T21" s="29"/>
      <c r="U21" s="29"/>
      <c r="V21" s="29"/>
      <c r="W21" s="29"/>
    </row>
    <row r="22" spans="1:23" x14ac:dyDescent="0.25">
      <c r="A22" s="29"/>
      <c r="B22" s="29"/>
      <c r="C22" s="29"/>
      <c r="D22" s="29"/>
      <c r="E22" s="29"/>
      <c r="F22" s="29"/>
      <c r="G22" s="29"/>
      <c r="H22" s="29"/>
      <c r="I22" s="29"/>
      <c r="J22" s="29"/>
      <c r="K22" s="29"/>
      <c r="L22" s="29"/>
      <c r="M22" s="29"/>
      <c r="N22" s="29"/>
      <c r="O22" s="29"/>
      <c r="P22" s="29"/>
      <c r="Q22" s="29"/>
      <c r="R22" s="29"/>
      <c r="S22" s="29"/>
      <c r="T22" s="29"/>
      <c r="U22" s="29"/>
      <c r="V22" s="29"/>
      <c r="W22" s="29"/>
    </row>
    <row r="23" spans="1:23" x14ac:dyDescent="0.25">
      <c r="A23" s="29"/>
      <c r="B23" s="29"/>
      <c r="C23" s="29"/>
      <c r="D23" s="29"/>
      <c r="E23" s="29"/>
      <c r="F23" s="29"/>
      <c r="G23" s="29"/>
      <c r="H23" s="29"/>
      <c r="I23" s="29"/>
      <c r="J23" s="29"/>
      <c r="K23" s="29"/>
      <c r="L23" s="29"/>
      <c r="M23" s="29"/>
      <c r="N23" s="29"/>
      <c r="O23" s="29"/>
      <c r="P23" s="29"/>
      <c r="Q23" s="29"/>
      <c r="R23" s="29"/>
      <c r="S23" s="29"/>
      <c r="T23" s="29"/>
      <c r="U23" s="29"/>
      <c r="V23" s="29"/>
      <c r="W23" s="29"/>
    </row>
    <row r="24" spans="1:23" x14ac:dyDescent="0.25">
      <c r="A24" s="29"/>
      <c r="B24" s="29"/>
      <c r="C24" s="29"/>
      <c r="D24" s="29"/>
      <c r="E24" s="29"/>
      <c r="F24" s="29"/>
      <c r="G24" s="29"/>
      <c r="H24" s="29"/>
      <c r="I24" s="29"/>
      <c r="J24" s="29"/>
      <c r="K24" s="29"/>
      <c r="L24" s="29"/>
      <c r="M24" s="29"/>
      <c r="N24" s="29"/>
      <c r="O24" s="29"/>
      <c r="P24" s="29"/>
      <c r="Q24" s="29"/>
      <c r="R24" s="29"/>
      <c r="S24" s="29"/>
      <c r="T24" s="29"/>
      <c r="U24" s="29"/>
      <c r="V24" s="29"/>
      <c r="W24" s="29"/>
    </row>
    <row r="25" spans="1:23" x14ac:dyDescent="0.25">
      <c r="A25" s="29"/>
      <c r="B25" s="29"/>
      <c r="C25" s="29"/>
      <c r="D25" s="29"/>
      <c r="E25" s="29"/>
      <c r="F25" s="29"/>
      <c r="G25" s="29"/>
      <c r="H25" s="29"/>
      <c r="I25" s="29"/>
      <c r="J25" s="29"/>
      <c r="K25" s="29"/>
      <c r="L25" s="29"/>
      <c r="M25" s="29"/>
      <c r="N25" s="29"/>
      <c r="O25" s="29"/>
      <c r="P25" s="29"/>
      <c r="Q25" s="29"/>
      <c r="R25" s="29"/>
      <c r="S25" s="29"/>
      <c r="T25" s="29"/>
      <c r="U25" s="29"/>
      <c r="V25" s="29"/>
      <c r="W25" s="29"/>
    </row>
    <row r="26" spans="1:23" x14ac:dyDescent="0.25">
      <c r="A26" s="29"/>
      <c r="B26" s="29"/>
      <c r="C26" s="29"/>
      <c r="D26" s="29"/>
      <c r="E26" s="29"/>
      <c r="F26" s="29"/>
      <c r="G26" s="29"/>
      <c r="H26" s="29"/>
      <c r="I26" s="29"/>
      <c r="J26" s="29"/>
      <c r="K26" s="29"/>
      <c r="L26" s="29"/>
      <c r="M26" s="29"/>
      <c r="N26" s="29"/>
      <c r="O26" s="29"/>
      <c r="P26" s="29"/>
      <c r="Q26" s="29"/>
      <c r="R26" s="29"/>
      <c r="S26" s="29"/>
      <c r="T26" s="29"/>
      <c r="U26" s="29"/>
      <c r="V26" s="29"/>
      <c r="W26" s="29"/>
    </row>
    <row r="27" spans="1:23" x14ac:dyDescent="0.25">
      <c r="A27" s="29"/>
      <c r="B27" s="29"/>
      <c r="C27" s="29"/>
      <c r="D27" s="29"/>
      <c r="E27" s="29"/>
      <c r="F27" s="29"/>
      <c r="G27" s="29"/>
      <c r="H27" s="29"/>
      <c r="I27" s="29"/>
      <c r="J27" s="29"/>
      <c r="K27" s="29"/>
      <c r="L27" s="29"/>
      <c r="M27" s="29"/>
      <c r="N27" s="29"/>
      <c r="O27" s="29"/>
      <c r="P27" s="29"/>
      <c r="Q27" s="29"/>
      <c r="R27" s="29"/>
      <c r="S27" s="29"/>
      <c r="T27" s="29"/>
      <c r="U27" s="29"/>
      <c r="V27" s="29"/>
      <c r="W27" s="29"/>
    </row>
    <row r="28" spans="1:23" x14ac:dyDescent="0.25">
      <c r="A28" s="29"/>
      <c r="B28" s="29"/>
      <c r="C28" s="29"/>
      <c r="D28" s="29"/>
      <c r="E28" s="29"/>
      <c r="F28" s="29"/>
      <c r="G28" s="29"/>
      <c r="H28" s="29"/>
      <c r="I28" s="29"/>
      <c r="J28" s="29"/>
      <c r="K28" s="29"/>
      <c r="L28" s="29"/>
      <c r="M28" s="29"/>
      <c r="N28" s="29"/>
      <c r="O28" s="29"/>
      <c r="P28" s="29"/>
      <c r="Q28" s="29"/>
      <c r="R28" s="29"/>
      <c r="S28" s="29"/>
      <c r="T28" s="29"/>
      <c r="U28" s="29"/>
      <c r="V28" s="29"/>
      <c r="W28" s="2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10554-44E9-4EB2-9255-C5A10C580A36}">
  <dimension ref="B4:J31"/>
  <sheetViews>
    <sheetView topLeftCell="D10" workbookViewId="0">
      <selection activeCell="M17" sqref="M17"/>
    </sheetView>
  </sheetViews>
  <sheetFormatPr defaultRowHeight="12.5" x14ac:dyDescent="0.25"/>
  <cols>
    <col min="2" max="2" width="26.54296875" customWidth="1"/>
    <col min="3" max="3" width="51.6328125" bestFit="1" customWidth="1"/>
    <col min="5" max="5" width="27.54296875" customWidth="1"/>
    <col min="6" max="6" width="26.54296875" customWidth="1"/>
    <col min="9" max="9" width="19.81640625" customWidth="1"/>
    <col min="10" max="10" width="20.453125" bestFit="1" customWidth="1"/>
  </cols>
  <sheetData>
    <row r="4" spans="2:10" x14ac:dyDescent="0.25">
      <c r="B4" t="s">
        <v>52</v>
      </c>
      <c r="C4" t="s">
        <v>53</v>
      </c>
    </row>
    <row r="5" spans="2:10" x14ac:dyDescent="0.25">
      <c r="B5" t="s">
        <v>54</v>
      </c>
      <c r="C5" t="s">
        <v>55</v>
      </c>
    </row>
    <row r="6" spans="2:10" x14ac:dyDescent="0.25">
      <c r="B6" t="s">
        <v>56</v>
      </c>
      <c r="C6" t="s">
        <v>57</v>
      </c>
    </row>
    <row r="9" spans="2:10" x14ac:dyDescent="0.25">
      <c r="B9" s="10" t="s">
        <v>59</v>
      </c>
      <c r="E9" s="10" t="s">
        <v>62</v>
      </c>
    </row>
    <row r="11" spans="2:10" ht="13" x14ac:dyDescent="0.3">
      <c r="B11" s="2" t="s">
        <v>60</v>
      </c>
      <c r="C11" s="2" t="s">
        <v>61</v>
      </c>
      <c r="E11" s="2" t="s">
        <v>60</v>
      </c>
      <c r="F11" s="2" t="s">
        <v>61</v>
      </c>
      <c r="I11" s="10" t="s">
        <v>63</v>
      </c>
    </row>
    <row r="12" spans="2:10" ht="13" x14ac:dyDescent="0.3">
      <c r="B12" s="8" t="s">
        <v>30</v>
      </c>
      <c r="C12" s="33">
        <v>0.32490456924360528</v>
      </c>
      <c r="E12" s="8" t="s">
        <v>30</v>
      </c>
      <c r="F12" s="33">
        <v>0.43727767876307644</v>
      </c>
      <c r="I12" s="34">
        <f>(F12-C12)/F12</f>
        <v>0.25698341117557155</v>
      </c>
      <c r="J12" s="35">
        <f>100%-I12</f>
        <v>0.74301658882442845</v>
      </c>
    </row>
    <row r="13" spans="2:10" ht="13" x14ac:dyDescent="0.3">
      <c r="B13" s="8" t="s">
        <v>31</v>
      </c>
      <c r="C13" s="33">
        <v>0.65315467878960509</v>
      </c>
      <c r="E13" s="8" t="s">
        <v>31</v>
      </c>
      <c r="F13" s="33">
        <v>0.92700930059853859</v>
      </c>
      <c r="I13" s="34">
        <f t="shared" ref="I13:I19" si="0">(F13-C13)/F13</f>
        <v>0.29541734007643161</v>
      </c>
      <c r="J13" s="35">
        <f t="shared" ref="J13:J19" si="1">100%-I13</f>
        <v>0.70458265992356839</v>
      </c>
    </row>
    <row r="14" spans="2:10" ht="13" x14ac:dyDescent="0.3">
      <c r="B14" s="8" t="s">
        <v>28</v>
      </c>
      <c r="C14" s="33">
        <v>0.42520282428711847</v>
      </c>
      <c r="E14" s="8" t="s">
        <v>28</v>
      </c>
      <c r="F14" s="33">
        <v>0.56775929519830581</v>
      </c>
      <c r="I14" s="34">
        <f t="shared" si="0"/>
        <v>0.25108610658922897</v>
      </c>
      <c r="J14" s="35">
        <f t="shared" si="1"/>
        <v>0.74891389341077108</v>
      </c>
    </row>
    <row r="15" spans="2:10" ht="13" x14ac:dyDescent="0.3">
      <c r="B15" s="8" t="s">
        <v>11</v>
      </c>
      <c r="C15" s="33">
        <v>0.3061507487582964</v>
      </c>
      <c r="E15" s="8" t="s">
        <v>11</v>
      </c>
      <c r="F15" s="33">
        <v>0.38808322077201651</v>
      </c>
      <c r="I15" s="34">
        <f t="shared" si="0"/>
        <v>0.21112088239922178</v>
      </c>
      <c r="J15" s="35">
        <f t="shared" si="1"/>
        <v>0.78887911760077822</v>
      </c>
    </row>
    <row r="16" spans="2:10" ht="13" x14ac:dyDescent="0.3">
      <c r="B16" s="8" t="s">
        <v>22</v>
      </c>
      <c r="C16" s="33">
        <v>0.57993628531141483</v>
      </c>
      <c r="E16" s="8" t="s">
        <v>22</v>
      </c>
      <c r="F16" s="33">
        <v>0.64915895222225828</v>
      </c>
      <c r="I16" s="34">
        <f t="shared" si="0"/>
        <v>0.10663438696158205</v>
      </c>
      <c r="J16" s="35">
        <f t="shared" si="1"/>
        <v>0.89336561303841799</v>
      </c>
    </row>
    <row r="17" spans="2:10" ht="13" x14ac:dyDescent="0.3">
      <c r="B17" s="8" t="s">
        <v>9</v>
      </c>
      <c r="C17" s="33">
        <v>0.27318106663358344</v>
      </c>
      <c r="E17" s="8" t="s">
        <v>9</v>
      </c>
      <c r="F17" s="33">
        <v>0.3096501744385059</v>
      </c>
      <c r="I17" s="34">
        <f t="shared" si="0"/>
        <v>0.117775188956546</v>
      </c>
      <c r="J17" s="35">
        <f t="shared" si="1"/>
        <v>0.88222481104345396</v>
      </c>
    </row>
    <row r="18" spans="2:10" ht="13" x14ac:dyDescent="0.3">
      <c r="B18" s="8" t="s">
        <v>6</v>
      </c>
      <c r="C18" s="33">
        <v>3.5624952518515172</v>
      </c>
      <c r="E18" s="8" t="s">
        <v>6</v>
      </c>
      <c r="F18" s="33">
        <v>4.2438703156520496</v>
      </c>
      <c r="I18" s="34">
        <f t="shared" si="0"/>
        <v>0.16055510963365585</v>
      </c>
      <c r="J18" s="35">
        <f t="shared" si="1"/>
        <v>0.83944489036634418</v>
      </c>
    </row>
    <row r="19" spans="2:10" ht="13" x14ac:dyDescent="0.3">
      <c r="B19" s="8" t="s">
        <v>3</v>
      </c>
      <c r="C19" s="33">
        <v>0.36929180950316703</v>
      </c>
      <c r="E19" s="8" t="s">
        <v>3</v>
      </c>
      <c r="F19" s="33">
        <v>0.51994478542650868</v>
      </c>
      <c r="I19" s="34">
        <f t="shared" si="0"/>
        <v>0.28974802737902566</v>
      </c>
      <c r="J19" s="35">
        <f t="shared" si="1"/>
        <v>0.71025197262097439</v>
      </c>
    </row>
    <row r="21" spans="2:10" x14ac:dyDescent="0.25">
      <c r="B21" s="10" t="s">
        <v>64</v>
      </c>
    </row>
    <row r="22" spans="2:10" x14ac:dyDescent="0.25">
      <c r="B22" s="10"/>
    </row>
    <row r="23" spans="2:10" ht="13" x14ac:dyDescent="0.3">
      <c r="B23" s="2" t="s">
        <v>60</v>
      </c>
      <c r="C23" s="2" t="s">
        <v>61</v>
      </c>
      <c r="E23" s="2" t="s">
        <v>60</v>
      </c>
      <c r="F23" s="2" t="s">
        <v>61</v>
      </c>
      <c r="I23" s="10" t="s">
        <v>63</v>
      </c>
    </row>
    <row r="24" spans="2:10" ht="13" x14ac:dyDescent="0.3">
      <c r="B24" s="8" t="s">
        <v>30</v>
      </c>
      <c r="C24" s="33">
        <v>2.3393128985539584</v>
      </c>
      <c r="E24" s="8" t="s">
        <v>30</v>
      </c>
      <c r="F24" s="33">
        <v>0.43727767876307644</v>
      </c>
      <c r="I24" s="34">
        <f>(F24-C24)/F24</f>
        <v>-4.3497194395358862</v>
      </c>
      <c r="J24" s="35">
        <f>100%-I24</f>
        <v>5.3497194395358862</v>
      </c>
    </row>
    <row r="25" spans="2:10" ht="13" x14ac:dyDescent="0.3">
      <c r="B25" s="8" t="s">
        <v>31</v>
      </c>
      <c r="C25" s="33">
        <v>4.702713687285156</v>
      </c>
      <c r="E25" s="8" t="s">
        <v>31</v>
      </c>
      <c r="F25" s="33">
        <v>0.92700930059853859</v>
      </c>
      <c r="I25" s="34">
        <f t="shared" ref="I25:I31" si="2">(F25-C25)/F25</f>
        <v>-4.0729951514496916</v>
      </c>
      <c r="J25" s="35">
        <f t="shared" ref="J25:J31" si="3">100%-I25</f>
        <v>5.0729951514496916</v>
      </c>
    </row>
    <row r="26" spans="2:10" ht="13" x14ac:dyDescent="0.3">
      <c r="B26" s="8" t="s">
        <v>28</v>
      </c>
      <c r="C26" s="33">
        <v>3.0614603348672529</v>
      </c>
      <c r="E26" s="8" t="s">
        <v>28</v>
      </c>
      <c r="F26" s="33">
        <v>0.56775929519830581</v>
      </c>
      <c r="I26" s="34">
        <f t="shared" si="2"/>
        <v>-4.3921800325575511</v>
      </c>
      <c r="J26" s="35">
        <f t="shared" si="3"/>
        <v>5.3921800325575511</v>
      </c>
    </row>
    <row r="27" spans="2:10" ht="13" x14ac:dyDescent="0.3">
      <c r="B27" s="8" t="s">
        <v>11</v>
      </c>
      <c r="C27" s="33">
        <v>2.2042853910597344</v>
      </c>
      <c r="E27" s="8" t="s">
        <v>11</v>
      </c>
      <c r="F27" s="33">
        <v>0.38808322077201651</v>
      </c>
      <c r="I27" s="34">
        <f t="shared" si="2"/>
        <v>-4.6799296467256042</v>
      </c>
      <c r="J27" s="35">
        <f t="shared" si="3"/>
        <v>5.6799296467256042</v>
      </c>
    </row>
    <row r="28" spans="2:10" ht="13" x14ac:dyDescent="0.3">
      <c r="B28" s="8" t="s">
        <v>22</v>
      </c>
      <c r="C28" s="33">
        <v>4.1755412542421873</v>
      </c>
      <c r="E28" s="8" t="s">
        <v>22</v>
      </c>
      <c r="F28" s="33">
        <v>0.64915895222225828</v>
      </c>
      <c r="I28" s="34">
        <f t="shared" si="2"/>
        <v>-5.4322324138766103</v>
      </c>
      <c r="J28" s="35">
        <f t="shared" si="3"/>
        <v>6.4322324138766103</v>
      </c>
    </row>
    <row r="29" spans="2:10" ht="13" x14ac:dyDescent="0.3">
      <c r="B29" s="8" t="s">
        <v>9</v>
      </c>
      <c r="C29" s="33">
        <v>1.9669036797618007</v>
      </c>
      <c r="E29" s="8" t="s">
        <v>9</v>
      </c>
      <c r="F29" s="33">
        <v>0.3096501744385059</v>
      </c>
      <c r="I29" s="34">
        <f t="shared" si="2"/>
        <v>-5.3520186395128686</v>
      </c>
      <c r="J29" s="35">
        <f t="shared" si="3"/>
        <v>6.3520186395128686</v>
      </c>
    </row>
    <row r="30" spans="2:10" ht="13" x14ac:dyDescent="0.3">
      <c r="B30" s="8" t="s">
        <v>6</v>
      </c>
      <c r="C30" s="33">
        <v>25.649965813330926</v>
      </c>
      <c r="E30" s="8" t="s">
        <v>6</v>
      </c>
      <c r="F30" s="33">
        <v>4.2438703156520496</v>
      </c>
      <c r="I30" s="34">
        <f t="shared" si="2"/>
        <v>-5.0440032106376789</v>
      </c>
      <c r="J30" s="35">
        <f t="shared" si="3"/>
        <v>6.0440032106376789</v>
      </c>
    </row>
    <row r="31" spans="2:10" ht="13" x14ac:dyDescent="0.3">
      <c r="B31" s="8" t="s">
        <v>3</v>
      </c>
      <c r="C31" s="33">
        <v>2.658901028422803</v>
      </c>
      <c r="E31" s="8" t="s">
        <v>3</v>
      </c>
      <c r="F31" s="33">
        <v>0.51994478542650868</v>
      </c>
      <c r="I31" s="34">
        <f t="shared" si="2"/>
        <v>-4.1138142028710165</v>
      </c>
      <c r="J31" s="35">
        <f t="shared" si="3"/>
        <v>5.1138142028710165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5A0F8-AA30-4422-BB58-DE3BAC77DA3B}">
  <dimension ref="B2:G29"/>
  <sheetViews>
    <sheetView topLeftCell="A10" workbookViewId="0">
      <selection activeCell="J23" sqref="J23"/>
    </sheetView>
  </sheetViews>
  <sheetFormatPr defaultColWidth="8.90625" defaultRowHeight="12.5" x14ac:dyDescent="0.25"/>
  <cols>
    <col min="1" max="1" width="8.90625" style="1"/>
    <col min="2" max="2" width="48.90625" style="1" customWidth="1"/>
    <col min="3" max="5" width="9.90625" style="1" bestFit="1" customWidth="1"/>
    <col min="6" max="16384" width="8.90625" style="1"/>
  </cols>
  <sheetData>
    <row r="2" spans="2:5" ht="13" x14ac:dyDescent="0.3">
      <c r="B2" s="85" t="s">
        <v>61</v>
      </c>
      <c r="C2" s="85"/>
      <c r="D2" s="85"/>
      <c r="E2" s="85"/>
    </row>
    <row r="3" spans="2:5" ht="13" x14ac:dyDescent="0.3">
      <c r="B3" s="20" t="s">
        <v>60</v>
      </c>
      <c r="C3" s="20" t="s">
        <v>65</v>
      </c>
      <c r="D3" s="20" t="s">
        <v>66</v>
      </c>
      <c r="E3" s="20" t="s">
        <v>67</v>
      </c>
    </row>
    <row r="4" spans="2:5" x14ac:dyDescent="0.25">
      <c r="B4" s="22" t="s">
        <v>30</v>
      </c>
      <c r="C4" s="71">
        <v>0.32490456924360528</v>
      </c>
      <c r="D4" s="71">
        <v>0.43727767876307644</v>
      </c>
      <c r="E4" s="71">
        <v>2.3393128985539584</v>
      </c>
    </row>
    <row r="5" spans="2:5" x14ac:dyDescent="0.25">
      <c r="B5" s="22" t="s">
        <v>31</v>
      </c>
      <c r="C5" s="71">
        <v>0.65315467878960509</v>
      </c>
      <c r="D5" s="71">
        <v>0.92700930059853859</v>
      </c>
      <c r="E5" s="71">
        <v>4.702713687285156</v>
      </c>
    </row>
    <row r="6" spans="2:5" x14ac:dyDescent="0.25">
      <c r="B6" s="22" t="s">
        <v>28</v>
      </c>
      <c r="C6" s="71">
        <v>0.42520282428711847</v>
      </c>
      <c r="D6" s="71">
        <v>0.56775929519830581</v>
      </c>
      <c r="E6" s="71">
        <v>3.0614603348672529</v>
      </c>
    </row>
    <row r="7" spans="2:5" x14ac:dyDescent="0.25">
      <c r="B7" s="22" t="s">
        <v>11</v>
      </c>
      <c r="C7" s="71">
        <v>0.3061507487582964</v>
      </c>
      <c r="D7" s="71">
        <v>0.38808322077201651</v>
      </c>
      <c r="E7" s="71">
        <v>2.2042853910597344</v>
      </c>
    </row>
    <row r="8" spans="2:5" x14ac:dyDescent="0.25">
      <c r="B8" s="22" t="s">
        <v>22</v>
      </c>
      <c r="C8" s="71">
        <v>0.57993628531141483</v>
      </c>
      <c r="D8" s="71">
        <v>0.64915895222225828</v>
      </c>
      <c r="E8" s="71">
        <v>4.1755412542421873</v>
      </c>
    </row>
    <row r="9" spans="2:5" x14ac:dyDescent="0.25">
      <c r="B9" s="22" t="s">
        <v>9</v>
      </c>
      <c r="C9" s="71">
        <v>0.27318106663358344</v>
      </c>
      <c r="D9" s="71">
        <v>0.3096501744385059</v>
      </c>
      <c r="E9" s="71">
        <v>1.9669036797618007</v>
      </c>
    </row>
    <row r="10" spans="2:5" x14ac:dyDescent="0.25">
      <c r="B10" s="22" t="s">
        <v>6</v>
      </c>
      <c r="C10" s="71">
        <v>3.5624952518515172</v>
      </c>
      <c r="D10" s="71">
        <v>4.2438703156520496</v>
      </c>
      <c r="E10" s="71">
        <v>25.649965813330926</v>
      </c>
    </row>
    <row r="11" spans="2:5" x14ac:dyDescent="0.25">
      <c r="B11" s="22" t="s">
        <v>3</v>
      </c>
      <c r="C11" s="71">
        <v>0.36929180950316703</v>
      </c>
      <c r="D11" s="71">
        <v>0.51994478542650868</v>
      </c>
      <c r="E11" s="71">
        <v>2.658901028422803</v>
      </c>
    </row>
    <row r="12" spans="2:5" x14ac:dyDescent="0.25">
      <c r="B12" s="22" t="s">
        <v>74</v>
      </c>
      <c r="C12" s="71">
        <f>AVERAGE(C4:C11)</f>
        <v>0.81178965429728844</v>
      </c>
      <c r="D12" s="71">
        <f t="shared" ref="D12:E12" si="0">AVERAGE(D4:D11)</f>
        <v>1.0053442153839074</v>
      </c>
      <c r="E12" s="71">
        <f t="shared" si="0"/>
        <v>5.8448855109404771</v>
      </c>
    </row>
    <row r="16" spans="2:5" ht="13" x14ac:dyDescent="0.3">
      <c r="B16" s="2" t="s">
        <v>68</v>
      </c>
    </row>
    <row r="17" spans="2:7" x14ac:dyDescent="0.25">
      <c r="B17" s="8" t="s">
        <v>69</v>
      </c>
      <c r="C17" s="1">
        <v>3.67</v>
      </c>
    </row>
    <row r="19" spans="2:7" ht="13" x14ac:dyDescent="0.3">
      <c r="B19" s="85" t="s">
        <v>103</v>
      </c>
      <c r="C19" s="85"/>
      <c r="D19" s="85"/>
      <c r="E19" s="85"/>
    </row>
    <row r="20" spans="2:7" ht="13" x14ac:dyDescent="0.3">
      <c r="B20" s="20" t="s">
        <v>60</v>
      </c>
      <c r="C20" s="20" t="s">
        <v>65</v>
      </c>
      <c r="D20" s="20" t="s">
        <v>66</v>
      </c>
      <c r="E20" s="20" t="s">
        <v>67</v>
      </c>
      <c r="F20" s="2"/>
      <c r="G20" s="2"/>
    </row>
    <row r="21" spans="2:7" x14ac:dyDescent="0.25">
      <c r="B21" s="22" t="s">
        <v>30</v>
      </c>
      <c r="C21" s="64">
        <f>C4*$C$17</f>
        <v>1.1923997691240313</v>
      </c>
      <c r="D21" s="64">
        <f t="shared" ref="D21:E21" si="1">D4*$C$17</f>
        <v>1.6048090810604905</v>
      </c>
      <c r="E21" s="64">
        <f t="shared" si="1"/>
        <v>8.585278337693028</v>
      </c>
    </row>
    <row r="22" spans="2:7" x14ac:dyDescent="0.25">
      <c r="B22" s="22" t="s">
        <v>31</v>
      </c>
      <c r="C22" s="64">
        <f t="shared" ref="C22:E28" si="2">C5*$C$17</f>
        <v>2.3970776711578505</v>
      </c>
      <c r="D22" s="64">
        <f t="shared" si="2"/>
        <v>3.4021241331966365</v>
      </c>
      <c r="E22" s="64">
        <f t="shared" si="2"/>
        <v>17.258959232336522</v>
      </c>
    </row>
    <row r="23" spans="2:7" x14ac:dyDescent="0.25">
      <c r="B23" s="22" t="s">
        <v>28</v>
      </c>
      <c r="C23" s="64">
        <f t="shared" si="2"/>
        <v>1.5604943651337249</v>
      </c>
      <c r="D23" s="64">
        <f t="shared" si="2"/>
        <v>2.0836766133777824</v>
      </c>
      <c r="E23" s="64">
        <f t="shared" si="2"/>
        <v>11.235559428962818</v>
      </c>
    </row>
    <row r="24" spans="2:7" x14ac:dyDescent="0.25">
      <c r="B24" s="22" t="s">
        <v>11</v>
      </c>
      <c r="C24" s="64">
        <f t="shared" si="2"/>
        <v>1.1235732479429477</v>
      </c>
      <c r="D24" s="64">
        <f t="shared" si="2"/>
        <v>1.4242654202333005</v>
      </c>
      <c r="E24" s="64">
        <f t="shared" si="2"/>
        <v>8.0897273851892244</v>
      </c>
    </row>
    <row r="25" spans="2:7" x14ac:dyDescent="0.25">
      <c r="B25" s="22" t="s">
        <v>22</v>
      </c>
      <c r="C25" s="64">
        <f t="shared" si="2"/>
        <v>2.1283661670928926</v>
      </c>
      <c r="D25" s="64">
        <f t="shared" si="2"/>
        <v>2.382413354655688</v>
      </c>
      <c r="E25" s="64">
        <f t="shared" si="2"/>
        <v>15.324236403068827</v>
      </c>
    </row>
    <row r="26" spans="2:7" x14ac:dyDescent="0.25">
      <c r="B26" s="22" t="s">
        <v>9</v>
      </c>
      <c r="C26" s="64">
        <f t="shared" si="2"/>
        <v>1.0025745145452511</v>
      </c>
      <c r="D26" s="64">
        <f t="shared" si="2"/>
        <v>1.1364161401893167</v>
      </c>
      <c r="E26" s="64">
        <f t="shared" si="2"/>
        <v>7.2185365047258081</v>
      </c>
    </row>
    <row r="27" spans="2:7" x14ac:dyDescent="0.25">
      <c r="B27" s="22" t="s">
        <v>6</v>
      </c>
      <c r="C27" s="64">
        <f t="shared" si="2"/>
        <v>13.074357574295068</v>
      </c>
      <c r="D27" s="64">
        <f t="shared" si="2"/>
        <v>15.575004058443023</v>
      </c>
      <c r="E27" s="64">
        <f t="shared" si="2"/>
        <v>94.135374534924495</v>
      </c>
    </row>
    <row r="28" spans="2:7" x14ac:dyDescent="0.25">
      <c r="B28" s="22" t="s">
        <v>3</v>
      </c>
      <c r="C28" s="64">
        <f t="shared" si="2"/>
        <v>1.355300940876623</v>
      </c>
      <c r="D28" s="64">
        <f t="shared" si="2"/>
        <v>1.9081973625152868</v>
      </c>
      <c r="E28" s="64">
        <f t="shared" si="2"/>
        <v>9.758166774311686</v>
      </c>
    </row>
    <row r="29" spans="2:7" x14ac:dyDescent="0.25">
      <c r="B29" s="60" t="s">
        <v>74</v>
      </c>
      <c r="C29" s="76">
        <f>AVERAGE(C21:C28)</f>
        <v>2.9792680312710491</v>
      </c>
      <c r="D29" s="76">
        <f t="shared" ref="D29:E29" si="3">AVERAGE(D21:D28)</f>
        <v>3.6896132704589406</v>
      </c>
      <c r="E29" s="76">
        <f t="shared" si="3"/>
        <v>21.450729825151548</v>
      </c>
    </row>
  </sheetData>
  <mergeCells count="2">
    <mergeCell ref="B2:E2"/>
    <mergeCell ref="B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80F4-51DC-49CE-9588-4951F225FFDC}">
  <dimension ref="B2:J11"/>
  <sheetViews>
    <sheetView topLeftCell="A11" workbookViewId="0">
      <selection activeCell="B27" sqref="B27"/>
    </sheetView>
  </sheetViews>
  <sheetFormatPr defaultRowHeight="12.5" x14ac:dyDescent="0.25"/>
  <cols>
    <col min="2" max="2" width="24.1796875" bestFit="1" customWidth="1"/>
    <col min="3" max="3" width="21.6328125" customWidth="1"/>
    <col min="4" max="4" width="21.90625" customWidth="1"/>
  </cols>
  <sheetData>
    <row r="2" spans="2:10" x14ac:dyDescent="0.25">
      <c r="J2">
        <v>-1</v>
      </c>
    </row>
    <row r="3" spans="2:10" ht="13" x14ac:dyDescent="0.3">
      <c r="B3" s="2" t="s">
        <v>25</v>
      </c>
      <c r="C3" s="2" t="s">
        <v>50</v>
      </c>
      <c r="D3" s="2" t="s">
        <v>51</v>
      </c>
    </row>
    <row r="4" spans="2:10" x14ac:dyDescent="0.25">
      <c r="B4" s="8" t="s">
        <v>30</v>
      </c>
      <c r="C4" s="32">
        <f>-7445.581338746</f>
        <v>-7445.5813387460003</v>
      </c>
      <c r="D4" s="32">
        <v>53608.185638971205</v>
      </c>
    </row>
    <row r="5" spans="2:10" x14ac:dyDescent="0.25">
      <c r="B5" s="8" t="s">
        <v>31</v>
      </c>
      <c r="C5" s="32">
        <f>-3393.785179444</f>
        <v>-3393.7851794439998</v>
      </c>
      <c r="D5" s="32">
        <v>24435.2532919968</v>
      </c>
    </row>
    <row r="6" spans="2:10" x14ac:dyDescent="0.25">
      <c r="B6" s="8" t="s">
        <v>28</v>
      </c>
      <c r="C6" s="32">
        <f>-3274.695299219</f>
        <v>-3274.6952992189999</v>
      </c>
      <c r="D6" s="32">
        <v>23577.806154376802</v>
      </c>
    </row>
    <row r="7" spans="2:10" x14ac:dyDescent="0.25">
      <c r="B7" s="8" t="s">
        <v>11</v>
      </c>
      <c r="C7" s="32">
        <f>-5246.487012426</f>
        <v>-5246.4870124259996</v>
      </c>
      <c r="D7" s="32">
        <v>37774.7064894672</v>
      </c>
    </row>
    <row r="8" spans="2:10" x14ac:dyDescent="0.25">
      <c r="B8" s="8" t="s">
        <v>22</v>
      </c>
      <c r="C8" s="32">
        <f>-12688.24620608</f>
        <v>-12688.246206080001</v>
      </c>
      <c r="D8" s="32">
        <v>91355.37268377599</v>
      </c>
    </row>
    <row r="9" spans="2:10" x14ac:dyDescent="0.25">
      <c r="B9" s="8" t="s">
        <v>9</v>
      </c>
      <c r="C9" s="32">
        <f>-5103.066033686</f>
        <v>-5103.0660336860001</v>
      </c>
      <c r="D9" s="32">
        <v>36742.075442539201</v>
      </c>
    </row>
    <row r="10" spans="2:10" x14ac:dyDescent="0.25">
      <c r="B10" s="8" t="s">
        <v>6</v>
      </c>
      <c r="C10" s="32">
        <f>-10260.2357</f>
        <v>-10260.235699999999</v>
      </c>
      <c r="D10" s="32">
        <v>73873.697039999999</v>
      </c>
    </row>
    <row r="11" spans="2:10" x14ac:dyDescent="0.25">
      <c r="B11" s="8" t="s">
        <v>3</v>
      </c>
      <c r="C11" s="32">
        <f>-1250.588248292</f>
        <v>-1250.5882482919999</v>
      </c>
      <c r="D11" s="32">
        <v>9004.2353877023997</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2A335-D0C5-4EF6-B5A3-B4AD036E0393}">
  <dimension ref="A2:N65"/>
  <sheetViews>
    <sheetView workbookViewId="0">
      <selection activeCell="A41" sqref="A41"/>
    </sheetView>
  </sheetViews>
  <sheetFormatPr defaultRowHeight="12.5" x14ac:dyDescent="0.25"/>
  <cols>
    <col min="1" max="2" width="25.08984375" bestFit="1" customWidth="1"/>
    <col min="3" max="3" width="24.1796875" bestFit="1" customWidth="1"/>
    <col min="4" max="4" width="14.1796875" bestFit="1" customWidth="1"/>
    <col min="5" max="5" width="15.36328125" bestFit="1" customWidth="1"/>
    <col min="6" max="6" width="19.08984375" bestFit="1" customWidth="1"/>
    <col min="7" max="8" width="12" bestFit="1" customWidth="1"/>
    <col min="9" max="9" width="14.1796875" bestFit="1" customWidth="1"/>
    <col min="10" max="10" width="15.81640625" bestFit="1" customWidth="1"/>
    <col min="11" max="11" width="20.36328125" bestFit="1" customWidth="1"/>
  </cols>
  <sheetData>
    <row r="2" spans="2:14" ht="13" x14ac:dyDescent="0.3">
      <c r="D2" s="89" t="s">
        <v>83</v>
      </c>
      <c r="E2" s="89"/>
      <c r="F2" s="89"/>
    </row>
    <row r="3" spans="2:14" ht="13" x14ac:dyDescent="0.3">
      <c r="B3" s="56" t="s">
        <v>75</v>
      </c>
      <c r="C3" s="56" t="s">
        <v>30</v>
      </c>
      <c r="D3" s="56" t="s">
        <v>31</v>
      </c>
      <c r="E3" s="56" t="s">
        <v>28</v>
      </c>
      <c r="F3" s="56" t="s">
        <v>11</v>
      </c>
      <c r="G3" s="56" t="s">
        <v>22</v>
      </c>
      <c r="H3" s="56" t="s">
        <v>9</v>
      </c>
      <c r="I3" s="56" t="s">
        <v>6</v>
      </c>
      <c r="J3" s="56" t="s">
        <v>3</v>
      </c>
    </row>
    <row r="4" spans="2:14" ht="13" x14ac:dyDescent="0.3">
      <c r="B4" s="56" t="s">
        <v>24</v>
      </c>
      <c r="C4" s="23">
        <v>7013421</v>
      </c>
      <c r="D4" s="23">
        <v>3132294</v>
      </c>
      <c r="E4" s="23">
        <v>3080481</v>
      </c>
      <c r="F4" s="23">
        <v>4975648</v>
      </c>
      <c r="G4" s="23">
        <v>12298823.296875</v>
      </c>
      <c r="H4" s="23">
        <v>4880710</v>
      </c>
      <c r="I4" s="23">
        <v>9926140</v>
      </c>
      <c r="J4" s="23">
        <v>1162544</v>
      </c>
    </row>
    <row r="5" spans="2:14" ht="13" x14ac:dyDescent="0.3">
      <c r="B5" s="56" t="s">
        <v>17</v>
      </c>
      <c r="C5" s="23">
        <v>213823.619507</v>
      </c>
      <c r="D5" s="23">
        <v>94805.297852000003</v>
      </c>
      <c r="E5" s="23">
        <v>46479.199219000002</v>
      </c>
      <c r="F5" s="23">
        <v>107286.302734</v>
      </c>
      <c r="G5" s="23">
        <v>71471.699219000002</v>
      </c>
      <c r="H5" s="23">
        <v>77872.433294999995</v>
      </c>
      <c r="I5" s="23">
        <v>72354.399999999994</v>
      </c>
      <c r="J5" s="23">
        <v>39993.199219000002</v>
      </c>
    </row>
    <row r="6" spans="2:14" ht="13" x14ac:dyDescent="0.3">
      <c r="B6" s="56" t="s">
        <v>16</v>
      </c>
      <c r="C6" s="23">
        <v>201525.699219</v>
      </c>
      <c r="D6" s="23">
        <v>134702.101563</v>
      </c>
      <c r="E6" s="23">
        <v>130601</v>
      </c>
      <c r="F6" s="23">
        <v>95685</v>
      </c>
      <c r="G6" s="23">
        <v>0</v>
      </c>
      <c r="H6" s="23">
        <v>32006.400390999999</v>
      </c>
      <c r="I6" s="23">
        <v>244163</v>
      </c>
      <c r="J6" s="23">
        <v>42293.699219000002</v>
      </c>
    </row>
    <row r="7" spans="2:14" ht="13" x14ac:dyDescent="0.3">
      <c r="B7" s="56" t="s">
        <v>15</v>
      </c>
      <c r="C7" s="23">
        <v>16811.02002</v>
      </c>
      <c r="D7" s="23">
        <v>31983.780029000001</v>
      </c>
      <c r="E7" s="23">
        <v>0</v>
      </c>
      <c r="F7" s="23">
        <v>44375.809692000003</v>
      </c>
      <c r="G7" s="23">
        <v>84114.410766999994</v>
      </c>
      <c r="H7" s="23">
        <v>46957</v>
      </c>
      <c r="I7" s="23">
        <v>17578.3</v>
      </c>
      <c r="J7" s="23">
        <v>5757.3498540000001</v>
      </c>
    </row>
    <row r="8" spans="2:14" ht="13" x14ac:dyDescent="0.3">
      <c r="B8" s="56" t="s">
        <v>14</v>
      </c>
      <c r="C8" s="23">
        <v>0</v>
      </c>
      <c r="D8" s="23">
        <v>0</v>
      </c>
      <c r="E8" s="23">
        <v>17134.099999999999</v>
      </c>
      <c r="F8" s="23">
        <v>0</v>
      </c>
      <c r="G8" s="23">
        <v>61034.1</v>
      </c>
      <c r="H8" s="23">
        <v>65520.2</v>
      </c>
      <c r="I8" s="23">
        <v>0</v>
      </c>
      <c r="J8" s="23">
        <v>0</v>
      </c>
    </row>
    <row r="9" spans="2:14" ht="13" x14ac:dyDescent="0.3">
      <c r="B9" s="56" t="s">
        <v>23</v>
      </c>
      <c r="C9" s="23">
        <v>0</v>
      </c>
      <c r="D9" s="23">
        <v>0</v>
      </c>
      <c r="E9" s="23">
        <v>0</v>
      </c>
      <c r="F9" s="23">
        <v>23491.9</v>
      </c>
      <c r="G9" s="23">
        <v>172802.699219</v>
      </c>
      <c r="H9" s="23">
        <v>0</v>
      </c>
      <c r="I9" s="23">
        <v>0</v>
      </c>
      <c r="J9" s="23">
        <v>0</v>
      </c>
    </row>
    <row r="10" spans="2:14" x14ac:dyDescent="0.25">
      <c r="B10" t="s">
        <v>25</v>
      </c>
      <c r="C10" s="4">
        <v>8563926.7931520008</v>
      </c>
      <c r="D10" s="4">
        <v>3984810</v>
      </c>
      <c r="E10" s="4">
        <v>4269030</v>
      </c>
      <c r="F10" s="4">
        <v>7151540</v>
      </c>
      <c r="G10" s="4">
        <v>13639288.709717</v>
      </c>
      <c r="H10" s="4">
        <v>6763510</v>
      </c>
      <c r="I10" s="4">
        <v>10990200</v>
      </c>
      <c r="J10" s="4">
        <v>1579490</v>
      </c>
    </row>
    <row r="11" spans="2:14" x14ac:dyDescent="0.25">
      <c r="C11" s="4"/>
      <c r="D11" s="4"/>
      <c r="E11" s="4"/>
      <c r="F11" s="4"/>
      <c r="G11" s="4"/>
      <c r="H11" s="4"/>
      <c r="I11" s="4"/>
      <c r="J11" s="4"/>
    </row>
    <row r="12" spans="2:14" ht="13" x14ac:dyDescent="0.3">
      <c r="C12" s="4"/>
      <c r="D12" s="93" t="s">
        <v>88</v>
      </c>
      <c r="E12" s="93"/>
      <c r="F12" s="93"/>
      <c r="G12" s="4"/>
      <c r="H12" s="4"/>
      <c r="I12" s="4"/>
      <c r="J12" s="4"/>
    </row>
    <row r="13" spans="2:14" ht="13" x14ac:dyDescent="0.3">
      <c r="B13" s="56" t="s">
        <v>36</v>
      </c>
      <c r="C13" s="57">
        <v>723966</v>
      </c>
      <c r="D13" s="23">
        <f>44115+43182+43934+36380+32601</f>
        <v>200212</v>
      </c>
      <c r="E13" s="23">
        <f>123541+131268</f>
        <v>254809</v>
      </c>
      <c r="F13" s="57">
        <v>594030</v>
      </c>
      <c r="G13" s="23">
        <f>226850+228136+231913</f>
        <v>686899</v>
      </c>
      <c r="H13" s="57">
        <v>627831</v>
      </c>
      <c r="I13" s="57">
        <v>42029</v>
      </c>
      <c r="J13" s="57">
        <v>118025</v>
      </c>
    </row>
    <row r="14" spans="2:14" ht="13" x14ac:dyDescent="0.3">
      <c r="B14" s="56" t="s">
        <v>37</v>
      </c>
      <c r="C14" s="57">
        <v>776013</v>
      </c>
      <c r="D14" s="23">
        <f>43849+44406+47383+34262+27956</f>
        <v>197856</v>
      </c>
      <c r="E14" s="23">
        <f>132871+137564</f>
        <v>270435</v>
      </c>
      <c r="F14" s="57">
        <v>605180</v>
      </c>
      <c r="G14" s="23">
        <f>264009+231142+266338</f>
        <v>761489</v>
      </c>
      <c r="H14" s="57">
        <v>623142</v>
      </c>
      <c r="I14" s="57">
        <v>195810</v>
      </c>
      <c r="J14" s="57">
        <v>110379</v>
      </c>
      <c r="M14" s="12"/>
      <c r="N14" s="18"/>
    </row>
    <row r="15" spans="2:14" ht="13" x14ac:dyDescent="0.3">
      <c r="B15" s="56" t="s">
        <v>35</v>
      </c>
      <c r="C15" s="23">
        <v>791642</v>
      </c>
      <c r="D15" s="23">
        <v>121531</v>
      </c>
      <c r="E15" s="23">
        <v>244905</v>
      </c>
      <c r="F15" s="23">
        <v>514484</v>
      </c>
      <c r="G15" s="23">
        <v>739481</v>
      </c>
      <c r="H15" s="23">
        <v>617043</v>
      </c>
      <c r="I15" s="23">
        <v>50168</v>
      </c>
      <c r="J15" s="23">
        <v>110241</v>
      </c>
      <c r="M15" s="12"/>
      <c r="N15" s="18"/>
    </row>
    <row r="16" spans="2:14" ht="13" x14ac:dyDescent="0.3">
      <c r="B16" s="28" t="s">
        <v>38</v>
      </c>
      <c r="C16" s="58">
        <f t="shared" ref="C16:J16" si="0">AVERAGE(C13:C15)</f>
        <v>763873.66666666663</v>
      </c>
      <c r="D16" s="58">
        <f t="shared" si="0"/>
        <v>173199.66666666666</v>
      </c>
      <c r="E16" s="58">
        <f t="shared" si="0"/>
        <v>256716.33333333334</v>
      </c>
      <c r="F16" s="58">
        <f t="shared" si="0"/>
        <v>571231.33333333337</v>
      </c>
      <c r="G16" s="58">
        <f t="shared" si="0"/>
        <v>729289.66666666663</v>
      </c>
      <c r="H16" s="58">
        <f t="shared" si="0"/>
        <v>622672</v>
      </c>
      <c r="I16" s="58">
        <f t="shared" si="0"/>
        <v>96002.333333333328</v>
      </c>
      <c r="J16" s="58">
        <f t="shared" si="0"/>
        <v>112881.66666666667</v>
      </c>
      <c r="M16" s="12"/>
      <c r="N16" s="12"/>
    </row>
    <row r="17" spans="2:14" x14ac:dyDescent="0.25">
      <c r="B17" s="19"/>
      <c r="C17" s="3"/>
      <c r="D17" s="3"/>
      <c r="E17" s="3"/>
      <c r="F17" s="3"/>
      <c r="G17" s="3"/>
      <c r="H17" s="3"/>
      <c r="I17" s="3"/>
      <c r="J17" s="3"/>
      <c r="M17" s="12"/>
      <c r="N17" s="12"/>
    </row>
    <row r="18" spans="2:14" x14ac:dyDescent="0.25">
      <c r="B18" s="19"/>
      <c r="C18" s="3"/>
      <c r="D18" s="3"/>
      <c r="E18" s="3"/>
      <c r="F18" s="3"/>
      <c r="G18" s="3"/>
      <c r="H18" s="3"/>
      <c r="I18" s="3"/>
      <c r="J18" s="3"/>
      <c r="M18" s="12"/>
      <c r="N18" s="12"/>
    </row>
    <row r="19" spans="2:14" ht="13" x14ac:dyDescent="0.3">
      <c r="E19" s="89" t="s">
        <v>104</v>
      </c>
      <c r="F19" s="89"/>
      <c r="G19" s="89"/>
      <c r="M19" s="18"/>
      <c r="N19" s="12"/>
    </row>
    <row r="20" spans="2:14" ht="13" x14ac:dyDescent="0.3">
      <c r="B20" s="56" t="s">
        <v>75</v>
      </c>
      <c r="C20" s="56" t="s">
        <v>30</v>
      </c>
      <c r="D20" s="56" t="s">
        <v>31</v>
      </c>
      <c r="E20" s="56" t="s">
        <v>28</v>
      </c>
      <c r="F20" s="56" t="s">
        <v>11</v>
      </c>
      <c r="G20" s="56" t="s">
        <v>22</v>
      </c>
      <c r="H20" s="56" t="s">
        <v>9</v>
      </c>
      <c r="I20" s="56" t="s">
        <v>6</v>
      </c>
      <c r="J20" s="56" t="s">
        <v>3</v>
      </c>
      <c r="K20" s="56" t="s">
        <v>74</v>
      </c>
      <c r="M20" s="18"/>
      <c r="N20" s="18"/>
    </row>
    <row r="21" spans="2:14" ht="13" x14ac:dyDescent="0.3">
      <c r="B21" s="56" t="s">
        <v>24</v>
      </c>
      <c r="C21" s="23">
        <f t="shared" ref="C21:C26" si="1">C4/$C$16</f>
        <v>9.1813886327625731</v>
      </c>
      <c r="D21" s="23">
        <f t="shared" ref="D21:D26" si="2">D4/$D$16</f>
        <v>18.084873142558013</v>
      </c>
      <c r="E21" s="23">
        <f t="shared" ref="E21:E26" si="3">E4/$E$16</f>
        <v>11.999552034736135</v>
      </c>
      <c r="F21" s="23">
        <f t="shared" ref="F21:F26" si="4">F4/$F$16</f>
        <v>8.7103905364668357</v>
      </c>
      <c r="G21" s="23">
        <f t="shared" ref="G21:G26" si="5">G4/$G$16</f>
        <v>16.864112929350433</v>
      </c>
      <c r="H21" s="23">
        <f t="shared" ref="H21:H26" si="6">H4/$H$16</f>
        <v>7.8383322198525063</v>
      </c>
      <c r="I21" s="23">
        <f t="shared" ref="I21:I26" si="7">I4/$I$16</f>
        <v>103.39477859913127</v>
      </c>
      <c r="J21" s="23">
        <f t="shared" ref="J21:J26" si="8">J4/$J$16</f>
        <v>10.29878486320483</v>
      </c>
      <c r="K21" s="47">
        <f>AVERAGE(C21:J21)</f>
        <v>23.296526619757827</v>
      </c>
    </row>
    <row r="22" spans="2:14" ht="13" x14ac:dyDescent="0.3">
      <c r="B22" s="56" t="s">
        <v>17</v>
      </c>
      <c r="C22" s="23">
        <f t="shared" si="1"/>
        <v>0.27992013449038911</v>
      </c>
      <c r="D22" s="23">
        <f t="shared" si="2"/>
        <v>0.54737575237057812</v>
      </c>
      <c r="E22" s="23">
        <f t="shared" si="3"/>
        <v>0.1810527542813144</v>
      </c>
      <c r="F22" s="23">
        <f t="shared" si="4"/>
        <v>0.18781585755800043</v>
      </c>
      <c r="G22" s="23">
        <f t="shared" si="5"/>
        <v>9.8001798854044739E-2</v>
      </c>
      <c r="H22" s="23">
        <f t="shared" si="6"/>
        <v>0.12506172317849526</v>
      </c>
      <c r="I22" s="23">
        <f t="shared" si="7"/>
        <v>0.75367334821723075</v>
      </c>
      <c r="J22" s="23">
        <f t="shared" si="8"/>
        <v>0.35429313191395118</v>
      </c>
      <c r="K22" s="47">
        <f t="shared" ref="K22:K27" si="9">AVERAGE(C22:J22)</f>
        <v>0.31589931260800047</v>
      </c>
    </row>
    <row r="23" spans="2:14" ht="13" x14ac:dyDescent="0.3">
      <c r="B23" s="56" t="s">
        <v>16</v>
      </c>
      <c r="C23" s="23">
        <f t="shared" si="1"/>
        <v>0.26382071802318097</v>
      </c>
      <c r="D23" s="23">
        <f t="shared" si="2"/>
        <v>0.77772725638232565</v>
      </c>
      <c r="E23" s="23">
        <f t="shared" si="3"/>
        <v>0.50873662109539841</v>
      </c>
      <c r="F23" s="23">
        <f t="shared" si="4"/>
        <v>0.16750656768361211</v>
      </c>
      <c r="G23" s="23">
        <f t="shared" si="5"/>
        <v>0</v>
      </c>
      <c r="H23" s="23">
        <f t="shared" si="6"/>
        <v>5.1401701684032686E-2</v>
      </c>
      <c r="I23" s="23">
        <f t="shared" si="7"/>
        <v>2.543302766946637</v>
      </c>
      <c r="J23" s="23">
        <f t="shared" si="8"/>
        <v>0.37467288061834664</v>
      </c>
      <c r="K23" s="47">
        <f t="shared" si="9"/>
        <v>0.5858960640541917</v>
      </c>
    </row>
    <row r="24" spans="2:14" ht="13" x14ac:dyDescent="0.3">
      <c r="B24" s="56" t="s">
        <v>15</v>
      </c>
      <c r="C24" s="23">
        <f t="shared" si="1"/>
        <v>2.2007592032015768E-2</v>
      </c>
      <c r="D24" s="23">
        <f t="shared" si="2"/>
        <v>0.18466421237723707</v>
      </c>
      <c r="E24" s="23">
        <f t="shared" si="3"/>
        <v>0</v>
      </c>
      <c r="F24" s="23">
        <f t="shared" si="4"/>
        <v>7.7684481054377266E-2</v>
      </c>
      <c r="G24" s="23">
        <f t="shared" si="5"/>
        <v>0.11533745041453579</v>
      </c>
      <c r="H24" s="23">
        <f t="shared" si="6"/>
        <v>7.5412094971349278E-2</v>
      </c>
      <c r="I24" s="23">
        <f t="shared" si="7"/>
        <v>0.18310284125038628</v>
      </c>
      <c r="J24" s="23">
        <f t="shared" si="8"/>
        <v>5.1003409357882147E-2</v>
      </c>
      <c r="K24" s="47">
        <f t="shared" si="9"/>
        <v>8.8651510182222948E-2</v>
      </c>
    </row>
    <row r="25" spans="2:14" ht="13" x14ac:dyDescent="0.3">
      <c r="B25" s="56" t="s">
        <v>14</v>
      </c>
      <c r="C25" s="23">
        <f t="shared" si="1"/>
        <v>0</v>
      </c>
      <c r="D25" s="23">
        <f t="shared" si="2"/>
        <v>0</v>
      </c>
      <c r="E25" s="23">
        <f t="shared" si="3"/>
        <v>6.6743318500705695E-2</v>
      </c>
      <c r="F25" s="23">
        <f t="shared" si="4"/>
        <v>0</v>
      </c>
      <c r="G25" s="23">
        <f t="shared" si="5"/>
        <v>8.3689791299204841E-2</v>
      </c>
      <c r="H25" s="23">
        <f t="shared" si="6"/>
        <v>0.1052242593211193</v>
      </c>
      <c r="I25" s="23">
        <f t="shared" si="7"/>
        <v>0</v>
      </c>
      <c r="J25" s="23">
        <f t="shared" si="8"/>
        <v>0</v>
      </c>
      <c r="K25" s="47">
        <f t="shared" si="9"/>
        <v>3.1957171140128728E-2</v>
      </c>
    </row>
    <row r="26" spans="2:14" ht="13" x14ac:dyDescent="0.3">
      <c r="B26" s="56" t="s">
        <v>23</v>
      </c>
      <c r="C26" s="23">
        <f t="shared" si="1"/>
        <v>0</v>
      </c>
      <c r="D26" s="23">
        <f t="shared" si="2"/>
        <v>0</v>
      </c>
      <c r="E26" s="23">
        <f t="shared" si="3"/>
        <v>0</v>
      </c>
      <c r="F26" s="23">
        <f t="shared" si="4"/>
        <v>4.1125019986065187E-2</v>
      </c>
      <c r="G26" s="23">
        <f t="shared" si="5"/>
        <v>0.23694658942422972</v>
      </c>
      <c r="H26" s="23">
        <f t="shared" si="6"/>
        <v>0</v>
      </c>
      <c r="I26" s="23">
        <f t="shared" si="7"/>
        <v>0</v>
      </c>
      <c r="J26" s="23">
        <f t="shared" si="8"/>
        <v>0</v>
      </c>
      <c r="K26" s="47">
        <f t="shared" si="9"/>
        <v>3.4758951176286863E-2</v>
      </c>
    </row>
    <row r="27" spans="2:14" ht="13" x14ac:dyDescent="0.3">
      <c r="B27" s="56"/>
      <c r="C27" s="58">
        <f>SUM(C21:C26)</f>
        <v>9.7471370773081603</v>
      </c>
      <c r="D27" s="58">
        <f t="shared" ref="D27:J27" si="10">SUM(D21:D26)</f>
        <v>19.59464036368815</v>
      </c>
      <c r="E27" s="58">
        <f t="shared" si="10"/>
        <v>12.756084728613553</v>
      </c>
      <c r="F27" s="58">
        <f t="shared" si="10"/>
        <v>9.1845224627488893</v>
      </c>
      <c r="G27" s="58">
        <f t="shared" si="10"/>
        <v>17.398088559342447</v>
      </c>
      <c r="H27" s="58">
        <f t="shared" si="10"/>
        <v>8.1954319990075035</v>
      </c>
      <c r="I27" s="58">
        <f t="shared" si="10"/>
        <v>106.87485755554553</v>
      </c>
      <c r="J27" s="58">
        <f t="shared" si="10"/>
        <v>11.078754285095011</v>
      </c>
      <c r="K27" s="75">
        <f t="shared" si="9"/>
        <v>24.353689628918655</v>
      </c>
    </row>
    <row r="28" spans="2:14" x14ac:dyDescent="0.25">
      <c r="B28" t="s">
        <v>25</v>
      </c>
      <c r="C28" s="4">
        <f>C10/$C$16</f>
        <v>11.211182119319034</v>
      </c>
      <c r="D28" s="4">
        <f>D10/$D$16</f>
        <v>23.007030421536609</v>
      </c>
      <c r="E28" s="4">
        <f>E10/$E$16</f>
        <v>16.629366525178892</v>
      </c>
      <c r="F28" s="4">
        <f>F10/$F$16</f>
        <v>12.519516319716354</v>
      </c>
      <c r="G28" s="4">
        <f>G10/$G$16</f>
        <v>18.702155444019272</v>
      </c>
      <c r="H28" s="4">
        <f>H10/$H$16</f>
        <v>10.862075057172957</v>
      </c>
      <c r="I28" s="4">
        <f>I10/$I$16</f>
        <v>114.47846753724737</v>
      </c>
      <c r="J28" s="4">
        <f>J10/$J$16</f>
        <v>13.992440461249981</v>
      </c>
    </row>
    <row r="59" spans="1:10" ht="13" x14ac:dyDescent="0.3">
      <c r="C59" s="11"/>
      <c r="D59" s="11"/>
      <c r="E59" s="11"/>
      <c r="F59" s="11"/>
      <c r="G59" s="11"/>
      <c r="H59" s="11"/>
      <c r="I59" s="11"/>
      <c r="J59" s="11"/>
    </row>
    <row r="60" spans="1:10" x14ac:dyDescent="0.25">
      <c r="B60" s="10"/>
      <c r="C60" s="4"/>
      <c r="D60" s="4"/>
      <c r="E60" s="4"/>
      <c r="F60" s="4"/>
      <c r="G60" s="4"/>
      <c r="H60" s="4"/>
      <c r="I60" s="4"/>
      <c r="J60" s="4"/>
    </row>
    <row r="61" spans="1:10" x14ac:dyDescent="0.25">
      <c r="B61" s="10"/>
      <c r="C61" s="4"/>
      <c r="D61" s="4"/>
      <c r="E61" s="4"/>
      <c r="F61" s="4"/>
      <c r="G61" s="4"/>
      <c r="H61" s="4"/>
      <c r="I61" s="4"/>
      <c r="J61" s="4"/>
    </row>
    <row r="62" spans="1:10" x14ac:dyDescent="0.25">
      <c r="B62" s="10"/>
      <c r="C62" s="4"/>
      <c r="D62" s="4"/>
      <c r="E62" s="4"/>
      <c r="F62" s="4"/>
      <c r="G62" s="4"/>
      <c r="H62" s="4"/>
      <c r="I62" s="4"/>
      <c r="J62" s="4"/>
    </row>
    <row r="63" spans="1:10" ht="13" x14ac:dyDescent="0.3">
      <c r="B63" s="11"/>
    </row>
    <row r="64" spans="1:10" x14ac:dyDescent="0.25">
      <c r="A64" s="10"/>
      <c r="B64" s="1"/>
      <c r="C64" s="26"/>
      <c r="D64" s="26"/>
      <c r="E64" s="26"/>
      <c r="F64" s="26"/>
      <c r="G64" s="27"/>
      <c r="H64" s="26"/>
      <c r="I64" s="27"/>
      <c r="J64" s="26"/>
    </row>
    <row r="65" spans="1:10" x14ac:dyDescent="0.25">
      <c r="A65" s="10"/>
      <c r="B65" s="1"/>
      <c r="C65" s="26"/>
      <c r="D65" s="26"/>
      <c r="E65" s="26"/>
      <c r="F65" s="26"/>
      <c r="G65" s="27"/>
      <c r="H65" s="27"/>
      <c r="I65" s="17"/>
      <c r="J65" s="26"/>
    </row>
  </sheetData>
  <mergeCells count="3">
    <mergeCell ref="D2:F2"/>
    <mergeCell ref="D12:F12"/>
    <mergeCell ref="E19:G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05125-1D42-40EE-AAE7-24B07205793D}">
  <dimension ref="A1:U47"/>
  <sheetViews>
    <sheetView zoomScaleNormal="100" workbookViewId="0">
      <selection activeCell="C8" sqref="C8"/>
    </sheetView>
  </sheetViews>
  <sheetFormatPr defaultColWidth="8.90625" defaultRowHeight="12.5" x14ac:dyDescent="0.25"/>
  <cols>
    <col min="1" max="1" width="33" style="1" customWidth="1"/>
    <col min="2" max="2" width="22.453125" style="1" bestFit="1" customWidth="1"/>
    <col min="3" max="3" width="19.81640625" style="1" customWidth="1"/>
    <col min="4" max="4" width="24.1796875" style="1" bestFit="1" customWidth="1"/>
    <col min="5" max="5" width="15.453125" style="1" bestFit="1" customWidth="1"/>
    <col min="6" max="6" width="16" style="1" bestFit="1" customWidth="1"/>
    <col min="7" max="7" width="20.81640625" style="1" customWidth="1"/>
    <col min="8" max="8" width="17.1796875" style="1" customWidth="1"/>
    <col min="9" max="9" width="14.6328125" style="1" customWidth="1"/>
    <col min="10" max="10" width="14.81640625" style="1" customWidth="1"/>
    <col min="11" max="11" width="18.08984375" style="1" bestFit="1" customWidth="1"/>
    <col min="12" max="12" width="14.1796875" style="1" customWidth="1"/>
    <col min="13" max="13" width="15.453125" style="1" customWidth="1"/>
    <col min="14" max="14" width="14.36328125" style="1" customWidth="1"/>
    <col min="15" max="15" width="9" style="1" bestFit="1" customWidth="1"/>
    <col min="16" max="16" width="11.36328125" style="1" bestFit="1" customWidth="1"/>
    <col min="17" max="17" width="15.36328125" style="1" bestFit="1" customWidth="1"/>
    <col min="18" max="18" width="16.08984375" style="1" bestFit="1" customWidth="1"/>
    <col min="19" max="19" width="16.81640625" style="1" bestFit="1" customWidth="1"/>
    <col min="20" max="20" width="12.81640625" style="1" bestFit="1" customWidth="1"/>
    <col min="21" max="21" width="13.54296875" style="1" bestFit="1" customWidth="1"/>
    <col min="22" max="16384" width="8.90625" style="1"/>
  </cols>
  <sheetData>
    <row r="1" spans="1:21" ht="13" x14ac:dyDescent="0.3">
      <c r="A1" s="2"/>
    </row>
    <row r="2" spans="1:21" ht="13" x14ac:dyDescent="0.3">
      <c r="C2" s="84" t="s">
        <v>81</v>
      </c>
      <c r="D2" s="84"/>
      <c r="E2" s="84"/>
    </row>
    <row r="3" spans="1:21" x14ac:dyDescent="0.25">
      <c r="A3" s="1" t="s">
        <v>82</v>
      </c>
    </row>
    <row r="4" spans="1:21" ht="13" x14ac:dyDescent="0.3">
      <c r="A4" s="44"/>
      <c r="B4" s="41" t="s">
        <v>39</v>
      </c>
      <c r="C4" s="20" t="s">
        <v>21</v>
      </c>
      <c r="D4" s="20" t="s">
        <v>20</v>
      </c>
      <c r="E4" s="20" t="s">
        <v>19</v>
      </c>
      <c r="F4" s="20" t="s">
        <v>18</v>
      </c>
      <c r="M4" s="2"/>
      <c r="N4" s="2"/>
      <c r="O4" s="2"/>
      <c r="P4" s="2"/>
      <c r="Q4" s="2"/>
      <c r="R4" s="2"/>
      <c r="S4" s="2"/>
      <c r="T4" s="2"/>
      <c r="U4" s="2"/>
    </row>
    <row r="5" spans="1:21" ht="13" x14ac:dyDescent="0.3">
      <c r="A5" s="44"/>
      <c r="B5" s="41"/>
      <c r="C5" s="20"/>
      <c r="D5" s="20"/>
      <c r="E5" s="20"/>
      <c r="F5" s="20"/>
      <c r="M5" s="2"/>
      <c r="N5" s="2"/>
      <c r="O5" s="2"/>
      <c r="P5" s="2"/>
      <c r="Q5" s="2"/>
      <c r="R5" s="2"/>
      <c r="S5" s="2"/>
      <c r="T5" s="2"/>
      <c r="U5" s="2"/>
    </row>
    <row r="6" spans="1:21" x14ac:dyDescent="0.25">
      <c r="A6" s="45"/>
      <c r="B6" s="42" t="s">
        <v>30</v>
      </c>
      <c r="C6" s="21" t="s">
        <v>13</v>
      </c>
      <c r="D6" s="21" t="s">
        <v>12</v>
      </c>
      <c r="E6" s="21" t="s">
        <v>0</v>
      </c>
      <c r="F6" s="21">
        <v>2013</v>
      </c>
      <c r="M6" s="5"/>
      <c r="N6" s="4"/>
      <c r="O6" s="6"/>
      <c r="P6" s="6"/>
      <c r="Q6" s="6"/>
      <c r="R6" s="6"/>
      <c r="S6" s="6"/>
      <c r="T6" s="6"/>
      <c r="U6" s="6"/>
    </row>
    <row r="7" spans="1:21" ht="37.5" x14ac:dyDescent="0.25">
      <c r="A7" s="45"/>
      <c r="B7" s="43" t="s">
        <v>76</v>
      </c>
      <c r="C7" s="24" t="s">
        <v>10</v>
      </c>
      <c r="D7" s="21" t="s">
        <v>7</v>
      </c>
      <c r="E7" s="21" t="s">
        <v>0</v>
      </c>
      <c r="F7" s="24" t="s">
        <v>26</v>
      </c>
      <c r="M7" s="5"/>
      <c r="N7" s="4"/>
      <c r="O7" s="6"/>
      <c r="P7" s="6"/>
      <c r="Q7" s="6"/>
      <c r="R7" s="6"/>
      <c r="S7" s="6"/>
      <c r="T7" s="6"/>
      <c r="U7" s="6"/>
    </row>
    <row r="8" spans="1:21" ht="37.5" x14ac:dyDescent="0.25">
      <c r="A8" s="45"/>
      <c r="B8" s="43" t="s">
        <v>77</v>
      </c>
      <c r="C8" s="24" t="s">
        <v>10</v>
      </c>
      <c r="D8" s="21" t="s">
        <v>7</v>
      </c>
      <c r="E8" s="21" t="s">
        <v>0</v>
      </c>
      <c r="F8" s="24" t="s">
        <v>29</v>
      </c>
      <c r="M8" s="5"/>
      <c r="N8" s="4"/>
      <c r="O8" s="6"/>
      <c r="P8" s="6"/>
      <c r="Q8" s="6"/>
      <c r="R8" s="6"/>
      <c r="S8" s="6"/>
      <c r="T8" s="6"/>
      <c r="U8" s="6"/>
    </row>
    <row r="9" spans="1:21" x14ac:dyDescent="0.25">
      <c r="A9" s="45"/>
      <c r="B9" s="43" t="s">
        <v>11</v>
      </c>
      <c r="C9" s="24" t="s">
        <v>10</v>
      </c>
      <c r="D9" s="21" t="s">
        <v>7</v>
      </c>
      <c r="E9" s="21" t="s">
        <v>0</v>
      </c>
      <c r="F9" s="24">
        <v>2014</v>
      </c>
      <c r="M9" s="5"/>
      <c r="N9" s="4"/>
      <c r="O9" s="6"/>
      <c r="P9" s="6"/>
      <c r="Q9" s="6"/>
      <c r="R9" s="6"/>
      <c r="S9" s="6"/>
      <c r="T9" s="6"/>
      <c r="U9" s="6"/>
    </row>
    <row r="10" spans="1:21" ht="37.5" x14ac:dyDescent="0.25">
      <c r="A10" s="45"/>
      <c r="B10" s="43" t="s">
        <v>80</v>
      </c>
      <c r="C10" s="24" t="s">
        <v>10</v>
      </c>
      <c r="D10" s="21" t="s">
        <v>7</v>
      </c>
      <c r="E10" s="21" t="s">
        <v>4</v>
      </c>
      <c r="F10" s="24">
        <v>2013</v>
      </c>
      <c r="M10" s="5"/>
      <c r="N10" s="4"/>
      <c r="O10" s="6"/>
      <c r="P10" s="6"/>
      <c r="Q10" s="6"/>
      <c r="R10" s="6"/>
      <c r="S10" s="6"/>
      <c r="T10" s="6"/>
      <c r="U10" s="6"/>
    </row>
    <row r="11" spans="1:21" ht="25" x14ac:dyDescent="0.25">
      <c r="A11" s="45"/>
      <c r="B11" s="43" t="s">
        <v>78</v>
      </c>
      <c r="C11" s="25" t="s">
        <v>8</v>
      </c>
      <c r="D11" s="21" t="s">
        <v>7</v>
      </c>
      <c r="E11" s="21" t="s">
        <v>0</v>
      </c>
      <c r="F11" s="24">
        <v>2014</v>
      </c>
      <c r="M11" s="5"/>
      <c r="N11" s="4"/>
      <c r="O11" s="6"/>
      <c r="P11" s="6"/>
      <c r="Q11" s="6"/>
      <c r="R11" s="6"/>
      <c r="S11" s="6"/>
      <c r="T11" s="6"/>
      <c r="U11" s="6"/>
    </row>
    <row r="12" spans="1:21" ht="25" x14ac:dyDescent="0.25">
      <c r="A12" s="45"/>
      <c r="B12" s="43" t="s">
        <v>79</v>
      </c>
      <c r="C12" s="25" t="s">
        <v>5</v>
      </c>
      <c r="D12" s="21" t="s">
        <v>1</v>
      </c>
      <c r="E12" s="21" t="s">
        <v>4</v>
      </c>
      <c r="F12" s="24">
        <v>2015</v>
      </c>
      <c r="M12" s="5"/>
      <c r="N12" s="4"/>
      <c r="O12" s="6"/>
      <c r="P12" s="6"/>
      <c r="Q12" s="6"/>
      <c r="R12" s="6"/>
      <c r="S12" s="6"/>
      <c r="T12" s="6"/>
      <c r="U12" s="6"/>
    </row>
    <row r="13" spans="1:21" x14ac:dyDescent="0.25">
      <c r="A13" s="45"/>
      <c r="B13" s="43" t="s">
        <v>3</v>
      </c>
      <c r="C13" s="25" t="s">
        <v>2</v>
      </c>
      <c r="D13" s="21" t="s">
        <v>1</v>
      </c>
      <c r="E13" s="21" t="s">
        <v>0</v>
      </c>
      <c r="F13" s="24">
        <v>2007</v>
      </c>
      <c r="M13" s="5"/>
      <c r="N13" s="4"/>
      <c r="O13" s="6"/>
      <c r="P13" s="6"/>
      <c r="Q13" s="6"/>
      <c r="R13" s="6"/>
      <c r="S13" s="6"/>
      <c r="T13" s="6"/>
      <c r="U13" s="6"/>
    </row>
    <row r="14" spans="1:21" x14ac:dyDescent="0.25">
      <c r="P14" s="7"/>
    </row>
    <row r="40" spans="2:2" x14ac:dyDescent="0.25">
      <c r="B40" s="8"/>
    </row>
    <row r="41" spans="2:2" x14ac:dyDescent="0.25">
      <c r="B41" s="8"/>
    </row>
    <row r="42" spans="2:2" x14ac:dyDescent="0.25">
      <c r="B42" s="8"/>
    </row>
    <row r="43" spans="2:2" x14ac:dyDescent="0.25">
      <c r="B43" s="8"/>
    </row>
    <row r="44" spans="2:2" x14ac:dyDescent="0.25">
      <c r="B44" s="8"/>
    </row>
    <row r="45" spans="2:2" x14ac:dyDescent="0.25">
      <c r="B45" s="8"/>
    </row>
    <row r="46" spans="2:2" x14ac:dyDescent="0.25">
      <c r="B46" s="8"/>
    </row>
    <row r="47" spans="2:2" x14ac:dyDescent="0.25">
      <c r="B47" s="8"/>
    </row>
  </sheetData>
  <mergeCells count="1">
    <mergeCell ref="C2:E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DB620-2172-4DDD-8747-D36C2BF1F93B}">
  <dimension ref="B2:P32"/>
  <sheetViews>
    <sheetView workbookViewId="0">
      <selection activeCell="I3" sqref="I3"/>
    </sheetView>
  </sheetViews>
  <sheetFormatPr defaultRowHeight="12.5" x14ac:dyDescent="0.25"/>
  <cols>
    <col min="2" max="2" width="22.453125" bestFit="1" customWidth="1"/>
    <col min="3" max="3" width="10.54296875" bestFit="1" customWidth="1"/>
    <col min="4" max="4" width="9.90625" bestFit="1" customWidth="1"/>
    <col min="5" max="5" width="12.90625" bestFit="1" customWidth="1"/>
    <col min="6" max="6" width="15" customWidth="1"/>
    <col min="7" max="7" width="14.453125" bestFit="1" customWidth="1"/>
    <col min="8" max="8" width="10.453125" bestFit="1" customWidth="1"/>
    <col min="9" max="9" width="12.6328125" bestFit="1" customWidth="1"/>
    <col min="10" max="10" width="12.6328125" customWidth="1"/>
    <col min="11" max="11" width="10.54296875" bestFit="1" customWidth="1"/>
    <col min="12" max="12" width="9.54296875" bestFit="1" customWidth="1"/>
    <col min="13" max="13" width="17.90625" bestFit="1" customWidth="1"/>
    <col min="14" max="14" width="15.08984375" bestFit="1" customWidth="1"/>
    <col min="15" max="15" width="16" bestFit="1" customWidth="1"/>
  </cols>
  <sheetData>
    <row r="2" spans="2:13" x14ac:dyDescent="0.25">
      <c r="L2">
        <v>4046.86</v>
      </c>
      <c r="M2" s="10" t="s">
        <v>109</v>
      </c>
    </row>
    <row r="3" spans="2:13" ht="13" x14ac:dyDescent="0.3">
      <c r="E3" s="85" t="s">
        <v>84</v>
      </c>
      <c r="F3" s="85"/>
    </row>
    <row r="4" spans="2:13" x14ac:dyDescent="0.25">
      <c r="C4" s="1"/>
      <c r="D4" s="1"/>
      <c r="E4" s="1"/>
      <c r="F4" s="1"/>
      <c r="G4" s="1"/>
      <c r="H4" s="1"/>
    </row>
    <row r="5" spans="2:13" ht="13" x14ac:dyDescent="0.3">
      <c r="B5" s="20" t="s">
        <v>39</v>
      </c>
      <c r="C5" s="86" t="s">
        <v>75</v>
      </c>
      <c r="D5" s="87"/>
      <c r="E5" s="87"/>
      <c r="F5" s="87"/>
      <c r="G5" s="87"/>
      <c r="H5" s="87"/>
      <c r="I5" s="88"/>
      <c r="J5" s="74"/>
    </row>
    <row r="6" spans="2:13" ht="13.5" thickBot="1" x14ac:dyDescent="0.35">
      <c r="B6" s="20"/>
      <c r="C6" s="20" t="s">
        <v>24</v>
      </c>
      <c r="D6" s="20" t="s">
        <v>17</v>
      </c>
      <c r="E6" s="20" t="s">
        <v>16</v>
      </c>
      <c r="F6" s="20" t="s">
        <v>15</v>
      </c>
      <c r="G6" s="20" t="s">
        <v>14</v>
      </c>
      <c r="H6" s="20" t="s">
        <v>23</v>
      </c>
      <c r="I6" s="20" t="s">
        <v>85</v>
      </c>
      <c r="J6" s="74"/>
      <c r="M6" s="82"/>
    </row>
    <row r="7" spans="2:13" ht="13.25" customHeight="1" thickBot="1" x14ac:dyDescent="0.3">
      <c r="B7" s="52" t="s">
        <v>30</v>
      </c>
      <c r="C7" s="53">
        <v>7013421</v>
      </c>
      <c r="D7" s="53">
        <v>213823.619507</v>
      </c>
      <c r="E7" s="53">
        <v>201525.699219</v>
      </c>
      <c r="F7" s="53">
        <v>16811.02002</v>
      </c>
      <c r="G7" s="53">
        <v>0</v>
      </c>
      <c r="H7" s="54">
        <v>0</v>
      </c>
      <c r="I7" s="53">
        <v>8563926.7931520008</v>
      </c>
      <c r="J7" s="83">
        <f>I7/$L$2</f>
        <v>2116.1905262727155</v>
      </c>
      <c r="K7" s="78">
        <v>2115</v>
      </c>
      <c r="L7">
        <f>K7*$L$2</f>
        <v>8559108.9000000004</v>
      </c>
      <c r="M7" s="82">
        <f>(I7-L7)/I7</f>
        <v>5.6257990853599189E-4</v>
      </c>
    </row>
    <row r="8" spans="2:13" ht="13.25" customHeight="1" thickBot="1" x14ac:dyDescent="0.3">
      <c r="B8" s="55" t="s">
        <v>27</v>
      </c>
      <c r="C8" s="53">
        <v>3132294</v>
      </c>
      <c r="D8" s="53">
        <v>94805.297852000003</v>
      </c>
      <c r="E8" s="53">
        <v>134702.101563</v>
      </c>
      <c r="F8" s="53">
        <v>31983.780029000001</v>
      </c>
      <c r="G8" s="54">
        <v>0</v>
      </c>
      <c r="H8" s="54">
        <v>0</v>
      </c>
      <c r="I8" s="53">
        <v>3984810</v>
      </c>
      <c r="J8" s="83">
        <f>I8/$L$2</f>
        <v>984.66712463490205</v>
      </c>
      <c r="K8" s="79" t="s">
        <v>108</v>
      </c>
      <c r="M8" s="82"/>
    </row>
    <row r="9" spans="2:13" ht="13.25" customHeight="1" thickBot="1" x14ac:dyDescent="0.3">
      <c r="B9" s="55" t="s">
        <v>28</v>
      </c>
      <c r="C9" s="53">
        <v>3080481</v>
      </c>
      <c r="D9" s="53">
        <v>46479.199219000002</v>
      </c>
      <c r="E9" s="53">
        <v>130601</v>
      </c>
      <c r="F9" s="54">
        <v>0</v>
      </c>
      <c r="G9" s="53">
        <v>17134.099999999999</v>
      </c>
      <c r="H9" s="54">
        <v>0</v>
      </c>
      <c r="I9" s="53">
        <v>4269030</v>
      </c>
      <c r="J9" s="83">
        <f t="shared" ref="J9:J14" si="0">I9/$L$2</f>
        <v>1054.8993540671038</v>
      </c>
      <c r="K9" s="80" t="s">
        <v>108</v>
      </c>
      <c r="M9" s="82"/>
    </row>
    <row r="10" spans="2:13" ht="13.25" customHeight="1" thickBot="1" x14ac:dyDescent="0.3">
      <c r="B10" s="55" t="s">
        <v>11</v>
      </c>
      <c r="C10" s="53">
        <v>4975648</v>
      </c>
      <c r="D10" s="53">
        <v>107286.302734</v>
      </c>
      <c r="E10" s="53">
        <v>95685</v>
      </c>
      <c r="F10" s="53">
        <v>44375.809692000003</v>
      </c>
      <c r="G10" s="53">
        <v>0</v>
      </c>
      <c r="H10" s="53">
        <v>23491.9</v>
      </c>
      <c r="I10" s="53">
        <v>7151540</v>
      </c>
      <c r="J10" s="83">
        <f t="shared" si="0"/>
        <v>1767.1824575102671</v>
      </c>
      <c r="K10" s="81">
        <v>1765</v>
      </c>
      <c r="L10">
        <f t="shared" ref="L10:L13" si="1">K10*$L$2</f>
        <v>7142707.9000000004</v>
      </c>
      <c r="M10" s="82">
        <f>(I10-L10)/I10</f>
        <v>1.2349927428217738E-3</v>
      </c>
    </row>
    <row r="11" spans="2:13" ht="13.25" customHeight="1" thickBot="1" x14ac:dyDescent="0.3">
      <c r="B11" s="55" t="s">
        <v>22</v>
      </c>
      <c r="C11" s="53">
        <v>12298823.296875</v>
      </c>
      <c r="D11" s="53">
        <v>71471.699219000002</v>
      </c>
      <c r="E11" s="54">
        <v>0</v>
      </c>
      <c r="F11" s="53">
        <v>84114.410766999994</v>
      </c>
      <c r="G11" s="53">
        <v>61034.1</v>
      </c>
      <c r="H11" s="53">
        <v>172802.699219</v>
      </c>
      <c r="I11" s="53">
        <v>13639288.709717</v>
      </c>
      <c r="J11" s="83">
        <f t="shared" si="0"/>
        <v>3370.3386600270333</v>
      </c>
      <c r="K11" s="80">
        <v>3370</v>
      </c>
      <c r="L11">
        <f t="shared" si="1"/>
        <v>13637918.200000001</v>
      </c>
      <c r="M11" s="82">
        <f>(I11-L11)/I11</f>
        <v>1.004824918782163E-4</v>
      </c>
    </row>
    <row r="12" spans="2:13" ht="13.25" customHeight="1" thickBot="1" x14ac:dyDescent="0.3">
      <c r="B12" s="55" t="s">
        <v>9</v>
      </c>
      <c r="C12" s="53">
        <v>4880710</v>
      </c>
      <c r="D12" s="53">
        <v>77872.433294999995</v>
      </c>
      <c r="E12" s="53">
        <v>32006.400390999999</v>
      </c>
      <c r="F12" s="53">
        <v>46957</v>
      </c>
      <c r="G12" s="53">
        <v>65520.2</v>
      </c>
      <c r="H12" s="54">
        <v>0</v>
      </c>
      <c r="I12" s="53">
        <v>6763510</v>
      </c>
      <c r="J12" s="83">
        <f t="shared" si="0"/>
        <v>1671.2982411054495</v>
      </c>
      <c r="K12" s="81">
        <v>1670</v>
      </c>
      <c r="L12">
        <f t="shared" si="1"/>
        <v>6758256.2000000002</v>
      </c>
      <c r="M12" s="82">
        <f>(I12-L12)/I12</f>
        <v>7.7678601791079092E-4</v>
      </c>
    </row>
    <row r="13" spans="2:13" ht="13.25" customHeight="1" thickBot="1" x14ac:dyDescent="0.3">
      <c r="B13" s="55" t="s">
        <v>6</v>
      </c>
      <c r="C13" s="53">
        <v>9926140</v>
      </c>
      <c r="D13" s="53">
        <v>72354.399999999994</v>
      </c>
      <c r="E13" s="53">
        <v>244163</v>
      </c>
      <c r="F13" s="53">
        <v>17578.3</v>
      </c>
      <c r="G13" s="54">
        <v>0</v>
      </c>
      <c r="H13" s="54">
        <v>0</v>
      </c>
      <c r="I13" s="53">
        <v>10990200</v>
      </c>
      <c r="J13" s="83">
        <f t="shared" si="0"/>
        <v>2715.7351625704869</v>
      </c>
      <c r="K13" s="80">
        <v>2700</v>
      </c>
      <c r="L13">
        <f t="shared" si="1"/>
        <v>10926522</v>
      </c>
      <c r="M13" s="82">
        <f>(I13-L13)/I13</f>
        <v>5.7940710815089806E-3</v>
      </c>
    </row>
    <row r="14" spans="2:13" ht="13.25" customHeight="1" thickBot="1" x14ac:dyDescent="0.3">
      <c r="B14" s="55" t="s">
        <v>3</v>
      </c>
      <c r="C14" s="53">
        <v>1162544</v>
      </c>
      <c r="D14" s="53">
        <v>39993.199219000002</v>
      </c>
      <c r="E14" s="53">
        <v>42293.699219000002</v>
      </c>
      <c r="F14" s="53">
        <v>5757.3498540000001</v>
      </c>
      <c r="G14" s="54">
        <v>0</v>
      </c>
      <c r="H14" s="54">
        <v>0</v>
      </c>
      <c r="I14" s="53">
        <v>1579490</v>
      </c>
      <c r="J14" s="83">
        <f t="shared" si="0"/>
        <v>390.30013393099836</v>
      </c>
      <c r="K14" s="81" t="s">
        <v>108</v>
      </c>
    </row>
    <row r="15" spans="2:13" x14ac:dyDescent="0.25">
      <c r="B15" s="52" t="s">
        <v>74</v>
      </c>
      <c r="C15" s="53">
        <f>AVERAGE(C7:C14)</f>
        <v>5808757.662109375</v>
      </c>
      <c r="D15" s="53">
        <f t="shared" ref="D15:I15" si="2">AVERAGE(D7:D14)</f>
        <v>90510.768880625023</v>
      </c>
      <c r="E15" s="53">
        <f t="shared" si="2"/>
        <v>110122.11254899998</v>
      </c>
      <c r="F15" s="53">
        <f t="shared" si="2"/>
        <v>30947.208795249997</v>
      </c>
      <c r="G15" s="53">
        <f t="shared" si="2"/>
        <v>17961.05</v>
      </c>
      <c r="H15" s="53">
        <f t="shared" si="2"/>
        <v>24536.824902375</v>
      </c>
      <c r="I15" s="53">
        <f t="shared" si="2"/>
        <v>7117724.4378586253</v>
      </c>
      <c r="J15" s="83"/>
    </row>
    <row r="16" spans="2:13" x14ac:dyDescent="0.25">
      <c r="B16" s="48"/>
      <c r="C16" s="49"/>
      <c r="D16" s="49"/>
      <c r="E16" s="49"/>
      <c r="F16" s="49"/>
      <c r="G16" s="49"/>
      <c r="H16" s="49"/>
      <c r="I16" s="18"/>
      <c r="J16" s="18"/>
    </row>
    <row r="17" spans="2:16" ht="13" x14ac:dyDescent="0.3">
      <c r="B17" s="11" t="s">
        <v>86</v>
      </c>
    </row>
    <row r="18" spans="2:16" x14ac:dyDescent="0.25">
      <c r="B18" s="10" t="s">
        <v>87</v>
      </c>
    </row>
    <row r="19" spans="2:16" x14ac:dyDescent="0.25">
      <c r="B19" s="10" t="s">
        <v>107</v>
      </c>
    </row>
    <row r="20" spans="2:16" x14ac:dyDescent="0.25">
      <c r="B20" s="1"/>
      <c r="C20" s="1"/>
      <c r="D20" s="1"/>
      <c r="E20" s="1"/>
      <c r="F20" s="1"/>
      <c r="G20" s="1"/>
      <c r="H20" s="1"/>
      <c r="I20" s="1"/>
      <c r="J20" s="1"/>
      <c r="K20" s="1"/>
      <c r="L20" s="1"/>
      <c r="M20" s="1"/>
      <c r="N20" s="1"/>
      <c r="O20" s="1"/>
      <c r="P20" s="1"/>
    </row>
    <row r="21" spans="2:16" ht="13" x14ac:dyDescent="0.3">
      <c r="B21" s="16"/>
      <c r="C21" s="17"/>
      <c r="D21" s="40"/>
      <c r="E21" s="9"/>
      <c r="F21" s="9"/>
      <c r="G21" s="9"/>
      <c r="H21" s="9"/>
      <c r="I21" s="9"/>
      <c r="J21" s="9"/>
      <c r="K21" s="9"/>
      <c r="L21" s="9"/>
      <c r="M21" s="40"/>
      <c r="N21" s="17"/>
      <c r="O21" s="17"/>
      <c r="P21" s="1"/>
    </row>
    <row r="22" spans="2:16" ht="13" x14ac:dyDescent="0.3">
      <c r="B22" s="17"/>
      <c r="C22" s="40"/>
      <c r="D22" s="36"/>
      <c r="E22" s="36"/>
      <c r="F22" s="36"/>
      <c r="G22" s="36"/>
      <c r="H22" s="36"/>
      <c r="I22" s="36"/>
      <c r="J22" s="36"/>
      <c r="K22" s="36"/>
      <c r="L22" s="36"/>
      <c r="M22" s="36"/>
      <c r="N22" s="17"/>
      <c r="O22" s="17"/>
      <c r="P22" s="1"/>
    </row>
    <row r="23" spans="2:16" ht="13" x14ac:dyDescent="0.3">
      <c r="B23" s="17"/>
      <c r="C23" s="40"/>
      <c r="D23" s="36"/>
      <c r="E23" s="36"/>
      <c r="F23" s="36"/>
      <c r="G23" s="36"/>
      <c r="H23" s="36"/>
      <c r="I23" s="36"/>
      <c r="J23" s="36"/>
      <c r="K23" s="36"/>
      <c r="L23" s="36"/>
      <c r="M23" s="36"/>
      <c r="N23" s="17"/>
      <c r="O23" s="17"/>
      <c r="P23" s="1"/>
    </row>
    <row r="24" spans="2:16" ht="13" x14ac:dyDescent="0.3">
      <c r="B24" s="17"/>
      <c r="C24" s="40"/>
      <c r="D24" s="36"/>
      <c r="E24" s="36"/>
      <c r="F24" s="36"/>
      <c r="G24" s="36"/>
      <c r="H24" s="50"/>
      <c r="I24" s="36"/>
      <c r="J24" s="36"/>
      <c r="K24" s="36"/>
      <c r="L24" s="36"/>
      <c r="M24" s="36"/>
      <c r="N24" s="17"/>
      <c r="O24" s="17"/>
      <c r="P24" s="1"/>
    </row>
    <row r="25" spans="2:16" ht="13" x14ac:dyDescent="0.3">
      <c r="B25" s="17"/>
      <c r="C25" s="40"/>
      <c r="D25" s="36"/>
      <c r="E25" s="36"/>
      <c r="F25" s="50"/>
      <c r="G25" s="36"/>
      <c r="H25" s="36"/>
      <c r="I25" s="36"/>
      <c r="J25" s="36"/>
      <c r="K25" s="36"/>
      <c r="L25" s="36"/>
      <c r="M25" s="36"/>
      <c r="N25" s="17"/>
      <c r="O25" s="17"/>
      <c r="P25" s="1"/>
    </row>
    <row r="26" spans="2:16" ht="13" x14ac:dyDescent="0.3">
      <c r="B26" s="17"/>
      <c r="C26" s="40"/>
      <c r="D26" s="36"/>
      <c r="E26" s="50"/>
      <c r="F26" s="36"/>
      <c r="G26" s="36"/>
      <c r="H26" s="36"/>
      <c r="I26" s="36"/>
      <c r="J26" s="36"/>
      <c r="K26" s="50"/>
      <c r="L26" s="50"/>
      <c r="M26" s="36"/>
      <c r="N26" s="17"/>
      <c r="O26" s="17"/>
      <c r="P26" s="1"/>
    </row>
    <row r="27" spans="2:16" ht="13" x14ac:dyDescent="0.3">
      <c r="B27" s="17"/>
      <c r="C27" s="40"/>
      <c r="D27" s="50"/>
      <c r="E27" s="50"/>
      <c r="F27" s="50"/>
      <c r="G27" s="36"/>
      <c r="H27" s="36"/>
      <c r="I27" s="50"/>
      <c r="J27" s="50"/>
      <c r="K27" s="50"/>
      <c r="L27" s="50"/>
      <c r="M27" s="36"/>
      <c r="N27" s="40"/>
      <c r="O27" s="40"/>
      <c r="P27" s="1"/>
    </row>
    <row r="28" spans="2:16" ht="13" x14ac:dyDescent="0.3">
      <c r="B28" s="17"/>
      <c r="C28" s="40"/>
      <c r="D28" s="50"/>
      <c r="E28" s="50"/>
      <c r="F28" s="50"/>
      <c r="G28" s="50"/>
      <c r="H28" s="50"/>
      <c r="I28" s="50"/>
      <c r="J28" s="50"/>
      <c r="K28" s="50"/>
      <c r="L28" s="50"/>
      <c r="M28" s="17"/>
      <c r="N28" s="36"/>
      <c r="O28" s="36"/>
      <c r="P28" s="1"/>
    </row>
    <row r="29" spans="2:16" ht="13" x14ac:dyDescent="0.3">
      <c r="B29" s="17"/>
      <c r="C29" s="40"/>
      <c r="D29" s="36"/>
      <c r="E29" s="36"/>
      <c r="F29" s="36"/>
      <c r="G29" s="36"/>
      <c r="H29" s="36"/>
      <c r="I29" s="36"/>
      <c r="J29" s="36"/>
      <c r="K29" s="36"/>
      <c r="L29" s="36"/>
      <c r="M29" s="17"/>
      <c r="N29" s="17"/>
      <c r="O29" s="17"/>
      <c r="P29" s="1"/>
    </row>
    <row r="30" spans="2:16" x14ac:dyDescent="0.25">
      <c r="B30" s="17"/>
      <c r="C30" s="17"/>
      <c r="D30" s="17"/>
      <c r="E30" s="17"/>
      <c r="F30" s="17"/>
      <c r="G30" s="17"/>
      <c r="H30" s="36"/>
      <c r="I30" s="17"/>
      <c r="J30" s="17"/>
      <c r="K30" s="17"/>
      <c r="L30" s="36"/>
      <c r="M30" s="17"/>
      <c r="N30" s="17"/>
      <c r="O30" s="17"/>
      <c r="P30" s="1"/>
    </row>
    <row r="31" spans="2:16" x14ac:dyDescent="0.25">
      <c r="B31" s="51"/>
      <c r="C31" s="51"/>
      <c r="D31" s="51"/>
      <c r="E31" s="51"/>
      <c r="F31" s="51"/>
      <c r="G31" s="51"/>
      <c r="H31" s="51"/>
      <c r="I31" s="51"/>
      <c r="J31" s="51"/>
      <c r="K31" s="17"/>
      <c r="L31" s="17"/>
      <c r="M31" s="17"/>
      <c r="N31" s="17"/>
      <c r="O31" s="17"/>
      <c r="P31" s="1"/>
    </row>
    <row r="32" spans="2:16" x14ac:dyDescent="0.25">
      <c r="B32" s="3"/>
      <c r="C32" s="3"/>
      <c r="D32" s="3"/>
      <c r="E32" s="3"/>
      <c r="F32" s="3"/>
      <c r="G32" s="3"/>
      <c r="H32" s="3"/>
      <c r="I32" s="3"/>
      <c r="J32" s="3"/>
      <c r="K32" s="3"/>
      <c r="L32" s="3"/>
      <c r="M32" s="3"/>
      <c r="N32" s="3"/>
      <c r="O32" s="3"/>
    </row>
  </sheetData>
  <mergeCells count="2">
    <mergeCell ref="E3:F3"/>
    <mergeCell ref="C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770B-2345-4820-9FCE-591ADCAB118B}">
  <dimension ref="A1:O68"/>
  <sheetViews>
    <sheetView tabSelected="1" topLeftCell="C1" workbookViewId="0">
      <selection activeCell="C19" sqref="C19"/>
    </sheetView>
  </sheetViews>
  <sheetFormatPr defaultRowHeight="12.5" x14ac:dyDescent="0.25"/>
  <cols>
    <col min="1" max="1" width="25.08984375" bestFit="1" customWidth="1"/>
    <col min="2" max="2" width="35.1796875" bestFit="1" customWidth="1"/>
    <col min="3" max="3" width="24.1796875" bestFit="1" customWidth="1"/>
    <col min="4" max="4" width="14.1796875" bestFit="1" customWidth="1"/>
    <col min="5" max="5" width="39.54296875" bestFit="1" customWidth="1"/>
    <col min="6" max="6" width="19.08984375" bestFit="1" customWidth="1"/>
    <col min="7" max="8" width="12" bestFit="1" customWidth="1"/>
    <col min="9" max="9" width="14.1796875" bestFit="1" customWidth="1"/>
    <col min="10" max="10" width="17.54296875" customWidth="1"/>
    <col min="11" max="11" width="22" bestFit="1" customWidth="1"/>
    <col min="12" max="12" width="19.54296875" bestFit="1" customWidth="1"/>
  </cols>
  <sheetData>
    <row r="1" spans="2:15" x14ac:dyDescent="0.25">
      <c r="C1" t="s">
        <v>114</v>
      </c>
      <c r="D1">
        <v>30</v>
      </c>
      <c r="E1" t="s">
        <v>115</v>
      </c>
    </row>
    <row r="2" spans="2:15" ht="13" x14ac:dyDescent="0.3">
      <c r="E2" s="2" t="s">
        <v>83</v>
      </c>
    </row>
    <row r="3" spans="2:15" ht="13" x14ac:dyDescent="0.3">
      <c r="B3" s="56" t="s">
        <v>75</v>
      </c>
      <c r="C3" s="56" t="s">
        <v>30</v>
      </c>
      <c r="D3" s="56" t="s">
        <v>31</v>
      </c>
      <c r="E3" s="56" t="s">
        <v>28</v>
      </c>
      <c r="F3" s="56" t="s">
        <v>11</v>
      </c>
      <c r="G3" s="56" t="s">
        <v>22</v>
      </c>
      <c r="H3" s="56" t="s">
        <v>9</v>
      </c>
      <c r="I3" s="56" t="s">
        <v>6</v>
      </c>
      <c r="J3" s="56" t="s">
        <v>3</v>
      </c>
    </row>
    <row r="4" spans="2:15" ht="13" x14ac:dyDescent="0.3">
      <c r="B4" s="56" t="s">
        <v>24</v>
      </c>
      <c r="C4" s="23">
        <v>7013421</v>
      </c>
      <c r="D4" s="23">
        <v>3132294</v>
      </c>
      <c r="E4" s="23">
        <v>3080481</v>
      </c>
      <c r="F4" s="23">
        <v>4975648</v>
      </c>
      <c r="G4" s="23">
        <v>12298823.296875</v>
      </c>
      <c r="H4" s="23">
        <v>4880710</v>
      </c>
      <c r="I4" s="23">
        <v>9926140</v>
      </c>
      <c r="J4" s="23">
        <v>1162544</v>
      </c>
    </row>
    <row r="5" spans="2:15" ht="13" x14ac:dyDescent="0.3">
      <c r="B5" s="56" t="s">
        <v>17</v>
      </c>
      <c r="C5" s="23">
        <v>213823.619507</v>
      </c>
      <c r="D5" s="23">
        <v>94805.297852000003</v>
      </c>
      <c r="E5" s="23">
        <v>46479.199219000002</v>
      </c>
      <c r="F5" s="23">
        <v>107286.302734</v>
      </c>
      <c r="G5" s="23">
        <v>71471.699219000002</v>
      </c>
      <c r="H5" s="23">
        <v>77872.433294999995</v>
      </c>
      <c r="I5" s="23">
        <v>72354.399999999994</v>
      </c>
      <c r="J5" s="23">
        <v>39993.199219000002</v>
      </c>
    </row>
    <row r="6" spans="2:15" ht="13" x14ac:dyDescent="0.3">
      <c r="B6" s="56" t="s">
        <v>16</v>
      </c>
      <c r="C6" s="23">
        <v>201525.699219</v>
      </c>
      <c r="D6" s="23">
        <v>134702.101563</v>
      </c>
      <c r="E6" s="23">
        <v>130601</v>
      </c>
      <c r="F6" s="23">
        <v>95685</v>
      </c>
      <c r="G6" s="23">
        <v>0</v>
      </c>
      <c r="H6" s="23">
        <v>32006.400390999999</v>
      </c>
      <c r="I6" s="23">
        <v>244163</v>
      </c>
      <c r="J6" s="23">
        <v>42293.699219000002</v>
      </c>
    </row>
    <row r="7" spans="2:15" ht="13" x14ac:dyDescent="0.3">
      <c r="B7" s="56" t="s">
        <v>15</v>
      </c>
      <c r="C7" s="23">
        <v>16811.02002</v>
      </c>
      <c r="D7" s="23">
        <v>31983.780029000001</v>
      </c>
      <c r="E7" s="23">
        <v>0</v>
      </c>
      <c r="F7" s="23">
        <v>44375.809692000003</v>
      </c>
      <c r="G7" s="23">
        <v>84114.410766999994</v>
      </c>
      <c r="H7" s="23">
        <v>46957</v>
      </c>
      <c r="I7" s="23">
        <v>17578.3</v>
      </c>
      <c r="J7" s="23">
        <v>5757.3498540000001</v>
      </c>
    </row>
    <row r="8" spans="2:15" ht="13" x14ac:dyDescent="0.3">
      <c r="B8" s="56" t="s">
        <v>14</v>
      </c>
      <c r="C8" s="23">
        <v>0</v>
      </c>
      <c r="D8" s="23">
        <v>0</v>
      </c>
      <c r="E8" s="23">
        <v>17134.099999999999</v>
      </c>
      <c r="F8" s="23">
        <v>0</v>
      </c>
      <c r="G8" s="23">
        <v>61034.1</v>
      </c>
      <c r="H8" s="23">
        <v>65520.2</v>
      </c>
      <c r="I8" s="23">
        <v>0</v>
      </c>
      <c r="J8" s="23">
        <v>0</v>
      </c>
    </row>
    <row r="9" spans="2:15" ht="13" x14ac:dyDescent="0.3">
      <c r="B9" s="56" t="s">
        <v>23</v>
      </c>
      <c r="C9" s="23">
        <v>0</v>
      </c>
      <c r="D9" s="23">
        <v>0</v>
      </c>
      <c r="E9" s="23">
        <v>0</v>
      </c>
      <c r="F9" s="23">
        <v>23491.9</v>
      </c>
      <c r="G9" s="23">
        <v>172802.699219</v>
      </c>
      <c r="H9" s="23">
        <v>0</v>
      </c>
      <c r="I9" s="23">
        <v>0</v>
      </c>
      <c r="J9" s="23">
        <v>0</v>
      </c>
    </row>
    <row r="10" spans="2:15" x14ac:dyDescent="0.25">
      <c r="B10" t="s">
        <v>25</v>
      </c>
      <c r="C10" s="4">
        <v>8563926.7931520008</v>
      </c>
      <c r="D10" s="4">
        <v>3984810</v>
      </c>
      <c r="E10" s="4">
        <v>4269030</v>
      </c>
      <c r="F10" s="4">
        <v>7151540</v>
      </c>
      <c r="G10" s="4">
        <v>13639288.709717</v>
      </c>
      <c r="H10" s="4">
        <v>6763510</v>
      </c>
      <c r="I10" s="4">
        <v>10990200</v>
      </c>
      <c r="J10" s="4">
        <v>1579490</v>
      </c>
    </row>
    <row r="11" spans="2:15" x14ac:dyDescent="0.25">
      <c r="C11" s="4"/>
      <c r="D11" s="4"/>
      <c r="E11" s="4"/>
      <c r="F11" s="4"/>
      <c r="G11" s="4"/>
      <c r="H11" s="4"/>
      <c r="I11" s="4"/>
      <c r="J11" s="4"/>
    </row>
    <row r="12" spans="2:15" ht="13" x14ac:dyDescent="0.3">
      <c r="C12" s="4"/>
      <c r="D12" s="4"/>
      <c r="E12" s="13" t="s">
        <v>88</v>
      </c>
      <c r="F12" s="4"/>
      <c r="G12" s="4"/>
      <c r="H12" s="4"/>
      <c r="I12" s="4"/>
      <c r="J12" s="4"/>
    </row>
    <row r="13" spans="2:15" ht="13" x14ac:dyDescent="0.3">
      <c r="B13" s="46"/>
      <c r="C13" s="20" t="s">
        <v>30</v>
      </c>
      <c r="D13" s="20" t="s">
        <v>31</v>
      </c>
      <c r="E13" s="20" t="s">
        <v>28</v>
      </c>
      <c r="F13" s="20" t="s">
        <v>11</v>
      </c>
      <c r="G13" s="20" t="s">
        <v>22</v>
      </c>
      <c r="H13" s="20" t="s">
        <v>9</v>
      </c>
      <c r="I13" s="20" t="s">
        <v>6</v>
      </c>
      <c r="J13" s="20" t="s">
        <v>3</v>
      </c>
    </row>
    <row r="14" spans="2:15" ht="13" x14ac:dyDescent="0.3">
      <c r="B14" s="56" t="s">
        <v>36</v>
      </c>
      <c r="C14" s="57">
        <v>723966</v>
      </c>
      <c r="D14" s="23">
        <f>44115+43182+43934+36380+32601</f>
        <v>200212</v>
      </c>
      <c r="E14" s="23">
        <f>123541+131268</f>
        <v>254809</v>
      </c>
      <c r="F14" s="57">
        <v>594030</v>
      </c>
      <c r="G14" s="23">
        <f>226850+228136+231913</f>
        <v>686899</v>
      </c>
      <c r="H14" s="57">
        <v>627831</v>
      </c>
      <c r="I14" s="57">
        <v>42029</v>
      </c>
      <c r="J14" s="57">
        <v>118025</v>
      </c>
    </row>
    <row r="15" spans="2:15" ht="13" x14ac:dyDescent="0.3">
      <c r="B15" s="56" t="s">
        <v>37</v>
      </c>
      <c r="C15" s="57">
        <v>776013</v>
      </c>
      <c r="D15" s="23">
        <f>43849+44406+47383+34262+27956</f>
        <v>197856</v>
      </c>
      <c r="E15" s="23">
        <f>132871+137564</f>
        <v>270435</v>
      </c>
      <c r="F15" s="57">
        <v>605180</v>
      </c>
      <c r="G15" s="23">
        <f>264009+231142+266338</f>
        <v>761489</v>
      </c>
      <c r="H15" s="57">
        <v>623142</v>
      </c>
      <c r="I15" s="57">
        <v>195810</v>
      </c>
      <c r="J15" s="57">
        <v>110379</v>
      </c>
      <c r="N15" s="12"/>
      <c r="O15" s="18"/>
    </row>
    <row r="16" spans="2:15" ht="13" x14ac:dyDescent="0.3">
      <c r="B16" s="56" t="s">
        <v>35</v>
      </c>
      <c r="C16" s="23">
        <v>791642</v>
      </c>
      <c r="D16" s="23">
        <v>121531</v>
      </c>
      <c r="E16" s="23">
        <v>244905</v>
      </c>
      <c r="F16" s="23">
        <v>514484</v>
      </c>
      <c r="G16" s="23">
        <v>739481</v>
      </c>
      <c r="H16" s="23">
        <v>617043</v>
      </c>
      <c r="I16" s="23">
        <v>50168</v>
      </c>
      <c r="J16" s="23">
        <v>110241</v>
      </c>
      <c r="N16" s="12"/>
      <c r="O16" s="18"/>
    </row>
    <row r="17" spans="2:15" ht="13" x14ac:dyDescent="0.3">
      <c r="B17" s="56" t="s">
        <v>38</v>
      </c>
      <c r="C17" s="23">
        <f>AVERAGE(C14:C16)</f>
        <v>763873.66666666663</v>
      </c>
      <c r="D17" s="23">
        <f t="shared" ref="D17:J17" si="0">AVERAGE(D14:D16)</f>
        <v>173199.66666666666</v>
      </c>
      <c r="E17" s="23">
        <f t="shared" si="0"/>
        <v>256716.33333333334</v>
      </c>
      <c r="F17" s="23">
        <f t="shared" si="0"/>
        <v>571231.33333333337</v>
      </c>
      <c r="G17" s="23">
        <f t="shared" si="0"/>
        <v>729289.66666666663</v>
      </c>
      <c r="H17" s="23">
        <f t="shared" si="0"/>
        <v>622672</v>
      </c>
      <c r="I17" s="23">
        <f t="shared" si="0"/>
        <v>96002.333333333328</v>
      </c>
      <c r="J17" s="23">
        <f t="shared" si="0"/>
        <v>112881.66666666667</v>
      </c>
      <c r="N17" s="12"/>
      <c r="O17" s="12"/>
    </row>
    <row r="18" spans="2:15" ht="13" x14ac:dyDescent="0.3">
      <c r="B18" s="28" t="s">
        <v>90</v>
      </c>
      <c r="C18" s="58">
        <f>C17*D1</f>
        <v>22916210</v>
      </c>
      <c r="D18" s="58">
        <f>D16*D1</f>
        <v>3645930</v>
      </c>
      <c r="E18" s="58">
        <f>E16*D1</f>
        <v>7347150</v>
      </c>
      <c r="F18" s="58">
        <f>F16*D1</f>
        <v>15434520</v>
      </c>
      <c r="G18" s="58">
        <f>G16*D1</f>
        <v>22184430</v>
      </c>
      <c r="H18" s="58">
        <f>H16*D1</f>
        <v>18511290</v>
      </c>
      <c r="I18" s="58">
        <f>I16*D1</f>
        <v>1505040</v>
      </c>
      <c r="J18" s="58">
        <f>J16*D1</f>
        <v>3307230</v>
      </c>
      <c r="N18" s="12"/>
      <c r="O18" s="12"/>
    </row>
    <row r="19" spans="2:15" x14ac:dyDescent="0.25">
      <c r="N19" s="12"/>
      <c r="O19" s="12"/>
    </row>
    <row r="20" spans="2:15" x14ac:dyDescent="0.25">
      <c r="N20" s="12"/>
      <c r="O20" s="12"/>
    </row>
    <row r="21" spans="2:15" ht="13" x14ac:dyDescent="0.3">
      <c r="E21" s="11" t="s">
        <v>89</v>
      </c>
      <c r="N21" s="18"/>
      <c r="O21" s="12"/>
    </row>
    <row r="22" spans="2:15" ht="13" x14ac:dyDescent="0.3">
      <c r="B22" s="56" t="s">
        <v>75</v>
      </c>
      <c r="C22" s="56" t="s">
        <v>30</v>
      </c>
      <c r="D22" s="56" t="s">
        <v>31</v>
      </c>
      <c r="E22" s="56" t="s">
        <v>28</v>
      </c>
      <c r="F22" s="56" t="s">
        <v>11</v>
      </c>
      <c r="G22" s="56" t="s">
        <v>22</v>
      </c>
      <c r="H22" s="56" t="s">
        <v>9</v>
      </c>
      <c r="I22" s="56" t="s">
        <v>6</v>
      </c>
      <c r="J22" s="56" t="s">
        <v>3</v>
      </c>
      <c r="K22" s="56" t="s">
        <v>74</v>
      </c>
      <c r="L22" s="56" t="s">
        <v>112</v>
      </c>
      <c r="N22" s="18"/>
      <c r="O22" s="18"/>
    </row>
    <row r="23" spans="2:15" ht="13" x14ac:dyDescent="0.3">
      <c r="B23" s="56" t="s">
        <v>24</v>
      </c>
      <c r="C23" s="23">
        <f t="shared" ref="C23:C28" si="1">C4/$C$18</f>
        <v>0.30604628775875242</v>
      </c>
      <c r="D23" s="23">
        <f t="shared" ref="D23:D28" si="2">D4/$D$18</f>
        <v>0.85912071817067248</v>
      </c>
      <c r="E23" s="23">
        <f t="shared" ref="E23:E28" si="3">E4/$E$18</f>
        <v>0.41927563749208879</v>
      </c>
      <c r="F23" s="23">
        <f t="shared" ref="F23:F28" si="4">F4/$F$18</f>
        <v>0.32237141161500327</v>
      </c>
      <c r="G23" s="23">
        <f t="shared" ref="G23:G28" si="5">G4/$G$18</f>
        <v>0.55438987149433183</v>
      </c>
      <c r="H23" s="23">
        <f t="shared" ref="H23:H28" si="6">H4/$H$18</f>
        <v>0.26366125753526631</v>
      </c>
      <c r="I23" s="23">
        <f t="shared" ref="I23:I28" si="7">I4/$I$18</f>
        <v>6.5952665709881462</v>
      </c>
      <c r="J23" s="23">
        <f t="shared" ref="J23:J28" si="8">J4/$J$18</f>
        <v>0.3515159211787508</v>
      </c>
      <c r="K23" s="23">
        <f>AVERAGE(C23:J23)</f>
        <v>1.2089559595291264</v>
      </c>
      <c r="L23" s="23">
        <f>MEDIAN(C23:J23)</f>
        <v>0.3853957793354198</v>
      </c>
      <c r="M23">
        <f>L23/$L$29</f>
        <v>0.93560006170576349</v>
      </c>
    </row>
    <row r="24" spans="2:15" ht="13" x14ac:dyDescent="0.3">
      <c r="B24" s="56" t="s">
        <v>17</v>
      </c>
      <c r="C24" s="23">
        <f t="shared" si="1"/>
        <v>9.3306711496796372E-3</v>
      </c>
      <c r="D24" s="23">
        <f t="shared" si="2"/>
        <v>2.6003049387124822E-2</v>
      </c>
      <c r="E24" s="23">
        <f t="shared" si="3"/>
        <v>6.3261535723375733E-3</v>
      </c>
      <c r="F24" s="23">
        <f t="shared" si="4"/>
        <v>6.951061823367361E-3</v>
      </c>
      <c r="G24" s="23">
        <f t="shared" si="5"/>
        <v>3.2217054582425603E-3</v>
      </c>
      <c r="H24" s="23">
        <f t="shared" si="6"/>
        <v>4.2067534620763864E-3</v>
      </c>
      <c r="I24" s="23">
        <f t="shared" si="7"/>
        <v>4.8074735555201184E-2</v>
      </c>
      <c r="J24" s="23">
        <f t="shared" si="8"/>
        <v>1.2092657365529462E-2</v>
      </c>
      <c r="K24" s="64">
        <f t="shared" ref="K24:K28" si="9">AVERAGE(C24:J24)</f>
        <v>1.4525848471694873E-2</v>
      </c>
      <c r="L24" s="71">
        <f t="shared" ref="L24:L28" si="10">MEDIAN(C24:J24)</f>
        <v>8.1408664865234986E-3</v>
      </c>
      <c r="M24">
        <f t="shared" ref="M24:M29" si="11">L24/$L$29</f>
        <v>1.9763047743449339E-2</v>
      </c>
    </row>
    <row r="25" spans="2:15" ht="13" x14ac:dyDescent="0.3">
      <c r="B25" s="56" t="s">
        <v>16</v>
      </c>
      <c r="C25" s="23">
        <f t="shared" si="1"/>
        <v>8.7940239341060319E-3</v>
      </c>
      <c r="D25" s="23">
        <f t="shared" si="2"/>
        <v>3.6945882549308411E-2</v>
      </c>
      <c r="E25" s="23">
        <f t="shared" si="3"/>
        <v>1.7775736169807339E-2</v>
      </c>
      <c r="F25" s="23">
        <f t="shared" si="4"/>
        <v>6.1994153365313599E-3</v>
      </c>
      <c r="G25" s="23">
        <f t="shared" si="5"/>
        <v>0</v>
      </c>
      <c r="H25" s="23">
        <f t="shared" si="6"/>
        <v>1.7290205269865039E-3</v>
      </c>
      <c r="I25" s="23">
        <f t="shared" si="7"/>
        <v>0.16223023972784775</v>
      </c>
      <c r="J25" s="23">
        <f t="shared" si="8"/>
        <v>1.2788254587373725E-2</v>
      </c>
      <c r="K25" s="64">
        <f t="shared" si="9"/>
        <v>3.0807821603995141E-2</v>
      </c>
      <c r="L25" s="71">
        <f t="shared" si="10"/>
        <v>1.0791139260739879E-2</v>
      </c>
      <c r="M25">
        <f t="shared" si="11"/>
        <v>2.6196941169500314E-2</v>
      </c>
    </row>
    <row r="26" spans="2:15" ht="13" x14ac:dyDescent="0.3">
      <c r="B26" s="56" t="s">
        <v>15</v>
      </c>
      <c r="C26" s="23">
        <f t="shared" si="1"/>
        <v>7.335864010671922E-4</v>
      </c>
      <c r="D26" s="23">
        <f t="shared" si="2"/>
        <v>8.7724613552646376E-3</v>
      </c>
      <c r="E26" s="23">
        <f t="shared" si="3"/>
        <v>0</v>
      </c>
      <c r="F26" s="23">
        <f t="shared" si="4"/>
        <v>2.8751013761360899E-3</v>
      </c>
      <c r="G26" s="23">
        <f t="shared" si="5"/>
        <v>3.7915966633805778E-3</v>
      </c>
      <c r="H26" s="23">
        <f t="shared" si="6"/>
        <v>2.5366681630507653E-3</v>
      </c>
      <c r="I26" s="23">
        <f t="shared" si="7"/>
        <v>1.1679623132939987E-2</v>
      </c>
      <c r="J26" s="23">
        <f t="shared" si="8"/>
        <v>1.7408374543046597E-3</v>
      </c>
      <c r="K26" s="71">
        <f t="shared" si="9"/>
        <v>4.0162343182679888E-3</v>
      </c>
      <c r="L26" s="71">
        <f t="shared" si="10"/>
        <v>2.7058847695934276E-3</v>
      </c>
      <c r="M26">
        <f t="shared" si="11"/>
        <v>6.5688990205493604E-3</v>
      </c>
    </row>
    <row r="27" spans="2:15" ht="13" x14ac:dyDescent="0.3">
      <c r="B27" s="56" t="s">
        <v>14</v>
      </c>
      <c r="C27" s="23">
        <f t="shared" si="1"/>
        <v>0</v>
      </c>
      <c r="D27" s="23">
        <f t="shared" si="2"/>
        <v>0</v>
      </c>
      <c r="E27" s="23">
        <f t="shared" si="3"/>
        <v>2.3320743417515632E-3</v>
      </c>
      <c r="F27" s="23">
        <f t="shared" si="4"/>
        <v>0</v>
      </c>
      <c r="G27" s="23">
        <f t="shared" si="5"/>
        <v>2.7512133509853534E-3</v>
      </c>
      <c r="H27" s="23">
        <f t="shared" si="6"/>
        <v>3.5394723976557006E-3</v>
      </c>
      <c r="I27" s="23">
        <f t="shared" si="7"/>
        <v>0</v>
      </c>
      <c r="J27" s="23">
        <f t="shared" si="8"/>
        <v>0</v>
      </c>
      <c r="K27" s="71">
        <f t="shared" si="9"/>
        <v>1.0778450112990771E-3</v>
      </c>
      <c r="L27" s="23">
        <f t="shared" si="10"/>
        <v>0</v>
      </c>
      <c r="M27">
        <f t="shared" si="11"/>
        <v>0</v>
      </c>
    </row>
    <row r="28" spans="2:15" ht="13" x14ac:dyDescent="0.3">
      <c r="B28" s="56" t="s">
        <v>23</v>
      </c>
      <c r="C28" s="23">
        <f t="shared" si="1"/>
        <v>0</v>
      </c>
      <c r="D28" s="23">
        <f t="shared" si="2"/>
        <v>0</v>
      </c>
      <c r="E28" s="23">
        <f t="shared" si="3"/>
        <v>0</v>
      </c>
      <c r="F28" s="23">
        <f t="shared" si="4"/>
        <v>1.5220363185897586E-3</v>
      </c>
      <c r="G28" s="23">
        <f t="shared" si="5"/>
        <v>7.7893684543168338E-3</v>
      </c>
      <c r="H28" s="23">
        <f t="shared" si="6"/>
        <v>0</v>
      </c>
      <c r="I28" s="23">
        <f t="shared" si="7"/>
        <v>0</v>
      </c>
      <c r="J28" s="23">
        <f t="shared" si="8"/>
        <v>0</v>
      </c>
      <c r="K28" s="71">
        <f t="shared" si="9"/>
        <v>1.163925596613324E-3</v>
      </c>
      <c r="L28" s="23">
        <f t="shared" si="10"/>
        <v>0</v>
      </c>
      <c r="M28">
        <f t="shared" si="11"/>
        <v>0</v>
      </c>
      <c r="N28" s="10"/>
    </row>
    <row r="29" spans="2:15" ht="13" x14ac:dyDescent="0.3">
      <c r="B29" s="56"/>
      <c r="C29" s="58">
        <f>SUM(C23:C28)</f>
        <v>0.32490456924360528</v>
      </c>
      <c r="D29" s="58">
        <f t="shared" ref="D29:I29" si="12">SUM(D23:D28)</f>
        <v>0.93084211146237039</v>
      </c>
      <c r="E29" s="58">
        <f t="shared" si="12"/>
        <v>0.44570960157598527</v>
      </c>
      <c r="F29" s="58">
        <f t="shared" si="12"/>
        <v>0.33991902646962785</v>
      </c>
      <c r="G29" s="58">
        <f t="shared" si="12"/>
        <v>0.57194375542125719</v>
      </c>
      <c r="H29" s="58">
        <f t="shared" si="12"/>
        <v>0.27567317208503561</v>
      </c>
      <c r="I29" s="58">
        <f t="shared" si="12"/>
        <v>6.8172511694041349</v>
      </c>
      <c r="J29" s="58">
        <f>SUM(J23:J28)</f>
        <v>0.3781376705859586</v>
      </c>
      <c r="K29" s="58">
        <f>SUM(K23:K28)</f>
        <v>1.2605476345309967</v>
      </c>
      <c r="L29" s="58">
        <f>MEDIAN(C29:J29)</f>
        <v>0.41192363608097193</v>
      </c>
      <c r="M29">
        <f t="shared" si="11"/>
        <v>1</v>
      </c>
      <c r="N29" s="39"/>
    </row>
    <row r="30" spans="2:15" x14ac:dyDescent="0.25">
      <c r="B30" t="s">
        <v>25</v>
      </c>
      <c r="C30" s="4">
        <f>C10/$C$18</f>
        <v>0.37370607064396777</v>
      </c>
      <c r="D30" s="4">
        <f>D10/$D$18</f>
        <v>1.0929474784211435</v>
      </c>
      <c r="E30" s="4">
        <f>E10/$E$18</f>
        <v>0.5810457116024581</v>
      </c>
      <c r="F30" s="4">
        <f>F10/$F$18</f>
        <v>0.46334709469423085</v>
      </c>
      <c r="G30" s="4">
        <f>G10/$G$18</f>
        <v>0.61481357464298159</v>
      </c>
      <c r="H30" s="4">
        <f>H10/$H$18</f>
        <v>0.365372159368688</v>
      </c>
      <c r="I30" s="4">
        <f>I10/$I$18</f>
        <v>7.3022643916440755</v>
      </c>
      <c r="J30" s="4">
        <f>J10/$J$18</f>
        <v>0.47758698366911284</v>
      </c>
      <c r="L30" s="39">
        <f>MEDIAN(C30:J30)</f>
        <v>0.5293163476357855</v>
      </c>
    </row>
    <row r="31" spans="2:15" x14ac:dyDescent="0.25">
      <c r="K31" t="s">
        <v>116</v>
      </c>
      <c r="L31" s="39">
        <f>MIN(C30:J30)</f>
        <v>0.365372159368688</v>
      </c>
    </row>
    <row r="32" spans="2:15" x14ac:dyDescent="0.25">
      <c r="K32" t="s">
        <v>117</v>
      </c>
      <c r="L32" s="39">
        <f>MAX(C30:J30)</f>
        <v>7.3022643916440755</v>
      </c>
    </row>
    <row r="61" spans="2:10" ht="13" x14ac:dyDescent="0.3">
      <c r="C61" s="11"/>
      <c r="D61" s="11"/>
      <c r="E61" s="11"/>
      <c r="F61" s="11"/>
      <c r="G61" s="11"/>
      <c r="H61" s="11"/>
      <c r="I61" s="11"/>
      <c r="J61" s="11"/>
    </row>
    <row r="62" spans="2:10" x14ac:dyDescent="0.25">
      <c r="B62" s="10"/>
      <c r="C62" s="4"/>
      <c r="D62" s="4"/>
      <c r="E62" s="4"/>
      <c r="F62" s="4"/>
      <c r="G62" s="4"/>
      <c r="H62" s="4"/>
      <c r="I62" s="4"/>
      <c r="J62" s="4"/>
    </row>
    <row r="63" spans="2:10" x14ac:dyDescent="0.25">
      <c r="B63" s="10"/>
      <c r="C63" s="4"/>
      <c r="D63" s="4"/>
      <c r="E63" s="4"/>
      <c r="F63" s="4"/>
      <c r="G63" s="4"/>
      <c r="H63" s="4"/>
      <c r="I63" s="4"/>
      <c r="J63" s="4"/>
    </row>
    <row r="64" spans="2:10" x14ac:dyDescent="0.25">
      <c r="B64" s="10"/>
      <c r="C64" s="4"/>
      <c r="D64" s="4"/>
      <c r="E64" s="4"/>
      <c r="F64" s="4"/>
      <c r="G64" s="4"/>
      <c r="H64" s="4"/>
      <c r="I64" s="4"/>
      <c r="J64" s="4"/>
    </row>
    <row r="65" spans="1:13" ht="13" x14ac:dyDescent="0.3">
      <c r="B65" s="11"/>
    </row>
    <row r="66" spans="1:13" x14ac:dyDescent="0.25">
      <c r="A66" s="10"/>
      <c r="B66" s="1"/>
      <c r="C66" s="26"/>
      <c r="D66" s="26"/>
      <c r="E66" s="26"/>
      <c r="F66" s="26"/>
      <c r="G66" s="27"/>
      <c r="H66" s="26"/>
      <c r="I66" s="27"/>
      <c r="J66" s="26"/>
    </row>
    <row r="67" spans="1:13" x14ac:dyDescent="0.25">
      <c r="A67" s="10"/>
      <c r="B67" s="1"/>
      <c r="C67" s="26"/>
      <c r="D67" s="26"/>
      <c r="E67" s="26"/>
      <c r="F67" s="26"/>
      <c r="G67" s="27"/>
      <c r="H67" s="37"/>
      <c r="I67" s="17"/>
      <c r="J67" s="26"/>
      <c r="M67" s="38"/>
    </row>
    <row r="68" spans="1:13" x14ac:dyDescent="0.25">
      <c r="M68" s="38" t="e">
        <f>AVERAGE(C67,D67,E67,F67,G66,H67,J67)</f>
        <v>#DIV/0!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861E-598F-4842-AE9C-F497EA28D816}">
  <dimension ref="C3:P28"/>
  <sheetViews>
    <sheetView topLeftCell="C10" zoomScale="89" workbookViewId="0">
      <selection activeCell="D31" sqref="D31"/>
    </sheetView>
  </sheetViews>
  <sheetFormatPr defaultColWidth="8.90625" defaultRowHeight="12.5" x14ac:dyDescent="0.25"/>
  <cols>
    <col min="1" max="2" width="8.90625" style="1"/>
    <col min="3" max="3" width="20.81640625" style="1" bestFit="1" customWidth="1"/>
    <col min="4" max="4" width="25.54296875" style="1" customWidth="1"/>
    <col min="5" max="5" width="14.6328125" style="1" bestFit="1" customWidth="1"/>
    <col min="6" max="6" width="15.453125" style="1" bestFit="1" customWidth="1"/>
    <col min="7" max="7" width="17.90625" style="1" bestFit="1" customWidth="1"/>
    <col min="8" max="8" width="15.6328125" style="1" bestFit="1" customWidth="1"/>
    <col min="9" max="10" width="14.6328125" style="1" bestFit="1" customWidth="1"/>
    <col min="11" max="11" width="16.81640625" style="1" bestFit="1" customWidth="1"/>
    <col min="12" max="12" width="22" style="1" bestFit="1" customWidth="1"/>
    <col min="13" max="13" width="22" style="1" customWidth="1"/>
    <col min="14" max="14" width="8.90625" style="1"/>
    <col min="15" max="15" width="37.1796875" style="1" bestFit="1" customWidth="1"/>
    <col min="16" max="16" width="24.1796875" style="1" bestFit="1" customWidth="1"/>
    <col min="17" max="17" width="13.81640625" style="1" bestFit="1" customWidth="1"/>
    <col min="18" max="18" width="15" style="1" bestFit="1" customWidth="1"/>
    <col min="19" max="19" width="19.08984375" style="1" bestFit="1" customWidth="1"/>
    <col min="20" max="20" width="12.36328125" style="1" bestFit="1" customWidth="1"/>
    <col min="21" max="21" width="8" style="1" bestFit="1" customWidth="1"/>
    <col min="22" max="22" width="15.08984375" style="1" bestFit="1" customWidth="1"/>
    <col min="23" max="23" width="16.81640625" style="1" bestFit="1" customWidth="1"/>
    <col min="24" max="24" width="22" style="1" bestFit="1" customWidth="1"/>
    <col min="25" max="16384" width="8.90625" style="1"/>
  </cols>
  <sheetData>
    <row r="3" spans="3:16" ht="13" x14ac:dyDescent="0.3">
      <c r="F3" s="89" t="s">
        <v>83</v>
      </c>
      <c r="G3" s="89"/>
    </row>
    <row r="4" spans="3:16" ht="13" x14ac:dyDescent="0.3">
      <c r="C4" s="20" t="s">
        <v>75</v>
      </c>
      <c r="D4" s="20" t="s">
        <v>30</v>
      </c>
      <c r="E4" s="20" t="s">
        <v>31</v>
      </c>
      <c r="F4" s="20" t="s">
        <v>28</v>
      </c>
      <c r="G4" s="20" t="s">
        <v>11</v>
      </c>
      <c r="H4" s="20" t="s">
        <v>22</v>
      </c>
      <c r="I4" s="20" t="s">
        <v>9</v>
      </c>
      <c r="J4" s="20" t="s">
        <v>6</v>
      </c>
      <c r="K4" s="20" t="s">
        <v>3</v>
      </c>
    </row>
    <row r="5" spans="3:16" ht="13" x14ac:dyDescent="0.3">
      <c r="C5" s="20" t="s">
        <v>24</v>
      </c>
      <c r="D5" s="23">
        <v>7013421</v>
      </c>
      <c r="E5" s="23">
        <v>3132294</v>
      </c>
      <c r="F5" s="23">
        <v>3080481</v>
      </c>
      <c r="G5" s="23">
        <v>4975648</v>
      </c>
      <c r="H5" s="23">
        <v>12298823.296875</v>
      </c>
      <c r="I5" s="23">
        <v>4880710</v>
      </c>
      <c r="J5" s="23">
        <v>9926140</v>
      </c>
      <c r="K5" s="23">
        <v>1162544</v>
      </c>
      <c r="P5" s="2"/>
    </row>
    <row r="6" spans="3:16" ht="13" x14ac:dyDescent="0.3">
      <c r="C6" s="20" t="s">
        <v>17</v>
      </c>
      <c r="D6" s="23">
        <v>213823.619507</v>
      </c>
      <c r="E6" s="23">
        <v>94805.297852000003</v>
      </c>
      <c r="F6" s="23">
        <v>46479.199219000002</v>
      </c>
      <c r="G6" s="23">
        <v>107286.302734</v>
      </c>
      <c r="H6" s="23">
        <v>71471.699219000002</v>
      </c>
      <c r="I6" s="23">
        <v>77872.433294999995</v>
      </c>
      <c r="J6" s="23">
        <v>72354.399999999994</v>
      </c>
      <c r="K6" s="23">
        <v>39993.199219000002</v>
      </c>
      <c r="P6" s="2"/>
    </row>
    <row r="7" spans="3:16" ht="13" x14ac:dyDescent="0.3">
      <c r="C7" s="20" t="s">
        <v>16</v>
      </c>
      <c r="D7" s="23">
        <v>201525.699219</v>
      </c>
      <c r="E7" s="23">
        <v>134702.101563</v>
      </c>
      <c r="F7" s="23">
        <v>130601</v>
      </c>
      <c r="G7" s="23">
        <v>95685</v>
      </c>
      <c r="H7" s="59">
        <v>0</v>
      </c>
      <c r="I7" s="23">
        <v>32006.400390999999</v>
      </c>
      <c r="J7" s="23">
        <v>244163</v>
      </c>
      <c r="K7" s="23">
        <v>42293.699219000002</v>
      </c>
      <c r="P7" s="2"/>
    </row>
    <row r="8" spans="3:16" ht="13" x14ac:dyDescent="0.3">
      <c r="C8" s="20" t="s">
        <v>15</v>
      </c>
      <c r="D8" s="23">
        <v>16811.02002</v>
      </c>
      <c r="E8" s="23">
        <v>31983.780029000001</v>
      </c>
      <c r="F8" s="59">
        <v>0</v>
      </c>
      <c r="G8" s="23">
        <v>44375.809692000003</v>
      </c>
      <c r="H8" s="23">
        <v>84114.410766999994</v>
      </c>
      <c r="I8" s="23">
        <v>46957</v>
      </c>
      <c r="J8" s="23">
        <v>17578.3</v>
      </c>
      <c r="K8" s="23">
        <v>5757.3498540000001</v>
      </c>
      <c r="P8" s="2"/>
    </row>
    <row r="9" spans="3:16" ht="13" x14ac:dyDescent="0.3">
      <c r="C9" s="20" t="s">
        <v>14</v>
      </c>
      <c r="D9" s="59">
        <v>0</v>
      </c>
      <c r="E9" s="59">
        <v>0</v>
      </c>
      <c r="F9" s="23">
        <v>17134.099999999999</v>
      </c>
      <c r="G9" s="59">
        <v>0</v>
      </c>
      <c r="H9" s="23">
        <v>61034.1</v>
      </c>
      <c r="I9" s="23">
        <v>65520.2</v>
      </c>
      <c r="J9" s="59">
        <v>0</v>
      </c>
      <c r="K9" s="59">
        <v>0</v>
      </c>
      <c r="P9" s="2"/>
    </row>
    <row r="10" spans="3:16" ht="13" x14ac:dyDescent="0.3">
      <c r="C10" s="20" t="s">
        <v>23</v>
      </c>
      <c r="D10" s="59">
        <v>0</v>
      </c>
      <c r="E10" s="59">
        <v>0</v>
      </c>
      <c r="F10" s="23">
        <v>0</v>
      </c>
      <c r="G10" s="23">
        <v>23491.9</v>
      </c>
      <c r="H10" s="23">
        <v>172802.699219</v>
      </c>
      <c r="I10" s="59">
        <v>0</v>
      </c>
      <c r="J10" s="59">
        <v>0</v>
      </c>
      <c r="K10" s="59">
        <v>0</v>
      </c>
      <c r="P10" s="2"/>
    </row>
    <row r="11" spans="3:16" x14ac:dyDescent="0.25">
      <c r="C11" s="61" t="s">
        <v>25</v>
      </c>
      <c r="D11" s="58">
        <v>8563926.7931520008</v>
      </c>
      <c r="E11" s="58">
        <v>3984810</v>
      </c>
      <c r="F11" s="58">
        <v>4269030</v>
      </c>
      <c r="G11" s="58">
        <v>7151540</v>
      </c>
      <c r="H11" s="58">
        <v>13639288.709717</v>
      </c>
      <c r="I11" s="58">
        <v>6763510</v>
      </c>
      <c r="J11" s="58">
        <v>10990200</v>
      </c>
      <c r="K11" s="58">
        <v>1579490</v>
      </c>
    </row>
    <row r="13" spans="3:16" ht="13" x14ac:dyDescent="0.3">
      <c r="C13" s="65"/>
      <c r="D13" s="65"/>
      <c r="E13" s="65"/>
      <c r="F13" s="90" t="s">
        <v>91</v>
      </c>
      <c r="G13" s="90"/>
      <c r="H13" s="65"/>
      <c r="I13" s="65"/>
      <c r="J13" s="65"/>
      <c r="K13" s="65"/>
    </row>
    <row r="14" spans="3:16" x14ac:dyDescent="0.25">
      <c r="C14" s="63" t="s">
        <v>71</v>
      </c>
      <c r="D14" s="62">
        <v>280</v>
      </c>
      <c r="E14" s="62">
        <v>172.6</v>
      </c>
      <c r="F14" s="62">
        <v>184</v>
      </c>
      <c r="G14" s="62">
        <v>280</v>
      </c>
      <c r="H14" s="62">
        <v>399.8</v>
      </c>
      <c r="I14" s="62">
        <v>250</v>
      </c>
      <c r="J14" s="62">
        <v>125</v>
      </c>
      <c r="K14" s="62">
        <v>75.7</v>
      </c>
    </row>
    <row r="15" spans="3:16" x14ac:dyDescent="0.25">
      <c r="C15" s="60" t="s">
        <v>72</v>
      </c>
      <c r="D15" s="61">
        <f t="shared" ref="D15:K15" si="0">D14*1000000</f>
        <v>280000000</v>
      </c>
      <c r="E15" s="61">
        <f t="shared" si="0"/>
        <v>172600000</v>
      </c>
      <c r="F15" s="61">
        <f t="shared" si="0"/>
        <v>184000000</v>
      </c>
      <c r="G15" s="61">
        <f t="shared" si="0"/>
        <v>280000000</v>
      </c>
      <c r="H15" s="61">
        <f t="shared" si="0"/>
        <v>399800000</v>
      </c>
      <c r="I15" s="61">
        <f t="shared" si="0"/>
        <v>250000000</v>
      </c>
      <c r="J15" s="61">
        <f t="shared" si="0"/>
        <v>125000000</v>
      </c>
      <c r="K15" s="61">
        <f t="shared" si="0"/>
        <v>75700000</v>
      </c>
    </row>
    <row r="18" spans="3:13" ht="13" x14ac:dyDescent="0.3">
      <c r="F18" s="89" t="s">
        <v>92</v>
      </c>
      <c r="G18" s="89"/>
      <c r="H18" s="89"/>
    </row>
    <row r="19" spans="3:13" ht="13" x14ac:dyDescent="0.3">
      <c r="C19" s="20" t="s">
        <v>75</v>
      </c>
      <c r="D19" s="20" t="s">
        <v>30</v>
      </c>
      <c r="E19" s="20" t="s">
        <v>31</v>
      </c>
      <c r="F19" s="20" t="s">
        <v>28</v>
      </c>
      <c r="G19" s="20" t="s">
        <v>11</v>
      </c>
      <c r="H19" s="20" t="s">
        <v>22</v>
      </c>
      <c r="I19" s="20" t="s">
        <v>9</v>
      </c>
      <c r="J19" s="20" t="s">
        <v>6</v>
      </c>
      <c r="K19" s="20" t="s">
        <v>3</v>
      </c>
      <c r="L19" s="20" t="s">
        <v>74</v>
      </c>
      <c r="M19" s="20" t="s">
        <v>112</v>
      </c>
    </row>
    <row r="20" spans="3:13" ht="13" x14ac:dyDescent="0.3">
      <c r="C20" s="20" t="s">
        <v>24</v>
      </c>
      <c r="D20" s="64">
        <f>$D$15/D5</f>
        <v>39.92345532943196</v>
      </c>
      <c r="E20" s="64">
        <f>$E$15/E5</f>
        <v>55.103384292789883</v>
      </c>
      <c r="F20" s="64">
        <f>$F$15/F5</f>
        <v>59.730931630482381</v>
      </c>
      <c r="G20" s="64">
        <f>$G$15/G5</f>
        <v>56.274077265915913</v>
      </c>
      <c r="H20" s="64">
        <f>$H$15/H5</f>
        <v>32.507174901974963</v>
      </c>
      <c r="I20" s="64">
        <f>$I$15/I5</f>
        <v>51.222055807454247</v>
      </c>
      <c r="J20" s="64">
        <f>$J$15/J5</f>
        <v>12.593011986532529</v>
      </c>
      <c r="K20" s="64">
        <f>$K$15/K5</f>
        <v>65.115814971304317</v>
      </c>
      <c r="L20" s="64">
        <f>AVERAGE(D20:K20)</f>
        <v>46.558738273235775</v>
      </c>
      <c r="M20" s="64">
        <f>MEDIAN(D20:K20)</f>
        <v>53.162720050122061</v>
      </c>
    </row>
    <row r="21" spans="3:13" ht="13" x14ac:dyDescent="0.3">
      <c r="C21" s="20" t="s">
        <v>17</v>
      </c>
      <c r="D21" s="64">
        <f>$D$15/D6</f>
        <v>1309.4905073891221</v>
      </c>
      <c r="E21" s="64">
        <f>$E$15/E6</f>
        <v>1820.5733636262064</v>
      </c>
      <c r="F21" s="64">
        <f>$F$15/F6</f>
        <v>3958.7601140250185</v>
      </c>
      <c r="G21" s="64">
        <f>$G$15/G6</f>
        <v>2609.8392139974962</v>
      </c>
      <c r="H21" s="64">
        <f>$H$15/H6</f>
        <v>5593.8225111306347</v>
      </c>
      <c r="I21" s="64">
        <f>$I$15/I6</f>
        <v>3210.3786850083175</v>
      </c>
      <c r="J21" s="64">
        <f>$J$15/J6</f>
        <v>1727.6074433621177</v>
      </c>
      <c r="K21" s="64">
        <f>$K$15/K6</f>
        <v>1892.8218166661791</v>
      </c>
      <c r="L21" s="64">
        <f t="shared" ref="L21:L25" si="1">AVERAGE(D21:K21)</f>
        <v>2765.4117069006365</v>
      </c>
      <c r="M21" s="64">
        <f t="shared" ref="M21:M25" si="2">MEDIAN(D21:K21)</f>
        <v>2251.3305153318379</v>
      </c>
    </row>
    <row r="22" spans="3:13" ht="13" x14ac:dyDescent="0.3">
      <c r="C22" s="20" t="s">
        <v>16</v>
      </c>
      <c r="D22" s="64">
        <f>$D$15/D7</f>
        <v>1389.4009602007195</v>
      </c>
      <c r="E22" s="64">
        <f>$E$15/E7</f>
        <v>1281.346007205947</v>
      </c>
      <c r="F22" s="64">
        <f>$F$15/F7</f>
        <v>1408.871295013055</v>
      </c>
      <c r="G22" s="64">
        <f>$G$15/G7</f>
        <v>2926.2684851335111</v>
      </c>
      <c r="H22" s="64">
        <v>0</v>
      </c>
      <c r="I22" s="64">
        <f>$I$15/I7</f>
        <v>7810.9377170167018</v>
      </c>
      <c r="J22" s="64">
        <f>$J$15/J7</f>
        <v>511.95308052407614</v>
      </c>
      <c r="K22" s="64">
        <f>$K$15/K7</f>
        <v>1789.8647173901632</v>
      </c>
      <c r="L22" s="64">
        <f t="shared" si="1"/>
        <v>2139.8302828105216</v>
      </c>
      <c r="M22" s="64">
        <f t="shared" si="2"/>
        <v>1399.1361276068874</v>
      </c>
    </row>
    <row r="23" spans="3:13" ht="13" x14ac:dyDescent="0.3">
      <c r="C23" s="20" t="s">
        <v>15</v>
      </c>
      <c r="D23" s="64">
        <f>$D$15/D8</f>
        <v>16655.741273693398</v>
      </c>
      <c r="E23" s="64">
        <f>$E$15/E8</f>
        <v>5396.4853386154455</v>
      </c>
      <c r="F23" s="59">
        <v>0</v>
      </c>
      <c r="G23" s="64">
        <f>$G$15/G8</f>
        <v>6309.7440236786924</v>
      </c>
      <c r="H23" s="64">
        <f>$H$15/H8</f>
        <v>4753.0499988576357</v>
      </c>
      <c r="I23" s="64">
        <f>$I$15/I8</f>
        <v>5324.0198479459932</v>
      </c>
      <c r="J23" s="64">
        <f>$J$15/J8</f>
        <v>7111.0403167541799</v>
      </c>
      <c r="K23" s="64">
        <f>$K$15/K8</f>
        <v>13148.410626358993</v>
      </c>
      <c r="L23" s="64">
        <f t="shared" si="1"/>
        <v>7337.3114282380429</v>
      </c>
      <c r="M23" s="64">
        <f t="shared" si="2"/>
        <v>5853.1146811470689</v>
      </c>
    </row>
    <row r="24" spans="3:13" ht="13" x14ac:dyDescent="0.3">
      <c r="C24" s="20" t="s">
        <v>14</v>
      </c>
      <c r="D24" s="59">
        <v>0</v>
      </c>
      <c r="E24" s="59">
        <v>0</v>
      </c>
      <c r="F24" s="64">
        <f>$F$15/F9</f>
        <v>10738.819080080075</v>
      </c>
      <c r="G24" s="59">
        <v>0</v>
      </c>
      <c r="H24" s="64">
        <f>$H$15/H9</f>
        <v>6550.4365592349195</v>
      </c>
      <c r="I24" s="64">
        <f>$I$15/I9</f>
        <v>3815.6171684457618</v>
      </c>
      <c r="J24" s="59">
        <v>0</v>
      </c>
      <c r="K24" s="59">
        <v>0</v>
      </c>
      <c r="L24" s="64">
        <f t="shared" si="1"/>
        <v>2638.1091009700945</v>
      </c>
      <c r="M24" s="64">
        <f>MEDIAN(D24:K24)</f>
        <v>0</v>
      </c>
    </row>
    <row r="25" spans="3:13" ht="13" x14ac:dyDescent="0.3">
      <c r="C25" s="20" t="s">
        <v>23</v>
      </c>
      <c r="D25" s="59">
        <v>0</v>
      </c>
      <c r="E25" s="59">
        <v>0</v>
      </c>
      <c r="F25" s="64">
        <v>0</v>
      </c>
      <c r="G25" s="64">
        <f>$G$15/G10</f>
        <v>11919.001868729221</v>
      </c>
      <c r="H25" s="64">
        <f>$H$15/H10</f>
        <v>2313.6212675319207</v>
      </c>
      <c r="I25" s="59">
        <v>0</v>
      </c>
      <c r="J25" s="59">
        <v>0</v>
      </c>
      <c r="K25" s="59">
        <v>0</v>
      </c>
      <c r="L25" s="64">
        <f t="shared" si="1"/>
        <v>1779.0778920326427</v>
      </c>
      <c r="M25" s="64">
        <f t="shared" si="2"/>
        <v>0</v>
      </c>
    </row>
    <row r="26" spans="3:13" x14ac:dyDescent="0.25">
      <c r="C26" s="60" t="s">
        <v>25</v>
      </c>
      <c r="D26" s="76">
        <f>D15/D11</f>
        <v>32.695281821406653</v>
      </c>
      <c r="E26" s="76">
        <f t="shared" ref="E26:K26" si="3">E15/E11</f>
        <v>43.314486763484332</v>
      </c>
      <c r="F26" s="76">
        <f t="shared" si="3"/>
        <v>43.101126016917192</v>
      </c>
      <c r="G26" s="76">
        <f t="shared" si="3"/>
        <v>39.152406334859343</v>
      </c>
      <c r="H26" s="76">
        <f t="shared" si="3"/>
        <v>29.312379003691859</v>
      </c>
      <c r="I26" s="76">
        <f t="shared" si="3"/>
        <v>36.963056164624582</v>
      </c>
      <c r="J26" s="76">
        <f t="shared" si="3"/>
        <v>11.373769358155448</v>
      </c>
      <c r="K26" s="76">
        <f t="shared" si="3"/>
        <v>47.926862468265071</v>
      </c>
      <c r="L26" s="76">
        <f>AVERAGE(D26:K26)</f>
        <v>35.479920991425558</v>
      </c>
      <c r="M26" s="76">
        <f>MEDIAN(D26:L26)</f>
        <v>36.963056164624582</v>
      </c>
    </row>
    <row r="27" spans="3:13" x14ac:dyDescent="0.25">
      <c r="D27" s="1" t="s">
        <v>110</v>
      </c>
      <c r="L27" s="1" t="s">
        <v>113</v>
      </c>
      <c r="M27" s="32">
        <f>MIN(D26:L26)</f>
        <v>11.373769358155448</v>
      </c>
    </row>
    <row r="28" spans="3:13" x14ac:dyDescent="0.25">
      <c r="L28" s="1" t="s">
        <v>43</v>
      </c>
      <c r="M28" s="32">
        <f>MAX(D26:L26)</f>
        <v>47.926862468265071</v>
      </c>
    </row>
  </sheetData>
  <mergeCells count="3">
    <mergeCell ref="F18:H18"/>
    <mergeCell ref="F3:G3"/>
    <mergeCell ref="F13:G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E5275-922C-43F8-9583-AC453B639A83}">
  <dimension ref="C3:L26"/>
  <sheetViews>
    <sheetView workbookViewId="0">
      <selection activeCell="L12" sqref="L12"/>
    </sheetView>
  </sheetViews>
  <sheetFormatPr defaultRowHeight="12.5" x14ac:dyDescent="0.25"/>
  <cols>
    <col min="3" max="3" width="37.1796875" bestFit="1" customWidth="1"/>
    <col min="4" max="4" width="24.1796875" bestFit="1" customWidth="1"/>
    <col min="5" max="5" width="13.81640625" bestFit="1" customWidth="1"/>
    <col min="6" max="6" width="15" bestFit="1" customWidth="1"/>
    <col min="7" max="7" width="19.08984375" bestFit="1" customWidth="1"/>
    <col min="8" max="8" width="12.36328125" bestFit="1" customWidth="1"/>
    <col min="9" max="9" width="9.54296875" bestFit="1" customWidth="1"/>
    <col min="10" max="10" width="15.08984375" bestFit="1" customWidth="1"/>
    <col min="11" max="11" width="16.81640625" bestFit="1" customWidth="1"/>
    <col min="12" max="12" width="22" bestFit="1" customWidth="1"/>
  </cols>
  <sheetData>
    <row r="3" spans="3:11" ht="13" x14ac:dyDescent="0.3">
      <c r="C3" s="1"/>
      <c r="D3" s="1"/>
      <c r="F3" s="89" t="s">
        <v>83</v>
      </c>
      <c r="G3" s="89"/>
      <c r="H3" s="1"/>
      <c r="I3" s="1"/>
      <c r="J3" s="1"/>
      <c r="K3" s="1"/>
    </row>
    <row r="4" spans="3:11" ht="13" x14ac:dyDescent="0.3">
      <c r="C4" s="20" t="s">
        <v>75</v>
      </c>
      <c r="D4" s="20" t="s">
        <v>30</v>
      </c>
      <c r="E4" s="20" t="s">
        <v>31</v>
      </c>
      <c r="F4" s="20" t="s">
        <v>28</v>
      </c>
      <c r="G4" s="20" t="s">
        <v>11</v>
      </c>
      <c r="H4" s="20" t="s">
        <v>22</v>
      </c>
      <c r="I4" s="20" t="s">
        <v>9</v>
      </c>
      <c r="J4" s="20" t="s">
        <v>6</v>
      </c>
      <c r="K4" s="20" t="s">
        <v>3</v>
      </c>
    </row>
    <row r="5" spans="3:11" ht="13" x14ac:dyDescent="0.3">
      <c r="C5" s="20" t="s">
        <v>24</v>
      </c>
      <c r="D5" s="23">
        <v>7013421</v>
      </c>
      <c r="E5" s="23">
        <v>3132294</v>
      </c>
      <c r="F5" s="23">
        <v>3080481</v>
      </c>
      <c r="G5" s="23">
        <v>4975648</v>
      </c>
      <c r="H5" s="23">
        <v>12298823.296875</v>
      </c>
      <c r="I5" s="23">
        <v>4880710</v>
      </c>
      <c r="J5" s="23">
        <v>9926140</v>
      </c>
      <c r="K5" s="23">
        <v>1162544</v>
      </c>
    </row>
    <row r="6" spans="3:11" ht="13" x14ac:dyDescent="0.3">
      <c r="C6" s="20" t="s">
        <v>17</v>
      </c>
      <c r="D6" s="23">
        <v>213823.619507</v>
      </c>
      <c r="E6" s="23">
        <v>94805.297852000003</v>
      </c>
      <c r="F6" s="23">
        <v>46479.199219000002</v>
      </c>
      <c r="G6" s="23">
        <v>107286.302734</v>
      </c>
      <c r="H6" s="23">
        <v>71471.699219000002</v>
      </c>
      <c r="I6" s="23">
        <v>77872.433294999995</v>
      </c>
      <c r="J6" s="23">
        <v>72354.399999999994</v>
      </c>
      <c r="K6" s="23">
        <v>39993.199219000002</v>
      </c>
    </row>
    <row r="7" spans="3:11" ht="13" x14ac:dyDescent="0.3">
      <c r="C7" s="20" t="s">
        <v>16</v>
      </c>
      <c r="D7" s="23">
        <v>201525.699219</v>
      </c>
      <c r="E7" s="23">
        <v>134702.101563</v>
      </c>
      <c r="F7" s="23">
        <v>130601</v>
      </c>
      <c r="G7" s="23">
        <v>95685</v>
      </c>
      <c r="H7" s="59">
        <v>0</v>
      </c>
      <c r="I7" s="23">
        <v>32006.400390999999</v>
      </c>
      <c r="J7" s="23">
        <v>244163</v>
      </c>
      <c r="K7" s="23">
        <v>42293.699219000002</v>
      </c>
    </row>
    <row r="8" spans="3:11" ht="13" x14ac:dyDescent="0.3">
      <c r="C8" s="20" t="s">
        <v>15</v>
      </c>
      <c r="D8" s="23">
        <v>16811.02002</v>
      </c>
      <c r="E8" s="23">
        <v>31983.780029000001</v>
      </c>
      <c r="F8" s="59">
        <v>0</v>
      </c>
      <c r="G8" s="23">
        <v>44375.809692000003</v>
      </c>
      <c r="H8" s="23">
        <v>84114.410766999994</v>
      </c>
      <c r="I8" s="23">
        <v>46957</v>
      </c>
      <c r="J8" s="23">
        <v>17578.3</v>
      </c>
      <c r="K8" s="23">
        <v>5757.3498540000001</v>
      </c>
    </row>
    <row r="9" spans="3:11" ht="13" x14ac:dyDescent="0.3">
      <c r="C9" s="20" t="s">
        <v>14</v>
      </c>
      <c r="D9" s="59">
        <v>0</v>
      </c>
      <c r="E9" s="59">
        <v>0</v>
      </c>
      <c r="F9" s="23">
        <v>17134.099999999999</v>
      </c>
      <c r="G9" s="59">
        <v>0</v>
      </c>
      <c r="H9" s="23">
        <v>61034.1</v>
      </c>
      <c r="I9" s="23">
        <v>65520.2</v>
      </c>
      <c r="J9" s="59">
        <v>0</v>
      </c>
      <c r="K9" s="59">
        <v>0</v>
      </c>
    </row>
    <row r="10" spans="3:11" ht="13" x14ac:dyDescent="0.3">
      <c r="C10" s="20" t="s">
        <v>23</v>
      </c>
      <c r="D10" s="59">
        <v>0</v>
      </c>
      <c r="E10" s="59">
        <v>0</v>
      </c>
      <c r="F10" s="23">
        <v>0</v>
      </c>
      <c r="G10" s="23">
        <v>23491.9</v>
      </c>
      <c r="H10" s="23">
        <v>172802.699219</v>
      </c>
      <c r="I10" s="59">
        <v>0</v>
      </c>
      <c r="J10" s="59">
        <v>0</v>
      </c>
      <c r="K10" s="59">
        <v>0</v>
      </c>
    </row>
    <row r="11" spans="3:11" x14ac:dyDescent="0.25">
      <c r="C11" s="61" t="s">
        <v>25</v>
      </c>
      <c r="D11" s="58">
        <v>8563926.7931520008</v>
      </c>
      <c r="E11" s="58">
        <v>3984810</v>
      </c>
      <c r="F11" s="58">
        <v>4269030</v>
      </c>
      <c r="G11" s="58">
        <v>7151540</v>
      </c>
      <c r="H11" s="58">
        <v>13639288.709717</v>
      </c>
      <c r="I11" s="58">
        <v>6763510</v>
      </c>
      <c r="J11" s="58">
        <v>10990200</v>
      </c>
      <c r="K11" s="58">
        <v>1579490</v>
      </c>
    </row>
    <row r="12" spans="3:11" x14ac:dyDescent="0.25">
      <c r="C12" s="1"/>
      <c r="D12" s="1"/>
      <c r="E12" s="1"/>
      <c r="F12" s="1"/>
      <c r="G12" s="1"/>
      <c r="H12" s="1"/>
      <c r="I12" s="1"/>
      <c r="J12" s="1"/>
      <c r="K12" s="1"/>
    </row>
    <row r="13" spans="3:11" ht="13" x14ac:dyDescent="0.3">
      <c r="C13" s="65"/>
      <c r="D13" s="65"/>
      <c r="E13" s="65"/>
      <c r="F13" s="90" t="s">
        <v>91</v>
      </c>
      <c r="G13" s="90"/>
      <c r="H13" s="65"/>
      <c r="I13" s="65"/>
      <c r="J13" s="65"/>
      <c r="K13" s="65"/>
    </row>
    <row r="14" spans="3:11" x14ac:dyDescent="0.25">
      <c r="C14" s="63" t="s">
        <v>71</v>
      </c>
      <c r="D14" s="62">
        <v>280</v>
      </c>
      <c r="E14" s="62">
        <v>172.6</v>
      </c>
      <c r="F14" s="62">
        <v>184</v>
      </c>
      <c r="G14" s="62">
        <v>280</v>
      </c>
      <c r="H14" s="62">
        <v>399.8</v>
      </c>
      <c r="I14" s="62">
        <v>250</v>
      </c>
      <c r="J14" s="62">
        <v>125</v>
      </c>
      <c r="K14" s="62">
        <v>75.7</v>
      </c>
    </row>
    <row r="15" spans="3:11" x14ac:dyDescent="0.25">
      <c r="C15" s="60" t="s">
        <v>72</v>
      </c>
      <c r="D15" s="61">
        <f>D14*1000</f>
        <v>280000</v>
      </c>
      <c r="E15" s="61">
        <f t="shared" ref="E15:K15" si="0">E14*1000</f>
        <v>172600</v>
      </c>
      <c r="F15" s="61">
        <f t="shared" si="0"/>
        <v>184000</v>
      </c>
      <c r="G15" s="61">
        <f t="shared" si="0"/>
        <v>280000</v>
      </c>
      <c r="H15" s="61">
        <f t="shared" si="0"/>
        <v>399800</v>
      </c>
      <c r="I15" s="61">
        <f t="shared" si="0"/>
        <v>250000</v>
      </c>
      <c r="J15" s="61">
        <f t="shared" si="0"/>
        <v>125000</v>
      </c>
      <c r="K15" s="61">
        <f t="shared" si="0"/>
        <v>75700</v>
      </c>
    </row>
    <row r="18" spans="3:12" ht="13" x14ac:dyDescent="0.3">
      <c r="C18" s="1"/>
      <c r="D18" s="1"/>
      <c r="E18" s="89" t="s">
        <v>111</v>
      </c>
      <c r="F18" s="89"/>
      <c r="G18" s="89"/>
      <c r="H18" s="1"/>
      <c r="I18" s="1"/>
      <c r="J18" s="1"/>
      <c r="K18" s="1"/>
      <c r="L18" s="1"/>
    </row>
    <row r="19" spans="3:12" ht="13" x14ac:dyDescent="0.3">
      <c r="C19" s="20" t="s">
        <v>75</v>
      </c>
      <c r="D19" s="20" t="s">
        <v>30</v>
      </c>
      <c r="E19" s="20" t="s">
        <v>31</v>
      </c>
      <c r="F19" s="20" t="s">
        <v>28</v>
      </c>
      <c r="G19" s="20" t="s">
        <v>11</v>
      </c>
      <c r="H19" s="20" t="s">
        <v>22</v>
      </c>
      <c r="I19" s="20" t="s">
        <v>9</v>
      </c>
      <c r="J19" s="20" t="s">
        <v>6</v>
      </c>
      <c r="K19" s="20" t="s">
        <v>3</v>
      </c>
      <c r="L19" s="20" t="s">
        <v>74</v>
      </c>
    </row>
    <row r="20" spans="3:12" ht="13" x14ac:dyDescent="0.3">
      <c r="C20" s="20" t="s">
        <v>24</v>
      </c>
      <c r="D20" s="64">
        <f>'Land-Use Efficiency'!$D5/'Land-Use Efficiency'!$D$15</f>
        <v>2.5047932142857141E-2</v>
      </c>
      <c r="E20" s="64">
        <f>'Land-Use Efficiency'!$E5/'Land-Use Efficiency'!$E$15</f>
        <v>1.8147705677867904E-2</v>
      </c>
      <c r="F20" s="64">
        <f>'Land-Use Efficiency'!$F5/'Land-Use Efficiency'!$F$15</f>
        <v>1.674174456521739E-2</v>
      </c>
      <c r="G20" s="64">
        <f>'Land-Use Efficiency'!$G5/'Land-Use Efficiency'!$G$15</f>
        <v>1.777017142857143E-2</v>
      </c>
      <c r="H20" s="64">
        <f>'Land-Use Efficiency'!$H5/'Land-Use Efficiency'!$H$15</f>
        <v>3.0762439461918461E-2</v>
      </c>
      <c r="I20" s="64">
        <f>'Land-Use Efficiency'!$I5/'Land-Use Efficiency'!$I$15</f>
        <v>1.952284E-2</v>
      </c>
      <c r="J20" s="64">
        <f>'Land-Use Efficiency'!$J5/'Land-Use Efficiency'!$J$15</f>
        <v>7.940912E-2</v>
      </c>
      <c r="K20" s="64">
        <f>'Land-Use Efficiency'!$K5/'Land-Use Efficiency'!$K$15</f>
        <v>1.5357252311756935E-2</v>
      </c>
      <c r="L20" s="64">
        <f t="shared" ref="L20:L26" si="1">AVERAGE(D20:K20)</f>
        <v>2.7844900698523658E-2</v>
      </c>
    </row>
    <row r="21" spans="3:12" ht="13" x14ac:dyDescent="0.3">
      <c r="C21" s="20" t="s">
        <v>17</v>
      </c>
      <c r="D21" s="64">
        <f>'Land-Use Efficiency'!$D6/'Land-Use Efficiency'!$D$15</f>
        <v>7.6365578395357146E-4</v>
      </c>
      <c r="E21" s="64">
        <f>'Land-Use Efficiency'!$E6/'Land-Use Efficiency'!$E$15</f>
        <v>5.4927750783314027E-4</v>
      </c>
      <c r="F21" s="64">
        <f>'Land-Use Efficiency'!$F6/'Land-Use Efficiency'!$F$15</f>
        <v>2.5260434358152176E-4</v>
      </c>
      <c r="G21" s="64">
        <f>'Land-Use Efficiency'!$G6/'Land-Use Efficiency'!$G$15</f>
        <v>3.8316536690714283E-4</v>
      </c>
      <c r="H21" s="64">
        <f>'Land-Use Efficiency'!$H6/'Land-Use Efficiency'!$H$15</f>
        <v>1.7876863236368184E-4</v>
      </c>
      <c r="I21" s="64">
        <f>'Land-Use Efficiency'!$I6/'Land-Use Efficiency'!$I$15</f>
        <v>3.1148973317999997E-4</v>
      </c>
      <c r="J21" s="64">
        <f>'Land-Use Efficiency'!$J6/'Land-Use Efficiency'!$J$15</f>
        <v>5.7883519999999994E-4</v>
      </c>
      <c r="K21" s="64">
        <f>'Land-Use Efficiency'!$K6/'Land-Use Efficiency'!$K$15</f>
        <v>5.2831174661822986E-4</v>
      </c>
      <c r="L21" s="64">
        <f t="shared" si="1"/>
        <v>4.4326353930466099E-4</v>
      </c>
    </row>
    <row r="22" spans="3:12" ht="13" x14ac:dyDescent="0.3">
      <c r="C22" s="20" t="s">
        <v>16</v>
      </c>
      <c r="D22" s="64">
        <f>'Land-Use Efficiency'!$D7/'Land-Use Efficiency'!$D$15</f>
        <v>7.197346400678572E-4</v>
      </c>
      <c r="E22" s="64">
        <f>'Land-Use Efficiency'!$E7/'Land-Use Efficiency'!$E$15</f>
        <v>7.8042932539397448E-4</v>
      </c>
      <c r="F22" s="64">
        <f>'Land-Use Efficiency'!$F7/'Land-Use Efficiency'!$F$15</f>
        <v>7.0978804347826086E-4</v>
      </c>
      <c r="G22" s="64">
        <f>'Land-Use Efficiency'!$G7/'Land-Use Efficiency'!$G$15</f>
        <v>3.4173214285714286E-4</v>
      </c>
      <c r="H22" s="64">
        <f>'Land-Use Efficiency'!$H7/'Land-Use Efficiency'!$H$15</f>
        <v>0</v>
      </c>
      <c r="I22" s="64">
        <f>'Land-Use Efficiency'!$I7/'Land-Use Efficiency'!$I$15</f>
        <v>1.2802560156399998E-4</v>
      </c>
      <c r="J22" s="64">
        <f>'Land-Use Efficiency'!$J7/'Land-Use Efficiency'!$J$15</f>
        <v>1.9533039999999999E-3</v>
      </c>
      <c r="K22" s="64">
        <f>'Land-Use Efficiency'!$K7/'Land-Use Efficiency'!$K$15</f>
        <v>5.5870144278731841E-4</v>
      </c>
      <c r="L22" s="64">
        <f t="shared" si="1"/>
        <v>6.4896439951856908E-4</v>
      </c>
    </row>
    <row r="23" spans="3:12" ht="13" x14ac:dyDescent="0.3">
      <c r="C23" s="20" t="s">
        <v>15</v>
      </c>
      <c r="D23" s="64">
        <f>'Land-Use Efficiency'!$D8/'Land-Use Efficiency'!$D$15</f>
        <v>6.0039357214285711E-5</v>
      </c>
      <c r="E23" s="64">
        <f>'Land-Use Efficiency'!$E8/'Land-Use Efficiency'!$E$15</f>
        <v>1.8530579391077637E-4</v>
      </c>
      <c r="F23" s="64">
        <f>'Land-Use Efficiency'!$F8/'Land-Use Efficiency'!$F$15</f>
        <v>0</v>
      </c>
      <c r="G23" s="64">
        <f>'Land-Use Efficiency'!$G8/'Land-Use Efficiency'!$G$15</f>
        <v>1.5848503461428573E-4</v>
      </c>
      <c r="H23" s="64">
        <f>'Land-Use Efficiency'!$H8/'Land-Use Efficiency'!$H$15</f>
        <v>2.1039122252876436E-4</v>
      </c>
      <c r="I23" s="64">
        <f>'Land-Use Efficiency'!$I8/'Land-Use Efficiency'!$I$15</f>
        <v>1.8782799999999999E-4</v>
      </c>
      <c r="J23" s="64">
        <f>'Land-Use Efficiency'!$J8/'Land-Use Efficiency'!$J$15</f>
        <v>1.4062640000000001E-4</v>
      </c>
      <c r="K23" s="64">
        <f>'Land-Use Efficiency'!$K8/'Land-Use Efficiency'!$K$15</f>
        <v>7.6054819735799206E-5</v>
      </c>
      <c r="L23" s="64">
        <f t="shared" si="1"/>
        <v>1.2734132850048894E-4</v>
      </c>
    </row>
    <row r="24" spans="3:12" ht="13" x14ac:dyDescent="0.3">
      <c r="C24" s="20" t="s">
        <v>14</v>
      </c>
      <c r="D24" s="64">
        <f>'Land-Use Efficiency'!$D9/'Land-Use Efficiency'!$D$15</f>
        <v>0</v>
      </c>
      <c r="E24" s="64">
        <f>'Land-Use Efficiency'!$E9/'Land-Use Efficiency'!$E$15</f>
        <v>0</v>
      </c>
      <c r="F24" s="64">
        <f>'Land-Use Efficiency'!$F9/'Land-Use Efficiency'!$F$15</f>
        <v>9.3120108695652173E-5</v>
      </c>
      <c r="G24" s="64">
        <f>'Land-Use Efficiency'!$G9/'Land-Use Efficiency'!$G$15</f>
        <v>0</v>
      </c>
      <c r="H24" s="64">
        <f>'Land-Use Efficiency'!$H9/'Land-Use Efficiency'!$H$15</f>
        <v>1.526615807903952E-4</v>
      </c>
      <c r="I24" s="64">
        <f>'Land-Use Efficiency'!$I9/'Land-Use Efficiency'!$I$15</f>
        <v>2.6208079999999999E-4</v>
      </c>
      <c r="J24" s="64">
        <f>'Land-Use Efficiency'!$J9/'Land-Use Efficiency'!$J$15</f>
        <v>0</v>
      </c>
      <c r="K24" s="64">
        <f>'Land-Use Efficiency'!$K9/'Land-Use Efficiency'!$K$15</f>
        <v>0</v>
      </c>
      <c r="L24" s="64">
        <f t="shared" si="1"/>
        <v>6.3482811185755923E-5</v>
      </c>
    </row>
    <row r="25" spans="3:12" ht="13" x14ac:dyDescent="0.3">
      <c r="C25" s="20" t="s">
        <v>23</v>
      </c>
      <c r="D25" s="64">
        <f>'Land-Use Efficiency'!$D10/'Land-Use Efficiency'!$D$15</f>
        <v>0</v>
      </c>
      <c r="E25" s="64">
        <f>'Land-Use Efficiency'!$E10/'Land-Use Efficiency'!$E$15</f>
        <v>0</v>
      </c>
      <c r="F25" s="64">
        <f>'Land-Use Efficiency'!$F10/'Land-Use Efficiency'!$F$15</f>
        <v>0</v>
      </c>
      <c r="G25" s="64">
        <f>'Land-Use Efficiency'!$G10/'Land-Use Efficiency'!$G$15</f>
        <v>8.3899642857142862E-5</v>
      </c>
      <c r="H25" s="64">
        <f>'Land-Use Efficiency'!$H10/'Land-Use Efficiency'!$H$15</f>
        <v>4.3222285947723863E-4</v>
      </c>
      <c r="I25" s="64">
        <f>'Land-Use Efficiency'!$I10/'Land-Use Efficiency'!$I$15</f>
        <v>0</v>
      </c>
      <c r="J25" s="64">
        <f>'Land-Use Efficiency'!$J10/'Land-Use Efficiency'!$J$15</f>
        <v>0</v>
      </c>
      <c r="K25" s="64">
        <f>'Land-Use Efficiency'!$K10/'Land-Use Efficiency'!$K$15</f>
        <v>0</v>
      </c>
      <c r="L25" s="64">
        <f t="shared" si="1"/>
        <v>6.4515312791797686E-5</v>
      </c>
    </row>
    <row r="26" spans="3:12" x14ac:dyDescent="0.25">
      <c r="C26" s="8" t="s">
        <v>25</v>
      </c>
      <c r="D26" s="32">
        <f>'Land-Use Efficiency'!$D11/'Land-Use Efficiency'!$D$15</f>
        <v>3.0585452832685718E-2</v>
      </c>
      <c r="E26" s="32">
        <f>'Land-Use Efficiency'!$E11/'Land-Use Efficiency'!$E$15</f>
        <v>2.3086964078794903E-2</v>
      </c>
      <c r="F26" s="32">
        <f>'Land-Use Efficiency'!$F11/'Land-Use Efficiency'!$F$15</f>
        <v>2.320125E-2</v>
      </c>
      <c r="G26" s="32">
        <f>'Land-Use Efficiency'!$G11/'Land-Use Efficiency'!$G$15</f>
        <v>2.5541214285714285E-2</v>
      </c>
      <c r="H26" s="32">
        <f>'Land-Use Efficiency'!$H11/'Land-Use Efficiency'!$H$15</f>
        <v>3.41152794139995E-2</v>
      </c>
      <c r="I26" s="32">
        <f>'Land-Use Efficiency'!$I11/'Land-Use Efficiency'!$I$15</f>
        <v>2.7054040000000001E-2</v>
      </c>
      <c r="J26" s="32">
        <f>'Land-Use Efficiency'!$J11/'Land-Use Efficiency'!$J$15</f>
        <v>8.7921600000000003E-2</v>
      </c>
      <c r="K26" s="32">
        <f>'Land-Use Efficiency'!$K11/'Land-Use Efficiency'!$K$15</f>
        <v>2.0865125495376485E-2</v>
      </c>
      <c r="L26" s="32">
        <f t="shared" si="1"/>
        <v>3.4046365763321366E-2</v>
      </c>
    </row>
  </sheetData>
  <mergeCells count="3">
    <mergeCell ref="F13:G13"/>
    <mergeCell ref="F3:G3"/>
    <mergeCell ref="E18:G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A927-3138-4FA3-B7B0-4B0027FD3D88}">
  <dimension ref="B2:J62"/>
  <sheetViews>
    <sheetView topLeftCell="A51" workbookViewId="0">
      <selection activeCell="B6" sqref="B6"/>
    </sheetView>
  </sheetViews>
  <sheetFormatPr defaultRowHeight="12.5" x14ac:dyDescent="0.25"/>
  <cols>
    <col min="2" max="2" width="29" customWidth="1"/>
    <col min="3" max="3" width="27.6328125" customWidth="1"/>
    <col min="4" max="4" width="14.1796875" bestFit="1" customWidth="1"/>
    <col min="5" max="5" width="15.36328125" bestFit="1" customWidth="1"/>
    <col min="6" max="6" width="17.81640625" bestFit="1" customWidth="1"/>
    <col min="7" max="8" width="12" bestFit="1" customWidth="1"/>
    <col min="9" max="9" width="17.1796875" customWidth="1"/>
    <col min="10" max="10" width="15.81640625" bestFit="1" customWidth="1"/>
  </cols>
  <sheetData>
    <row r="2" spans="2:10" x14ac:dyDescent="0.25">
      <c r="B2" s="10" t="s">
        <v>41</v>
      </c>
    </row>
    <row r="3" spans="2:10" x14ac:dyDescent="0.25">
      <c r="B3">
        <v>6.7</v>
      </c>
    </row>
    <row r="6" spans="2:10" x14ac:dyDescent="0.25">
      <c r="B6" s="8" t="s">
        <v>32</v>
      </c>
      <c r="C6" s="1"/>
      <c r="D6" s="1"/>
      <c r="E6" s="1"/>
      <c r="F6" s="1"/>
      <c r="G6" s="1"/>
      <c r="H6" s="1"/>
      <c r="I6" s="1"/>
      <c r="J6" s="1"/>
    </row>
    <row r="7" spans="2:10" ht="13" x14ac:dyDescent="0.3">
      <c r="B7" s="1"/>
      <c r="C7" s="2" t="s">
        <v>30</v>
      </c>
      <c r="D7" s="2" t="s">
        <v>31</v>
      </c>
      <c r="E7" s="2" t="s">
        <v>28</v>
      </c>
      <c r="F7" s="2" t="s">
        <v>11</v>
      </c>
      <c r="G7" s="2" t="s">
        <v>22</v>
      </c>
      <c r="H7" s="2" t="s">
        <v>9</v>
      </c>
      <c r="I7" s="2" t="s">
        <v>6</v>
      </c>
      <c r="J7" s="2" t="s">
        <v>3</v>
      </c>
    </row>
    <row r="8" spans="2:10" ht="13" x14ac:dyDescent="0.3">
      <c r="B8" s="2" t="s">
        <v>24</v>
      </c>
      <c r="C8" s="4">
        <v>7013421</v>
      </c>
      <c r="D8" s="4">
        <v>3132294</v>
      </c>
      <c r="E8" s="4">
        <v>3080481</v>
      </c>
      <c r="F8" s="4">
        <v>4975648</v>
      </c>
      <c r="G8" s="4">
        <v>12298823.296875</v>
      </c>
      <c r="H8" s="4">
        <v>4880710</v>
      </c>
      <c r="I8" s="4">
        <v>9926140</v>
      </c>
      <c r="J8" s="4">
        <v>1162544</v>
      </c>
    </row>
    <row r="9" spans="2:10" ht="13" x14ac:dyDescent="0.3">
      <c r="B9" s="2" t="s">
        <v>17</v>
      </c>
      <c r="C9" s="4">
        <v>213823.619507</v>
      </c>
      <c r="D9" s="4">
        <v>94805.297852000003</v>
      </c>
      <c r="E9" s="4">
        <v>46479.199219000002</v>
      </c>
      <c r="F9" s="4">
        <v>107286.302734</v>
      </c>
      <c r="G9" s="4">
        <v>71471.699219000002</v>
      </c>
      <c r="H9" s="4">
        <v>77872.433294999995</v>
      </c>
      <c r="I9" s="4">
        <v>72354.399999999994</v>
      </c>
      <c r="J9" s="4">
        <v>39993.199219000002</v>
      </c>
    </row>
    <row r="10" spans="2:10" ht="13" x14ac:dyDescent="0.3">
      <c r="B10" s="2" t="s">
        <v>16</v>
      </c>
      <c r="C10" s="4">
        <v>201525.699219</v>
      </c>
      <c r="D10" s="4">
        <v>134702.101563</v>
      </c>
      <c r="E10" s="4">
        <v>130601</v>
      </c>
      <c r="F10" s="4">
        <v>95685</v>
      </c>
      <c r="G10" s="4">
        <v>0</v>
      </c>
      <c r="H10" s="4">
        <v>32006.400390999999</v>
      </c>
      <c r="I10" s="4">
        <v>244163</v>
      </c>
      <c r="J10" s="4">
        <v>42293.699219000002</v>
      </c>
    </row>
    <row r="11" spans="2:10" ht="13" x14ac:dyDescent="0.3">
      <c r="B11" s="2" t="s">
        <v>15</v>
      </c>
      <c r="C11" s="4">
        <v>16811.02002</v>
      </c>
      <c r="D11" s="4">
        <v>31983.780029000001</v>
      </c>
      <c r="E11" s="4">
        <v>0</v>
      </c>
      <c r="F11" s="4">
        <v>44375.809692000003</v>
      </c>
      <c r="G11" s="4">
        <v>84114.410766999994</v>
      </c>
      <c r="H11" s="4">
        <v>46957</v>
      </c>
      <c r="I11" s="4">
        <v>17578.3</v>
      </c>
      <c r="J11" s="4">
        <v>5757.3498540000001</v>
      </c>
    </row>
    <row r="12" spans="2:10" ht="13" x14ac:dyDescent="0.3">
      <c r="B12" s="2" t="s">
        <v>14</v>
      </c>
      <c r="C12" s="4">
        <v>0</v>
      </c>
      <c r="D12" s="4">
        <v>0</v>
      </c>
      <c r="E12" s="4">
        <v>17134.099999999999</v>
      </c>
      <c r="F12" s="4">
        <v>0</v>
      </c>
      <c r="G12" s="4">
        <v>61034.1</v>
      </c>
      <c r="H12" s="4">
        <v>65520.2</v>
      </c>
      <c r="I12" s="4">
        <v>0</v>
      </c>
      <c r="J12" s="4">
        <v>0</v>
      </c>
    </row>
    <row r="13" spans="2:10" ht="13" x14ac:dyDescent="0.3">
      <c r="B13" s="2" t="s">
        <v>23</v>
      </c>
      <c r="C13" s="4">
        <v>0</v>
      </c>
      <c r="D13" s="4">
        <v>0</v>
      </c>
      <c r="E13" s="4">
        <v>0</v>
      </c>
      <c r="F13" s="4">
        <v>23491.9</v>
      </c>
      <c r="G13" s="4">
        <v>172802.699219</v>
      </c>
      <c r="H13" s="4">
        <v>0</v>
      </c>
      <c r="I13" s="4">
        <v>0</v>
      </c>
      <c r="J13" s="4">
        <v>0</v>
      </c>
    </row>
    <row r="14" spans="2:10" x14ac:dyDescent="0.25">
      <c r="B14" s="16" t="s">
        <v>48</v>
      </c>
      <c r="C14" s="17">
        <v>763873.66666666663</v>
      </c>
      <c r="D14" s="17">
        <v>173199.66666666666</v>
      </c>
      <c r="E14" s="17">
        <v>256716.33333333334</v>
      </c>
      <c r="F14" s="17">
        <v>571231.33333333337</v>
      </c>
      <c r="G14" s="17">
        <v>729289.66666666663</v>
      </c>
      <c r="H14" s="17">
        <v>622672</v>
      </c>
      <c r="I14" s="17">
        <v>96002.333333333328</v>
      </c>
      <c r="J14" s="17">
        <v>112881.66666666667</v>
      </c>
    </row>
    <row r="15" spans="2:10" x14ac:dyDescent="0.25">
      <c r="B15" s="15" t="s">
        <v>34</v>
      </c>
      <c r="C15" s="14">
        <f>C14*30</f>
        <v>22916210</v>
      </c>
      <c r="D15" s="14">
        <f t="shared" ref="D15:J15" si="0">D14*30</f>
        <v>5195990</v>
      </c>
      <c r="E15" s="14">
        <f t="shared" si="0"/>
        <v>7701490</v>
      </c>
      <c r="F15" s="14">
        <f t="shared" si="0"/>
        <v>17136940</v>
      </c>
      <c r="G15" s="14">
        <f t="shared" si="0"/>
        <v>21878690</v>
      </c>
      <c r="H15" s="14">
        <f t="shared" si="0"/>
        <v>18680160</v>
      </c>
      <c r="I15" s="14">
        <f t="shared" si="0"/>
        <v>2880070</v>
      </c>
      <c r="J15" s="14">
        <f t="shared" si="0"/>
        <v>3386450</v>
      </c>
    </row>
    <row r="17" spans="2:10" x14ac:dyDescent="0.25">
      <c r="B17" s="10" t="s">
        <v>33</v>
      </c>
    </row>
    <row r="18" spans="2:10" x14ac:dyDescent="0.25">
      <c r="B18" s="1"/>
      <c r="C18" s="1"/>
      <c r="D18" s="1"/>
      <c r="E18" s="1"/>
      <c r="F18" s="1"/>
      <c r="G18" s="1"/>
      <c r="H18" s="1"/>
      <c r="I18" s="1"/>
      <c r="J18" s="1"/>
    </row>
    <row r="19" spans="2:10" ht="13" x14ac:dyDescent="0.3">
      <c r="B19" s="1"/>
      <c r="C19" s="2" t="s">
        <v>30</v>
      </c>
      <c r="D19" s="2" t="s">
        <v>31</v>
      </c>
      <c r="E19" s="2" t="s">
        <v>28</v>
      </c>
      <c r="F19" s="2" t="s">
        <v>11</v>
      </c>
      <c r="G19" s="2" t="s">
        <v>22</v>
      </c>
      <c r="H19" s="2" t="s">
        <v>9</v>
      </c>
      <c r="I19" s="2" t="s">
        <v>6</v>
      </c>
      <c r="J19" s="2" t="s">
        <v>3</v>
      </c>
    </row>
    <row r="20" spans="2:10" ht="13" x14ac:dyDescent="0.3">
      <c r="B20" s="2" t="s">
        <v>24</v>
      </c>
      <c r="C20" s="4">
        <f t="shared" ref="C20:C25" si="1">C8*$B$3</f>
        <v>46989920.700000003</v>
      </c>
      <c r="D20" s="4">
        <f t="shared" ref="D20:J20" si="2">D8*$B$3</f>
        <v>20986369.800000001</v>
      </c>
      <c r="E20" s="4">
        <f t="shared" si="2"/>
        <v>20639222.699999999</v>
      </c>
      <c r="F20" s="4">
        <f t="shared" si="2"/>
        <v>33336841.600000001</v>
      </c>
      <c r="G20" s="4">
        <f t="shared" si="2"/>
        <v>82402116.089062497</v>
      </c>
      <c r="H20" s="4">
        <f t="shared" si="2"/>
        <v>32700757</v>
      </c>
      <c r="I20" s="4">
        <f t="shared" si="2"/>
        <v>66505138</v>
      </c>
      <c r="J20" s="4">
        <f t="shared" si="2"/>
        <v>7789044.7999999998</v>
      </c>
    </row>
    <row r="21" spans="2:10" ht="13" x14ac:dyDescent="0.3">
      <c r="B21" s="2" t="s">
        <v>17</v>
      </c>
      <c r="C21" s="4">
        <f t="shared" si="1"/>
        <v>1432618.2506969001</v>
      </c>
      <c r="D21" s="4">
        <f t="shared" ref="D21:J25" si="3">D9*$B$3</f>
        <v>635195.49560840009</v>
      </c>
      <c r="E21" s="4">
        <f t="shared" si="3"/>
        <v>311410.63476730004</v>
      </c>
      <c r="F21" s="4">
        <f t="shared" si="3"/>
        <v>718818.22831779998</v>
      </c>
      <c r="G21" s="4">
        <f t="shared" si="3"/>
        <v>478860.38476730004</v>
      </c>
      <c r="H21" s="4">
        <f t="shared" si="3"/>
        <v>521745.30307649996</v>
      </c>
      <c r="I21" s="4">
        <f t="shared" si="3"/>
        <v>484774.48</v>
      </c>
      <c r="J21" s="4">
        <f t="shared" si="3"/>
        <v>267954.43476730003</v>
      </c>
    </row>
    <row r="22" spans="2:10" ht="13" x14ac:dyDescent="0.3">
      <c r="B22" s="2" t="s">
        <v>16</v>
      </c>
      <c r="C22" s="4">
        <f t="shared" si="1"/>
        <v>1350222.1847673</v>
      </c>
      <c r="D22" s="4">
        <f t="shared" si="3"/>
        <v>902504.08047210006</v>
      </c>
      <c r="E22" s="4">
        <f t="shared" si="3"/>
        <v>875026.70000000007</v>
      </c>
      <c r="F22" s="4">
        <f t="shared" si="3"/>
        <v>641089.5</v>
      </c>
      <c r="G22" s="4">
        <f t="shared" si="3"/>
        <v>0</v>
      </c>
      <c r="H22" s="4">
        <f t="shared" si="3"/>
        <v>214442.88261969999</v>
      </c>
      <c r="I22" s="4">
        <f t="shared" si="3"/>
        <v>1635892.1</v>
      </c>
      <c r="J22" s="4">
        <f t="shared" si="3"/>
        <v>283367.78476730001</v>
      </c>
    </row>
    <row r="23" spans="2:10" ht="13" x14ac:dyDescent="0.3">
      <c r="B23" s="2" t="s">
        <v>15</v>
      </c>
      <c r="C23" s="4">
        <f t="shared" si="1"/>
        <v>112633.834134</v>
      </c>
      <c r="D23" s="4">
        <f t="shared" si="3"/>
        <v>214291.32619430003</v>
      </c>
      <c r="E23" s="4">
        <f t="shared" si="3"/>
        <v>0</v>
      </c>
      <c r="F23" s="4">
        <f t="shared" si="3"/>
        <v>297317.92493640003</v>
      </c>
      <c r="G23" s="4">
        <f t="shared" si="3"/>
        <v>563566.55213889992</v>
      </c>
      <c r="H23" s="4">
        <f t="shared" si="3"/>
        <v>314611.90000000002</v>
      </c>
      <c r="I23" s="4">
        <f t="shared" si="3"/>
        <v>117774.61</v>
      </c>
      <c r="J23" s="4">
        <f t="shared" si="3"/>
        <v>38574.244021800005</v>
      </c>
    </row>
    <row r="24" spans="2:10" ht="13" x14ac:dyDescent="0.3">
      <c r="B24" s="2" t="s">
        <v>14</v>
      </c>
      <c r="C24" s="4">
        <f t="shared" si="1"/>
        <v>0</v>
      </c>
      <c r="D24" s="4">
        <f t="shared" si="3"/>
        <v>0</v>
      </c>
      <c r="E24" s="4">
        <f t="shared" si="3"/>
        <v>114798.46999999999</v>
      </c>
      <c r="F24" s="4">
        <f t="shared" si="3"/>
        <v>0</v>
      </c>
      <c r="G24" s="4">
        <f t="shared" si="3"/>
        <v>408928.47</v>
      </c>
      <c r="H24" s="4">
        <f t="shared" si="3"/>
        <v>438985.33999999997</v>
      </c>
      <c r="I24" s="4">
        <f t="shared" si="3"/>
        <v>0</v>
      </c>
      <c r="J24" s="4">
        <f t="shared" si="3"/>
        <v>0</v>
      </c>
    </row>
    <row r="25" spans="2:10" ht="13" x14ac:dyDescent="0.3">
      <c r="B25" s="2" t="s">
        <v>23</v>
      </c>
      <c r="C25" s="4">
        <f t="shared" si="1"/>
        <v>0</v>
      </c>
      <c r="D25" s="4">
        <f t="shared" si="3"/>
        <v>0</v>
      </c>
      <c r="E25" s="4">
        <f t="shared" si="3"/>
        <v>0</v>
      </c>
      <c r="F25" s="4">
        <f t="shared" si="3"/>
        <v>157395.73000000001</v>
      </c>
      <c r="G25" s="4">
        <f t="shared" si="3"/>
        <v>1157778.0847672999</v>
      </c>
      <c r="H25" s="4">
        <f t="shared" si="3"/>
        <v>0</v>
      </c>
      <c r="I25" s="4">
        <f t="shared" si="3"/>
        <v>0</v>
      </c>
      <c r="J25" s="4">
        <f t="shared" si="3"/>
        <v>0</v>
      </c>
    </row>
    <row r="26" spans="2:10" ht="13" x14ac:dyDescent="0.3">
      <c r="C26" s="13">
        <f>SUM(C20:C25)</f>
        <v>49885394.969598196</v>
      </c>
      <c r="D26" s="13">
        <f t="shared" ref="D26:J26" si="4">SUM(D20:D25)</f>
        <v>22738360.702274803</v>
      </c>
      <c r="E26" s="13">
        <f t="shared" si="4"/>
        <v>21940458.504767299</v>
      </c>
      <c r="F26" s="13">
        <f t="shared" si="4"/>
        <v>35151462.983254194</v>
      </c>
      <c r="G26" s="13">
        <f t="shared" si="4"/>
        <v>85011249.580735981</v>
      </c>
      <c r="H26" s="13">
        <f t="shared" si="4"/>
        <v>34190542.425696202</v>
      </c>
      <c r="I26" s="13">
        <f t="shared" si="4"/>
        <v>68743579.189999998</v>
      </c>
      <c r="J26" s="13">
        <f t="shared" si="4"/>
        <v>8378941.2635564003</v>
      </c>
    </row>
    <row r="54" spans="2:10" ht="13" x14ac:dyDescent="0.3">
      <c r="B54" s="28" t="s">
        <v>40</v>
      </c>
    </row>
    <row r="55" spans="2:10" ht="13" x14ac:dyDescent="0.3">
      <c r="C55" s="11" t="s">
        <v>30</v>
      </c>
      <c r="D55" s="11" t="s">
        <v>31</v>
      </c>
      <c r="E55" s="11" t="s">
        <v>28</v>
      </c>
      <c r="F55" s="11" t="s">
        <v>11</v>
      </c>
      <c r="G55" s="11" t="s">
        <v>22</v>
      </c>
      <c r="H55" s="11" t="s">
        <v>9</v>
      </c>
      <c r="I55" s="11" t="s">
        <v>6</v>
      </c>
      <c r="J55" s="11" t="s">
        <v>3</v>
      </c>
    </row>
    <row r="56" spans="2:10" ht="13" x14ac:dyDescent="0.3">
      <c r="B56" s="11" t="s">
        <v>24</v>
      </c>
      <c r="C56" s="4">
        <f>C20/$C$15</f>
        <v>2.0505101279836415</v>
      </c>
      <c r="D56" s="4">
        <f>D20/$D$15</f>
        <v>4.0389550018379561</v>
      </c>
      <c r="E56" s="4">
        <f>E20/$E$15</f>
        <v>2.6798999544244033</v>
      </c>
      <c r="F56" s="4">
        <f>F20/$F$15</f>
        <v>1.9453205531442603</v>
      </c>
      <c r="G56" s="4">
        <f>G20/$G$15</f>
        <v>3.7663185542215962</v>
      </c>
      <c r="H56" s="4">
        <f>H20/$H$15</f>
        <v>1.7505608624337265</v>
      </c>
      <c r="I56" s="4">
        <f>I20/$I$15</f>
        <v>23.091500553805982</v>
      </c>
      <c r="J56" s="4">
        <f>J20/$J$15</f>
        <v>2.300061952782412</v>
      </c>
    </row>
    <row r="57" spans="2:10" ht="13" x14ac:dyDescent="0.3">
      <c r="B57" s="11" t="s">
        <v>17</v>
      </c>
      <c r="C57" s="4">
        <f t="shared" ref="C57:C62" si="5">C21/$C$15</f>
        <v>6.2515496702853571E-2</v>
      </c>
      <c r="D57" s="4">
        <f t="shared" ref="D57:D62" si="6">D21/$D$15</f>
        <v>0.12224725136276246</v>
      </c>
      <c r="E57" s="4">
        <f t="shared" ref="E57:E62" si="7">E21/$E$15</f>
        <v>4.0435115122826888E-2</v>
      </c>
      <c r="F57" s="4">
        <f t="shared" ref="F57:F62" si="8">F21/$F$15</f>
        <v>4.194554152128676E-2</v>
      </c>
      <c r="G57" s="4">
        <f t="shared" ref="G57:G62" si="9">G21/$G$15</f>
        <v>2.1887068410736659E-2</v>
      </c>
      <c r="H57" s="4">
        <f t="shared" ref="H57:H62" si="10">H21/$H$15</f>
        <v>2.7930451509863938E-2</v>
      </c>
      <c r="I57" s="4">
        <f t="shared" ref="I57:I62" si="11">I21/$I$15</f>
        <v>0.16832038110184822</v>
      </c>
      <c r="J57" s="4">
        <f t="shared" ref="J57:J62" si="12">J21/$J$15</f>
        <v>7.9125466127449112E-2</v>
      </c>
    </row>
    <row r="58" spans="2:10" ht="13" x14ac:dyDescent="0.3">
      <c r="B58" s="11" t="s">
        <v>16</v>
      </c>
      <c r="C58" s="4">
        <f t="shared" si="5"/>
        <v>5.8919960358510416E-2</v>
      </c>
      <c r="D58" s="4">
        <f t="shared" si="6"/>
        <v>0.17369242059205273</v>
      </c>
      <c r="E58" s="4">
        <f t="shared" si="7"/>
        <v>0.11361784537797233</v>
      </c>
      <c r="F58" s="4">
        <f t="shared" si="8"/>
        <v>3.7409800116006711E-2</v>
      </c>
      <c r="G58" s="4">
        <f t="shared" si="9"/>
        <v>0</v>
      </c>
      <c r="H58" s="4">
        <f t="shared" si="10"/>
        <v>1.1479713376100632E-2</v>
      </c>
      <c r="I58" s="4">
        <f t="shared" si="11"/>
        <v>0.56800428461808228</v>
      </c>
      <c r="J58" s="4">
        <f t="shared" si="12"/>
        <v>8.3676943338097415E-2</v>
      </c>
    </row>
    <row r="59" spans="2:10" ht="13" x14ac:dyDescent="0.3">
      <c r="B59" s="11" t="s">
        <v>15</v>
      </c>
      <c r="C59" s="4">
        <f t="shared" si="5"/>
        <v>4.9150288871501876E-3</v>
      </c>
      <c r="D59" s="4">
        <f t="shared" si="6"/>
        <v>4.1241674097582948E-2</v>
      </c>
      <c r="E59" s="4">
        <f t="shared" si="7"/>
        <v>0</v>
      </c>
      <c r="F59" s="4">
        <f t="shared" si="8"/>
        <v>1.7349534102144258E-2</v>
      </c>
      <c r="G59" s="4">
        <f t="shared" si="9"/>
        <v>2.5758697259246323E-2</v>
      </c>
      <c r="H59" s="4">
        <f t="shared" si="10"/>
        <v>1.684203454360134E-2</v>
      </c>
      <c r="I59" s="4">
        <f t="shared" si="11"/>
        <v>4.0892967879252937E-2</v>
      </c>
      <c r="J59" s="4">
        <f t="shared" si="12"/>
        <v>1.1390761423260348E-2</v>
      </c>
    </row>
    <row r="60" spans="2:10" ht="13" x14ac:dyDescent="0.3">
      <c r="B60" s="11" t="s">
        <v>14</v>
      </c>
      <c r="C60" s="4">
        <f t="shared" si="5"/>
        <v>0</v>
      </c>
      <c r="D60" s="4">
        <f t="shared" si="6"/>
        <v>0</v>
      </c>
      <c r="E60" s="4">
        <f t="shared" si="7"/>
        <v>1.4906007798490939E-2</v>
      </c>
      <c r="F60" s="4">
        <f t="shared" si="8"/>
        <v>0</v>
      </c>
      <c r="G60" s="4">
        <f t="shared" si="9"/>
        <v>1.8690720056822412E-2</v>
      </c>
      <c r="H60" s="4">
        <f t="shared" si="10"/>
        <v>2.3500084581716645E-2</v>
      </c>
      <c r="I60" s="4">
        <f t="shared" si="11"/>
        <v>0</v>
      </c>
      <c r="J60" s="4">
        <f t="shared" si="12"/>
        <v>0</v>
      </c>
    </row>
    <row r="61" spans="2:10" ht="13" x14ac:dyDescent="0.3">
      <c r="B61" s="11" t="s">
        <v>23</v>
      </c>
      <c r="C61" s="4">
        <f t="shared" si="5"/>
        <v>0</v>
      </c>
      <c r="D61" s="4">
        <f t="shared" si="6"/>
        <v>0</v>
      </c>
      <c r="E61" s="4">
        <f t="shared" si="7"/>
        <v>0</v>
      </c>
      <c r="F61" s="4">
        <f t="shared" si="8"/>
        <v>9.1845877968878935E-3</v>
      </c>
      <c r="G61" s="4">
        <f t="shared" si="9"/>
        <v>5.2918071638077963E-2</v>
      </c>
      <c r="H61" s="4">
        <f t="shared" si="10"/>
        <v>0</v>
      </c>
      <c r="I61" s="4">
        <f t="shared" si="11"/>
        <v>0</v>
      </c>
      <c r="J61" s="4">
        <f t="shared" si="12"/>
        <v>0</v>
      </c>
    </row>
    <row r="62" spans="2:10" x14ac:dyDescent="0.25">
      <c r="C62" s="4">
        <f t="shared" si="5"/>
        <v>2.1768606139321554</v>
      </c>
      <c r="D62" s="4">
        <f t="shared" si="6"/>
        <v>4.3761363478903545</v>
      </c>
      <c r="E62" s="4">
        <f t="shared" si="7"/>
        <v>2.8488589227236933</v>
      </c>
      <c r="F62" s="4">
        <f t="shared" si="8"/>
        <v>2.0512100166805856</v>
      </c>
      <c r="G62" s="4">
        <f t="shared" si="9"/>
        <v>3.8855731115864791</v>
      </c>
      <c r="H62" s="4">
        <f t="shared" si="10"/>
        <v>1.8303131464450091</v>
      </c>
      <c r="I62" s="4">
        <f t="shared" si="11"/>
        <v>23.868718187405168</v>
      </c>
      <c r="J62" s="4">
        <f t="shared" si="12"/>
        <v>2.4742551236712194</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BDEF-9559-4F6F-8043-7A303DB4D6D8}">
  <dimension ref="A1:J62"/>
  <sheetViews>
    <sheetView workbookViewId="0">
      <selection activeCell="B85" sqref="B85"/>
    </sheetView>
  </sheetViews>
  <sheetFormatPr defaultRowHeight="12.5" x14ac:dyDescent="0.25"/>
  <cols>
    <col min="2" max="2" width="31" customWidth="1"/>
    <col min="3" max="3" width="27.6328125" customWidth="1"/>
    <col min="4" max="4" width="14.1796875" bestFit="1" customWidth="1"/>
    <col min="5" max="5" width="29.08984375" customWidth="1"/>
    <col min="6" max="6" width="17.81640625" bestFit="1" customWidth="1"/>
    <col min="7" max="8" width="12" bestFit="1" customWidth="1"/>
    <col min="9" max="9" width="17.1796875" customWidth="1"/>
    <col min="10" max="10" width="15.81640625" bestFit="1" customWidth="1"/>
  </cols>
  <sheetData>
    <row r="1" spans="1:10" x14ac:dyDescent="0.25">
      <c r="A1" t="s">
        <v>44</v>
      </c>
    </row>
    <row r="2" spans="1:10" x14ac:dyDescent="0.25">
      <c r="B2" s="10" t="s">
        <v>42</v>
      </c>
      <c r="C2" s="1" t="s">
        <v>43</v>
      </c>
      <c r="E2" t="s">
        <v>47</v>
      </c>
      <c r="F2" s="1" t="s">
        <v>43</v>
      </c>
    </row>
    <row r="3" spans="1:10" x14ac:dyDescent="0.25">
      <c r="B3" s="1">
        <v>4</v>
      </c>
      <c r="C3" s="1">
        <v>8.4</v>
      </c>
      <c r="D3" s="1"/>
      <c r="E3" s="1">
        <v>0.9</v>
      </c>
      <c r="F3" s="1">
        <v>1.1000000000000001</v>
      </c>
    </row>
    <row r="6" spans="1:10" x14ac:dyDescent="0.25">
      <c r="B6" s="8" t="s">
        <v>32</v>
      </c>
      <c r="C6" s="1"/>
      <c r="D6" s="1"/>
      <c r="E6" s="1"/>
      <c r="F6" s="1"/>
      <c r="G6" s="1"/>
      <c r="H6" s="1"/>
      <c r="I6" s="1"/>
      <c r="J6" s="1"/>
    </row>
    <row r="7" spans="1:10" ht="13" x14ac:dyDescent="0.3">
      <c r="B7" s="1"/>
      <c r="C7" s="2" t="s">
        <v>30</v>
      </c>
      <c r="D7" s="2" t="s">
        <v>31</v>
      </c>
      <c r="E7" s="2" t="s">
        <v>28</v>
      </c>
      <c r="F7" s="2" t="s">
        <v>11</v>
      </c>
      <c r="G7" s="2" t="s">
        <v>22</v>
      </c>
      <c r="H7" s="2" t="s">
        <v>9</v>
      </c>
      <c r="I7" s="2" t="s">
        <v>6</v>
      </c>
      <c r="J7" s="2" t="s">
        <v>3</v>
      </c>
    </row>
    <row r="8" spans="1:10" ht="13" x14ac:dyDescent="0.3">
      <c r="B8" s="2" t="s">
        <v>24</v>
      </c>
      <c r="C8" s="4">
        <v>7013421</v>
      </c>
      <c r="D8" s="4">
        <v>3132294</v>
      </c>
      <c r="E8" s="4">
        <v>3080481</v>
      </c>
      <c r="F8" s="4">
        <v>4975648</v>
      </c>
      <c r="G8" s="4">
        <v>12298823.296875</v>
      </c>
      <c r="H8" s="4">
        <v>4880710</v>
      </c>
      <c r="I8" s="4">
        <v>9926140</v>
      </c>
      <c r="J8" s="4">
        <v>1162544</v>
      </c>
    </row>
    <row r="9" spans="1:10" ht="13" x14ac:dyDescent="0.3">
      <c r="B9" s="2" t="s">
        <v>17</v>
      </c>
      <c r="C9" s="4">
        <v>213823.619507</v>
      </c>
      <c r="D9" s="4">
        <v>94805.297852000003</v>
      </c>
      <c r="E9" s="4">
        <v>46479.199219000002</v>
      </c>
      <c r="F9" s="4">
        <v>107286.302734</v>
      </c>
      <c r="G9" s="4">
        <v>71471.699219000002</v>
      </c>
      <c r="H9" s="4">
        <v>77872.433294999995</v>
      </c>
      <c r="I9" s="4">
        <v>72354.399999999994</v>
      </c>
      <c r="J9" s="4">
        <v>39993.199219000002</v>
      </c>
    </row>
    <row r="10" spans="1:10" ht="13" x14ac:dyDescent="0.3">
      <c r="B10" s="2" t="s">
        <v>16</v>
      </c>
      <c r="C10" s="4">
        <v>201525.699219</v>
      </c>
      <c r="D10" s="4">
        <v>134702.101563</v>
      </c>
      <c r="E10" s="4">
        <v>130601</v>
      </c>
      <c r="F10" s="4">
        <v>95685</v>
      </c>
      <c r="G10" s="4">
        <v>0</v>
      </c>
      <c r="H10" s="4">
        <v>32006.400390999999</v>
      </c>
      <c r="I10" s="4">
        <v>244163</v>
      </c>
      <c r="J10" s="4">
        <v>42293.699219000002</v>
      </c>
    </row>
    <row r="11" spans="1:10" ht="13" x14ac:dyDescent="0.3">
      <c r="B11" s="2" t="s">
        <v>15</v>
      </c>
      <c r="C11" s="4">
        <v>16811.02002</v>
      </c>
      <c r="D11" s="4">
        <v>31983.780029000001</v>
      </c>
      <c r="E11" s="4">
        <v>0</v>
      </c>
      <c r="F11" s="4">
        <v>44375.809692000003</v>
      </c>
      <c r="G11" s="4">
        <v>84114.410766999994</v>
      </c>
      <c r="H11" s="4">
        <v>46957</v>
      </c>
      <c r="I11" s="4">
        <v>17578.3</v>
      </c>
      <c r="J11" s="4">
        <v>5757.3498540000001</v>
      </c>
    </row>
    <row r="12" spans="1:10" ht="13" x14ac:dyDescent="0.3">
      <c r="B12" s="2" t="s">
        <v>14</v>
      </c>
      <c r="C12" s="4">
        <v>0</v>
      </c>
      <c r="D12" s="4">
        <v>0</v>
      </c>
      <c r="E12" s="4">
        <v>17134.099999999999</v>
      </c>
      <c r="F12" s="4">
        <v>0</v>
      </c>
      <c r="G12" s="4">
        <v>61034.1</v>
      </c>
      <c r="H12" s="4">
        <v>65520.2</v>
      </c>
      <c r="I12" s="4">
        <v>0</v>
      </c>
      <c r="J12" s="4">
        <v>0</v>
      </c>
    </row>
    <row r="13" spans="1:10" ht="13" x14ac:dyDescent="0.3">
      <c r="B13" s="2" t="s">
        <v>23</v>
      </c>
      <c r="C13" s="4">
        <v>0</v>
      </c>
      <c r="D13" s="4">
        <v>0</v>
      </c>
      <c r="E13" s="4">
        <v>0</v>
      </c>
      <c r="F13" s="4">
        <v>23491.9</v>
      </c>
      <c r="G13" s="4">
        <v>172802.699219</v>
      </c>
      <c r="H13" s="4">
        <v>0</v>
      </c>
      <c r="I13" s="4">
        <v>0</v>
      </c>
      <c r="J13" s="4">
        <v>0</v>
      </c>
    </row>
    <row r="14" spans="1:10" x14ac:dyDescent="0.25">
      <c r="B14" s="16" t="s">
        <v>48</v>
      </c>
      <c r="C14" s="17">
        <v>763873.66666666663</v>
      </c>
      <c r="D14" s="17">
        <v>173199.66666666666</v>
      </c>
      <c r="E14" s="17">
        <v>256716.33333333334</v>
      </c>
      <c r="F14" s="17">
        <v>571231.33333333337</v>
      </c>
      <c r="G14" s="17">
        <v>729289.66666666663</v>
      </c>
      <c r="H14" s="17">
        <v>622672</v>
      </c>
      <c r="I14" s="17">
        <v>96002.333333333328</v>
      </c>
      <c r="J14" s="17">
        <v>112881.66666666667</v>
      </c>
    </row>
    <row r="15" spans="1:10" x14ac:dyDescent="0.25">
      <c r="B15" s="15" t="s">
        <v>34</v>
      </c>
      <c r="C15" s="14">
        <f>C14*30</f>
        <v>22916210</v>
      </c>
      <c r="D15" s="14">
        <f t="shared" ref="D15:J15" si="0">D14*30</f>
        <v>5195990</v>
      </c>
      <c r="E15" s="14">
        <f t="shared" si="0"/>
        <v>7701490</v>
      </c>
      <c r="F15" s="14">
        <f t="shared" si="0"/>
        <v>17136940</v>
      </c>
      <c r="G15" s="14">
        <f t="shared" si="0"/>
        <v>21878690</v>
      </c>
      <c r="H15" s="14">
        <f t="shared" si="0"/>
        <v>18680160</v>
      </c>
      <c r="I15" s="14">
        <f t="shared" si="0"/>
        <v>2880070</v>
      </c>
      <c r="J15" s="14">
        <f t="shared" si="0"/>
        <v>3386450</v>
      </c>
    </row>
    <row r="17" spans="1:10" x14ac:dyDescent="0.25">
      <c r="B17" s="10" t="s">
        <v>33</v>
      </c>
    </row>
    <row r="18" spans="1:10" x14ac:dyDescent="0.25">
      <c r="B18" s="1"/>
      <c r="C18" s="1"/>
      <c r="D18" s="1"/>
      <c r="E18" s="1"/>
      <c r="F18" s="1"/>
      <c r="G18" s="1"/>
      <c r="H18" s="1"/>
      <c r="I18" s="1"/>
      <c r="J18" s="1"/>
    </row>
    <row r="19" spans="1:10" ht="13" x14ac:dyDescent="0.3">
      <c r="B19" s="1"/>
      <c r="C19" s="2" t="s">
        <v>30</v>
      </c>
      <c r="D19" s="2" t="s">
        <v>31</v>
      </c>
      <c r="E19" s="2" t="s">
        <v>28</v>
      </c>
      <c r="F19" s="2" t="s">
        <v>11</v>
      </c>
      <c r="G19" s="2" t="s">
        <v>22</v>
      </c>
      <c r="H19" s="2" t="s">
        <v>9</v>
      </c>
      <c r="I19" s="2" t="s">
        <v>6</v>
      </c>
      <c r="J19" s="2" t="s">
        <v>3</v>
      </c>
    </row>
    <row r="20" spans="1:10" ht="13" x14ac:dyDescent="0.3">
      <c r="A20" t="s">
        <v>45</v>
      </c>
      <c r="B20" s="2" t="s">
        <v>24</v>
      </c>
      <c r="C20" s="4">
        <f>C8*$F$3</f>
        <v>7714763.1000000006</v>
      </c>
      <c r="D20" s="4">
        <f t="shared" ref="D20:J20" si="1">D8*$F$3</f>
        <v>3445523.4000000004</v>
      </c>
      <c r="E20" s="4">
        <f t="shared" si="1"/>
        <v>3388529.1</v>
      </c>
      <c r="F20" s="4">
        <f t="shared" si="1"/>
        <v>5473212.8000000007</v>
      </c>
      <c r="G20" s="4">
        <f t="shared" si="1"/>
        <v>13528705.6265625</v>
      </c>
      <c r="H20" s="4">
        <f t="shared" si="1"/>
        <v>5368781</v>
      </c>
      <c r="I20" s="4">
        <f t="shared" si="1"/>
        <v>10918754</v>
      </c>
      <c r="J20" s="4">
        <f t="shared" si="1"/>
        <v>1278798.4000000001</v>
      </c>
    </row>
    <row r="21" spans="1:10" ht="13" x14ac:dyDescent="0.3">
      <c r="A21" t="s">
        <v>46</v>
      </c>
      <c r="B21" s="2" t="s">
        <v>17</v>
      </c>
      <c r="C21" s="4">
        <f>C9*$C$3</f>
        <v>1796118.4038588</v>
      </c>
      <c r="D21" s="4">
        <f t="shared" ref="D21:J21" si="2">D9*$C$3</f>
        <v>796364.50195680012</v>
      </c>
      <c r="E21" s="4">
        <f t="shared" si="2"/>
        <v>390425.27343960002</v>
      </c>
      <c r="F21" s="4">
        <f t="shared" si="2"/>
        <v>901204.94296560006</v>
      </c>
      <c r="G21" s="4">
        <f t="shared" si="2"/>
        <v>600362.27343960002</v>
      </c>
      <c r="H21" s="4">
        <f t="shared" si="2"/>
        <v>654128.43967799994</v>
      </c>
      <c r="I21" s="4">
        <f t="shared" si="2"/>
        <v>607776.96</v>
      </c>
      <c r="J21" s="4">
        <f t="shared" si="2"/>
        <v>335942.87343960005</v>
      </c>
    </row>
    <row r="22" spans="1:10" ht="13" x14ac:dyDescent="0.3">
      <c r="A22" t="s">
        <v>46</v>
      </c>
      <c r="B22" s="2" t="s">
        <v>16</v>
      </c>
      <c r="C22" s="4">
        <f>C10*$C$3</f>
        <v>1692815.8734396</v>
      </c>
      <c r="D22" s="4">
        <f t="shared" ref="D22:J22" si="3">D10*$C$3</f>
        <v>1131497.6531292</v>
      </c>
      <c r="E22" s="4">
        <f t="shared" si="3"/>
        <v>1097048.4000000001</v>
      </c>
      <c r="F22" s="4">
        <f t="shared" si="3"/>
        <v>803754</v>
      </c>
      <c r="G22" s="4">
        <f t="shared" si="3"/>
        <v>0</v>
      </c>
      <c r="H22" s="4">
        <f t="shared" si="3"/>
        <v>268853.76328439999</v>
      </c>
      <c r="I22" s="4">
        <f t="shared" si="3"/>
        <v>2050969.2000000002</v>
      </c>
      <c r="J22" s="4">
        <f t="shared" si="3"/>
        <v>355267.0734396</v>
      </c>
    </row>
    <row r="23" spans="1:10" ht="13" x14ac:dyDescent="0.3">
      <c r="A23" t="s">
        <v>45</v>
      </c>
      <c r="B23" s="2" t="s">
        <v>15</v>
      </c>
      <c r="C23" s="4">
        <f>C11*$F$3</f>
        <v>18492.122022000003</v>
      </c>
      <c r="D23" s="4">
        <f t="shared" ref="D23:J23" si="4">D11*$F$3</f>
        <v>35182.158031900006</v>
      </c>
      <c r="E23" s="4">
        <f t="shared" si="4"/>
        <v>0</v>
      </c>
      <c r="F23" s="4">
        <f t="shared" si="4"/>
        <v>48813.390661200006</v>
      </c>
      <c r="G23" s="4">
        <f t="shared" si="4"/>
        <v>92525.851843700002</v>
      </c>
      <c r="H23" s="4">
        <f t="shared" si="4"/>
        <v>51652.700000000004</v>
      </c>
      <c r="I23" s="4">
        <f t="shared" si="4"/>
        <v>19336.13</v>
      </c>
      <c r="J23" s="4">
        <f t="shared" si="4"/>
        <v>6333.0848394000004</v>
      </c>
    </row>
    <row r="24" spans="1:10" ht="13" x14ac:dyDescent="0.3">
      <c r="A24" t="s">
        <v>45</v>
      </c>
      <c r="B24" s="2" t="s">
        <v>14</v>
      </c>
      <c r="C24" s="4">
        <f>C12*$F$3</f>
        <v>0</v>
      </c>
      <c r="D24" s="4">
        <f t="shared" ref="D24:J24" si="5">D12*$F$3</f>
        <v>0</v>
      </c>
      <c r="E24" s="4">
        <f t="shared" si="5"/>
        <v>18847.509999999998</v>
      </c>
      <c r="F24" s="4">
        <f t="shared" si="5"/>
        <v>0</v>
      </c>
      <c r="G24" s="4">
        <f t="shared" si="5"/>
        <v>67137.510000000009</v>
      </c>
      <c r="H24" s="4">
        <f t="shared" si="5"/>
        <v>72072.22</v>
      </c>
      <c r="I24" s="4">
        <f t="shared" si="5"/>
        <v>0</v>
      </c>
      <c r="J24" s="4">
        <f t="shared" si="5"/>
        <v>0</v>
      </c>
    </row>
    <row r="25" spans="1:10" ht="13" x14ac:dyDescent="0.3">
      <c r="A25" t="s">
        <v>46</v>
      </c>
      <c r="B25" s="2" t="s">
        <v>23</v>
      </c>
      <c r="C25" s="4">
        <f>C13*$C$3</f>
        <v>0</v>
      </c>
      <c r="D25" s="4">
        <f t="shared" ref="D25:J25" si="6">D13*$C$3</f>
        <v>0</v>
      </c>
      <c r="E25" s="4">
        <f t="shared" si="6"/>
        <v>0</v>
      </c>
      <c r="F25" s="4">
        <f t="shared" si="6"/>
        <v>197331.96000000002</v>
      </c>
      <c r="G25" s="4">
        <f t="shared" si="6"/>
        <v>1451542.6734396</v>
      </c>
      <c r="H25" s="4">
        <f t="shared" si="6"/>
        <v>0</v>
      </c>
      <c r="I25" s="4">
        <f t="shared" si="6"/>
        <v>0</v>
      </c>
      <c r="J25" s="4">
        <f t="shared" si="6"/>
        <v>0</v>
      </c>
    </row>
    <row r="26" spans="1:10" ht="13" x14ac:dyDescent="0.3">
      <c r="C26" s="13">
        <f>SUM(C20:C25)</f>
        <v>11222189.499320401</v>
      </c>
      <c r="D26" s="13">
        <f t="shared" ref="D26:J26" si="7">SUM(D20:D25)</f>
        <v>5408567.7131179003</v>
      </c>
      <c r="E26" s="13">
        <f t="shared" si="7"/>
        <v>4894850.2834395999</v>
      </c>
      <c r="F26" s="13">
        <f t="shared" si="7"/>
        <v>7424317.0936268</v>
      </c>
      <c r="G26" s="13">
        <f t="shared" si="7"/>
        <v>15740273.935285399</v>
      </c>
      <c r="H26" s="13">
        <f t="shared" si="7"/>
        <v>6415488.1229624003</v>
      </c>
      <c r="I26" s="13">
        <f t="shared" si="7"/>
        <v>13596836.290000001</v>
      </c>
      <c r="J26" s="13">
        <f t="shared" si="7"/>
        <v>1976341.4317186</v>
      </c>
    </row>
    <row r="54" spans="2:10" ht="13" x14ac:dyDescent="0.3">
      <c r="B54" s="28" t="s">
        <v>40</v>
      </c>
    </row>
    <row r="55" spans="2:10" ht="13" x14ac:dyDescent="0.3">
      <c r="C55" s="11" t="s">
        <v>30</v>
      </c>
      <c r="D55" s="11" t="s">
        <v>31</v>
      </c>
      <c r="E55" s="11" t="s">
        <v>28</v>
      </c>
      <c r="F55" s="11" t="s">
        <v>11</v>
      </c>
      <c r="G55" s="11" t="s">
        <v>22</v>
      </c>
      <c r="H55" s="11" t="s">
        <v>9</v>
      </c>
      <c r="I55" s="11" t="s">
        <v>6</v>
      </c>
      <c r="J55" s="11" t="s">
        <v>3</v>
      </c>
    </row>
    <row r="56" spans="2:10" ht="13" x14ac:dyDescent="0.3">
      <c r="B56" s="11" t="s">
        <v>24</v>
      </c>
      <c r="C56" s="4">
        <f>C20/$C$15</f>
        <v>0.3366509165346277</v>
      </c>
      <c r="D56" s="4">
        <f>D20/$D$15</f>
        <v>0.66311201522712715</v>
      </c>
      <c r="E56" s="4">
        <f>E20/$E$15</f>
        <v>0.43998357460699167</v>
      </c>
      <c r="F56" s="4">
        <f>F20/$F$15</f>
        <v>0.31938098633711742</v>
      </c>
      <c r="G56" s="4">
        <f>G20/$G$15</f>
        <v>0.61835080740951587</v>
      </c>
      <c r="H56" s="4">
        <f>H20/$H$15</f>
        <v>0.28740551472792525</v>
      </c>
      <c r="I56" s="4">
        <f>I20/$I$15</f>
        <v>3.7911418819681466</v>
      </c>
      <c r="J56" s="4">
        <f>J20/$J$15</f>
        <v>0.37762211165084386</v>
      </c>
    </row>
    <row r="57" spans="2:10" ht="13" x14ac:dyDescent="0.3">
      <c r="B57" s="11" t="s">
        <v>17</v>
      </c>
      <c r="C57" s="4">
        <f t="shared" ref="C57:C62" si="8">C21/$C$15</f>
        <v>7.8377637657308957E-2</v>
      </c>
      <c r="D57" s="4">
        <f t="shared" ref="D57:D62" si="9">D21/$D$15</f>
        <v>0.15326521066376189</v>
      </c>
      <c r="E57" s="4">
        <f t="shared" ref="E57:E62" si="10">E21/$E$15</f>
        <v>5.0694771198768029E-2</v>
      </c>
      <c r="F57" s="4">
        <f t="shared" ref="F57:F62" si="11">F21/$F$15</f>
        <v>5.2588440116240129E-2</v>
      </c>
      <c r="G57" s="4">
        <f t="shared" ref="G57:G62" si="12">G21/$G$15</f>
        <v>2.7440503679132526E-2</v>
      </c>
      <c r="H57" s="4">
        <f t="shared" ref="H57:H62" si="13">H21/$H$15</f>
        <v>3.5017282489978672E-2</v>
      </c>
      <c r="I57" s="4">
        <f t="shared" ref="I57:I62" si="14">I21/$I$15</f>
        <v>0.21102853750082462</v>
      </c>
      <c r="J57" s="4">
        <f t="shared" ref="J57:J62" si="15">J21/$J$15</f>
        <v>9.9202076935906353E-2</v>
      </c>
    </row>
    <row r="58" spans="2:10" ht="13" x14ac:dyDescent="0.3">
      <c r="B58" s="11" t="s">
        <v>16</v>
      </c>
      <c r="C58" s="4">
        <f t="shared" si="8"/>
        <v>7.3869801046490671E-2</v>
      </c>
      <c r="D58" s="4">
        <f t="shared" si="9"/>
        <v>0.21776363178705116</v>
      </c>
      <c r="E58" s="4">
        <f t="shared" si="10"/>
        <v>0.14244625390671159</v>
      </c>
      <c r="F58" s="4">
        <f t="shared" si="11"/>
        <v>4.6901838951411395E-2</v>
      </c>
      <c r="G58" s="4">
        <f t="shared" si="12"/>
        <v>0</v>
      </c>
      <c r="H58" s="4">
        <f t="shared" si="13"/>
        <v>1.4392476471529152E-2</v>
      </c>
      <c r="I58" s="4">
        <f t="shared" si="14"/>
        <v>0.71212477474505831</v>
      </c>
      <c r="J58" s="4">
        <f t="shared" si="15"/>
        <v>0.10490840657313706</v>
      </c>
    </row>
    <row r="59" spans="2:10" ht="13" x14ac:dyDescent="0.3">
      <c r="B59" s="11" t="s">
        <v>15</v>
      </c>
      <c r="C59" s="4">
        <f t="shared" si="8"/>
        <v>8.069450411739115E-4</v>
      </c>
      <c r="D59" s="4">
        <f t="shared" si="9"/>
        <v>6.7710211204986938E-3</v>
      </c>
      <c r="E59" s="4">
        <f t="shared" si="10"/>
        <v>0</v>
      </c>
      <c r="F59" s="4">
        <f t="shared" si="11"/>
        <v>2.8484309719938334E-3</v>
      </c>
      <c r="G59" s="4">
        <f t="shared" si="12"/>
        <v>4.2290398485329787E-3</v>
      </c>
      <c r="H59" s="4">
        <f t="shared" si="13"/>
        <v>2.7651101489494737E-3</v>
      </c>
      <c r="I59" s="4">
        <f t="shared" si="14"/>
        <v>6.7137708458474971E-3</v>
      </c>
      <c r="J59" s="4">
        <f t="shared" si="15"/>
        <v>1.8701250097890123E-3</v>
      </c>
    </row>
    <row r="60" spans="2:10" ht="13" x14ac:dyDescent="0.3">
      <c r="B60" s="11" t="s">
        <v>14</v>
      </c>
      <c r="C60" s="4">
        <f t="shared" si="8"/>
        <v>0</v>
      </c>
      <c r="D60" s="4">
        <f t="shared" si="9"/>
        <v>0</v>
      </c>
      <c r="E60" s="4">
        <f t="shared" si="10"/>
        <v>2.4472550116925425E-3</v>
      </c>
      <c r="F60" s="4">
        <f t="shared" si="11"/>
        <v>0</v>
      </c>
      <c r="G60" s="4">
        <f t="shared" si="12"/>
        <v>3.0686256809708446E-3</v>
      </c>
      <c r="H60" s="4">
        <f t="shared" si="13"/>
        <v>3.8582228417743747E-3</v>
      </c>
      <c r="I60" s="4">
        <f t="shared" si="14"/>
        <v>0</v>
      </c>
      <c r="J60" s="4">
        <f t="shared" si="15"/>
        <v>0</v>
      </c>
    </row>
    <row r="61" spans="2:10" ht="13" x14ac:dyDescent="0.3">
      <c r="B61" s="11" t="s">
        <v>23</v>
      </c>
      <c r="C61" s="4">
        <f t="shared" si="8"/>
        <v>0</v>
      </c>
      <c r="D61" s="4">
        <f t="shared" si="9"/>
        <v>0</v>
      </c>
      <c r="E61" s="4">
        <f t="shared" si="10"/>
        <v>0</v>
      </c>
      <c r="F61" s="4">
        <f t="shared" si="11"/>
        <v>1.1515005596098254E-2</v>
      </c>
      <c r="G61" s="4">
        <f t="shared" si="12"/>
        <v>6.6345045038784314E-2</v>
      </c>
      <c r="H61" s="4">
        <f t="shared" si="13"/>
        <v>0</v>
      </c>
      <c r="I61" s="4">
        <f t="shared" si="14"/>
        <v>0</v>
      </c>
      <c r="J61" s="4">
        <f t="shared" si="15"/>
        <v>0</v>
      </c>
    </row>
    <row r="62" spans="2:10" x14ac:dyDescent="0.25">
      <c r="C62" s="4">
        <f t="shared" si="8"/>
        <v>0.48970530027960124</v>
      </c>
      <c r="D62" s="4">
        <f t="shared" si="9"/>
        <v>1.0409118787984388</v>
      </c>
      <c r="E62" s="4">
        <f t="shared" si="10"/>
        <v>0.63557185472416378</v>
      </c>
      <c r="F62" s="4">
        <f t="shared" si="11"/>
        <v>0.43323470197286096</v>
      </c>
      <c r="G62" s="4">
        <f t="shared" si="12"/>
        <v>0.71943402165693648</v>
      </c>
      <c r="H62" s="4">
        <f t="shared" si="13"/>
        <v>0.34343860668015691</v>
      </c>
      <c r="I62" s="4">
        <f t="shared" si="14"/>
        <v>4.7210089650598777</v>
      </c>
      <c r="J62" s="4">
        <f t="shared" si="15"/>
        <v>0.58360272016967618</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0208-28FD-4D3D-AF71-B2466B6C08B8}">
  <dimension ref="B3:N88"/>
  <sheetViews>
    <sheetView topLeftCell="A16" workbookViewId="0">
      <selection activeCell="J19" sqref="J19"/>
    </sheetView>
  </sheetViews>
  <sheetFormatPr defaultRowHeight="12.5" x14ac:dyDescent="0.25"/>
  <cols>
    <col min="2" max="2" width="42.36328125" customWidth="1"/>
    <col min="3" max="3" width="24.453125" bestFit="1" customWidth="1"/>
    <col min="4" max="4" width="14" bestFit="1" customWidth="1"/>
    <col min="5" max="5" width="15.1796875" bestFit="1" customWidth="1"/>
    <col min="6" max="6" width="19.36328125" bestFit="1" customWidth="1"/>
    <col min="7" max="7" width="13.6328125" bestFit="1" customWidth="1"/>
    <col min="8" max="8" width="14.453125" customWidth="1"/>
    <col min="9" max="9" width="15.36328125" bestFit="1" customWidth="1"/>
    <col min="10" max="10" width="17" bestFit="1" customWidth="1"/>
    <col min="11" max="11" width="16.81640625" customWidth="1"/>
    <col min="12" max="12" width="25.6328125" customWidth="1"/>
  </cols>
  <sheetData>
    <row r="3" spans="2:11" ht="13" x14ac:dyDescent="0.3">
      <c r="B3" s="8"/>
      <c r="E3" s="91" t="s">
        <v>83</v>
      </c>
      <c r="F3" s="91"/>
    </row>
    <row r="4" spans="2:11" ht="13" x14ac:dyDescent="0.3">
      <c r="B4" s="20" t="s">
        <v>75</v>
      </c>
      <c r="C4" s="20" t="s">
        <v>30</v>
      </c>
      <c r="D4" s="20" t="s">
        <v>31</v>
      </c>
      <c r="E4" s="20" t="s">
        <v>28</v>
      </c>
      <c r="F4" s="20" t="s">
        <v>11</v>
      </c>
      <c r="G4" s="20" t="s">
        <v>22</v>
      </c>
      <c r="H4" s="20" t="s">
        <v>9</v>
      </c>
      <c r="I4" s="20" t="s">
        <v>6</v>
      </c>
      <c r="J4" s="20" t="s">
        <v>3</v>
      </c>
      <c r="K4" s="2"/>
    </row>
    <row r="5" spans="2:11" ht="13" x14ac:dyDescent="0.3">
      <c r="B5" s="20" t="s">
        <v>24</v>
      </c>
      <c r="C5" s="23">
        <v>7013421</v>
      </c>
      <c r="D5" s="23">
        <v>3132294</v>
      </c>
      <c r="E5" s="23">
        <v>3080481</v>
      </c>
      <c r="F5" s="23">
        <v>4975648</v>
      </c>
      <c r="G5" s="23">
        <v>12298823.296875</v>
      </c>
      <c r="H5" s="23">
        <v>4880710</v>
      </c>
      <c r="I5" s="23">
        <v>9926140</v>
      </c>
      <c r="J5" s="23">
        <v>1162544</v>
      </c>
      <c r="K5" s="4"/>
    </row>
    <row r="6" spans="2:11" ht="13" x14ac:dyDescent="0.3">
      <c r="B6" s="20" t="s">
        <v>17</v>
      </c>
      <c r="C6" s="23">
        <v>213823.619507</v>
      </c>
      <c r="D6" s="23">
        <v>94805.297852000003</v>
      </c>
      <c r="E6" s="23">
        <v>46479.199219000002</v>
      </c>
      <c r="F6" s="23">
        <v>107286.302734</v>
      </c>
      <c r="G6" s="23">
        <v>71471.699219000002</v>
      </c>
      <c r="H6" s="23">
        <v>77872.433294999995</v>
      </c>
      <c r="I6" s="23">
        <v>72354.399999999994</v>
      </c>
      <c r="J6" s="23">
        <v>39993.199219000002</v>
      </c>
      <c r="K6" s="4"/>
    </row>
    <row r="7" spans="2:11" ht="13" x14ac:dyDescent="0.3">
      <c r="B7" s="20" t="s">
        <v>16</v>
      </c>
      <c r="C7" s="23">
        <v>201525.699219</v>
      </c>
      <c r="D7" s="23">
        <v>134702.101563</v>
      </c>
      <c r="E7" s="23">
        <v>130601</v>
      </c>
      <c r="F7" s="23">
        <v>95685</v>
      </c>
      <c r="G7" s="23">
        <v>0</v>
      </c>
      <c r="H7" s="23">
        <v>32006.400390999999</v>
      </c>
      <c r="I7" s="23">
        <v>244163</v>
      </c>
      <c r="J7" s="23">
        <v>42293.699219000002</v>
      </c>
      <c r="K7" s="4"/>
    </row>
    <row r="8" spans="2:11" ht="13" x14ac:dyDescent="0.3">
      <c r="B8" s="20" t="s">
        <v>15</v>
      </c>
      <c r="C8" s="23">
        <v>16811.02002</v>
      </c>
      <c r="D8" s="23">
        <v>31983.780029000001</v>
      </c>
      <c r="E8" s="23">
        <v>0</v>
      </c>
      <c r="F8" s="23">
        <v>44375.809692000003</v>
      </c>
      <c r="G8" s="23">
        <v>84114.410766999994</v>
      </c>
      <c r="H8" s="23">
        <v>46957</v>
      </c>
      <c r="I8" s="23">
        <v>17578.3</v>
      </c>
      <c r="J8" s="23">
        <v>5757.3498540000001</v>
      </c>
      <c r="K8" s="4"/>
    </row>
    <row r="9" spans="2:11" ht="13" x14ac:dyDescent="0.3">
      <c r="B9" s="20" t="s">
        <v>14</v>
      </c>
      <c r="C9" s="23">
        <v>0</v>
      </c>
      <c r="D9" s="23">
        <v>0</v>
      </c>
      <c r="E9" s="23">
        <v>17134.099999999999</v>
      </c>
      <c r="F9" s="23">
        <v>0</v>
      </c>
      <c r="G9" s="23">
        <v>61034.1</v>
      </c>
      <c r="H9" s="23">
        <v>65520.2</v>
      </c>
      <c r="I9" s="23">
        <v>0</v>
      </c>
      <c r="J9" s="23">
        <v>0</v>
      </c>
      <c r="K9" s="4"/>
    </row>
    <row r="10" spans="2:11" ht="13" x14ac:dyDescent="0.3">
      <c r="B10" s="20" t="s">
        <v>23</v>
      </c>
      <c r="C10" s="23">
        <v>0</v>
      </c>
      <c r="D10" s="23">
        <v>0</v>
      </c>
      <c r="E10" s="23">
        <v>0</v>
      </c>
      <c r="F10" s="23">
        <v>23491.9</v>
      </c>
      <c r="G10" s="23">
        <v>172802.699219</v>
      </c>
      <c r="H10" s="23">
        <v>0</v>
      </c>
      <c r="I10" s="23">
        <v>0</v>
      </c>
      <c r="J10" s="23">
        <v>0</v>
      </c>
      <c r="K10" s="4"/>
    </row>
    <row r="11" spans="2:11" ht="13" x14ac:dyDescent="0.3">
      <c r="B11" s="2"/>
      <c r="C11" s="4"/>
      <c r="D11" s="4"/>
      <c r="E11" s="4"/>
      <c r="F11" s="4"/>
      <c r="G11" s="4"/>
      <c r="H11" s="4"/>
      <c r="I11" s="4"/>
      <c r="J11" s="4"/>
      <c r="K11" s="4"/>
    </row>
    <row r="12" spans="2:11" ht="13" x14ac:dyDescent="0.3">
      <c r="B12" s="2"/>
      <c r="C12" s="4"/>
      <c r="D12" s="4"/>
      <c r="E12" s="13" t="s">
        <v>88</v>
      </c>
      <c r="F12" s="4"/>
      <c r="G12" s="4"/>
      <c r="H12" s="4"/>
      <c r="I12" s="4"/>
      <c r="J12" s="4"/>
      <c r="K12" s="4"/>
    </row>
    <row r="13" spans="2:11" x14ac:dyDescent="0.25">
      <c r="B13" s="63" t="s">
        <v>48</v>
      </c>
      <c r="C13" s="62">
        <v>763873.66666666663</v>
      </c>
      <c r="D13" s="62">
        <v>173199.66666666666</v>
      </c>
      <c r="E13" s="62">
        <v>256716.33333333334</v>
      </c>
      <c r="F13" s="62">
        <v>571231.33333333337</v>
      </c>
      <c r="G13" s="62">
        <v>729289.66666666663</v>
      </c>
      <c r="H13" s="62">
        <v>622672</v>
      </c>
      <c r="I13" s="62">
        <v>96002.333333333328</v>
      </c>
      <c r="J13" s="62">
        <v>112881.66666666667</v>
      </c>
      <c r="K13" s="17"/>
    </row>
    <row r="14" spans="2:11" x14ac:dyDescent="0.25">
      <c r="B14" s="63" t="s">
        <v>34</v>
      </c>
      <c r="C14" s="62">
        <f>C13*30</f>
        <v>22916210</v>
      </c>
      <c r="D14" s="62">
        <f t="shared" ref="D14:J14" si="0">D13*30</f>
        <v>5195990</v>
      </c>
      <c r="E14" s="62">
        <f t="shared" si="0"/>
        <v>7701490</v>
      </c>
      <c r="F14" s="62">
        <f t="shared" si="0"/>
        <v>17136940</v>
      </c>
      <c r="G14" s="62">
        <f t="shared" si="0"/>
        <v>21878690</v>
      </c>
      <c r="H14" s="62">
        <f t="shared" si="0"/>
        <v>18680160</v>
      </c>
      <c r="I14" s="62">
        <f t="shared" si="0"/>
        <v>2880070</v>
      </c>
      <c r="J14" s="62">
        <f t="shared" si="0"/>
        <v>3386450</v>
      </c>
      <c r="K14" s="17"/>
    </row>
    <row r="15" spans="2:11" x14ac:dyDescent="0.25">
      <c r="B15" s="16"/>
      <c r="C15" s="17"/>
      <c r="D15" s="17"/>
      <c r="E15" s="17"/>
      <c r="F15" s="17"/>
      <c r="G15" s="17"/>
      <c r="H15" s="17"/>
      <c r="I15" s="17"/>
      <c r="J15" s="17"/>
      <c r="K15" s="17"/>
    </row>
    <row r="16" spans="2:11" ht="13" x14ac:dyDescent="0.3">
      <c r="B16" s="16"/>
      <c r="C16" s="17"/>
      <c r="D16" s="84" t="s">
        <v>95</v>
      </c>
      <c r="E16" s="84"/>
      <c r="F16" s="84"/>
      <c r="G16" s="17"/>
      <c r="H16" s="17"/>
      <c r="I16" s="17"/>
      <c r="J16" s="17"/>
      <c r="K16" s="17"/>
    </row>
    <row r="17" spans="2:14" x14ac:dyDescent="0.25">
      <c r="B17" s="92" t="s">
        <v>96</v>
      </c>
      <c r="C17" s="92"/>
      <c r="D17" s="92"/>
      <c r="E17" s="17"/>
      <c r="F17" s="92" t="s">
        <v>97</v>
      </c>
      <c r="G17" s="92"/>
      <c r="H17" s="92"/>
      <c r="I17" s="17"/>
      <c r="J17" s="17"/>
      <c r="K17" s="17"/>
    </row>
    <row r="18" spans="2:14" x14ac:dyDescent="0.25">
      <c r="B18" s="63" t="s">
        <v>70</v>
      </c>
      <c r="C18" s="62" t="s">
        <v>43</v>
      </c>
      <c r="D18" s="62" t="s">
        <v>73</v>
      </c>
      <c r="E18" s="17"/>
      <c r="F18" s="22" t="s">
        <v>70</v>
      </c>
      <c r="G18" s="21" t="s">
        <v>43</v>
      </c>
      <c r="H18" s="63" t="s">
        <v>73</v>
      </c>
      <c r="I18" s="17"/>
      <c r="J18" s="17"/>
      <c r="K18" s="17"/>
    </row>
    <row r="19" spans="2:14" x14ac:dyDescent="0.25">
      <c r="B19" s="21">
        <v>0.9</v>
      </c>
      <c r="C19" s="21">
        <v>1.1000000000000001</v>
      </c>
      <c r="D19" s="21">
        <v>1</v>
      </c>
      <c r="F19" s="21">
        <v>4</v>
      </c>
      <c r="G19" s="21">
        <v>8.4</v>
      </c>
      <c r="H19" s="21">
        <f>(F19+G19)/2</f>
        <v>6.2</v>
      </c>
    </row>
    <row r="20" spans="2:14" x14ac:dyDescent="0.25">
      <c r="B20" s="1"/>
      <c r="C20" s="1"/>
      <c r="D20" s="1"/>
      <c r="F20" s="1"/>
      <c r="G20" s="1"/>
      <c r="H20" s="1"/>
    </row>
    <row r="21" spans="2:14" x14ac:dyDescent="0.25">
      <c r="B21" s="1"/>
      <c r="C21" s="1"/>
    </row>
    <row r="22" spans="2:14" ht="13" x14ac:dyDescent="0.3">
      <c r="B22" s="67" t="s">
        <v>49</v>
      </c>
    </row>
    <row r="23" spans="2:14" x14ac:dyDescent="0.25">
      <c r="B23" s="10" t="s">
        <v>94</v>
      </c>
    </row>
    <row r="24" spans="2:14" ht="13" x14ac:dyDescent="0.3">
      <c r="E24" s="89" t="s">
        <v>93</v>
      </c>
      <c r="F24" s="89"/>
    </row>
    <row r="25" spans="2:14" ht="13" x14ac:dyDescent="0.3">
      <c r="B25" s="20" t="s">
        <v>75</v>
      </c>
      <c r="C25" s="20" t="s">
        <v>30</v>
      </c>
      <c r="D25" s="20" t="s">
        <v>31</v>
      </c>
      <c r="E25" s="20" t="s">
        <v>28</v>
      </c>
      <c r="F25" s="20" t="s">
        <v>11</v>
      </c>
      <c r="G25" s="20" t="s">
        <v>22</v>
      </c>
      <c r="H25" s="20" t="s">
        <v>9</v>
      </c>
      <c r="I25" s="20" t="s">
        <v>6</v>
      </c>
      <c r="J25" s="20" t="s">
        <v>3</v>
      </c>
      <c r="K25" s="2"/>
    </row>
    <row r="26" spans="2:14" ht="13" x14ac:dyDescent="0.3">
      <c r="B26" s="20" t="s">
        <v>24</v>
      </c>
      <c r="C26" s="23">
        <f t="shared" ref="C26:J31" si="1">C5*(($B$19+$C$19)/2)</f>
        <v>7013421</v>
      </c>
      <c r="D26" s="23">
        <f t="shared" si="1"/>
        <v>3132294</v>
      </c>
      <c r="E26" s="23">
        <f t="shared" si="1"/>
        <v>3080481</v>
      </c>
      <c r="F26" s="23">
        <f t="shared" si="1"/>
        <v>4975648</v>
      </c>
      <c r="G26" s="23">
        <f t="shared" si="1"/>
        <v>12298823.296875</v>
      </c>
      <c r="H26" s="23">
        <f t="shared" si="1"/>
        <v>4880710</v>
      </c>
      <c r="I26" s="23">
        <f t="shared" si="1"/>
        <v>9926140</v>
      </c>
      <c r="J26" s="23">
        <f t="shared" si="1"/>
        <v>1162544</v>
      </c>
      <c r="K26" s="4"/>
      <c r="L26" s="2"/>
      <c r="N26" s="13"/>
    </row>
    <row r="27" spans="2:14" ht="13" x14ac:dyDescent="0.3">
      <c r="B27" s="20" t="s">
        <v>17</v>
      </c>
      <c r="C27" s="23">
        <f t="shared" si="1"/>
        <v>213823.619507</v>
      </c>
      <c r="D27" s="23">
        <f t="shared" si="1"/>
        <v>94805.297852000003</v>
      </c>
      <c r="E27" s="23">
        <f t="shared" si="1"/>
        <v>46479.199219000002</v>
      </c>
      <c r="F27" s="23">
        <f t="shared" si="1"/>
        <v>107286.302734</v>
      </c>
      <c r="G27" s="23">
        <f t="shared" si="1"/>
        <v>71471.699219000002</v>
      </c>
      <c r="H27" s="23">
        <f t="shared" si="1"/>
        <v>77872.433294999995</v>
      </c>
      <c r="I27" s="23">
        <f t="shared" si="1"/>
        <v>72354.399999999994</v>
      </c>
      <c r="J27" s="23">
        <f t="shared" si="1"/>
        <v>39993.199219000002</v>
      </c>
      <c r="K27" s="4"/>
      <c r="L27" s="2"/>
      <c r="N27" s="13"/>
    </row>
    <row r="28" spans="2:14" ht="13" x14ac:dyDescent="0.3">
      <c r="B28" s="20" t="s">
        <v>16</v>
      </c>
      <c r="C28" s="23">
        <f t="shared" si="1"/>
        <v>201525.699219</v>
      </c>
      <c r="D28" s="23">
        <f t="shared" si="1"/>
        <v>134702.101563</v>
      </c>
      <c r="E28" s="23">
        <f t="shared" si="1"/>
        <v>130601</v>
      </c>
      <c r="F28" s="23">
        <f t="shared" si="1"/>
        <v>95685</v>
      </c>
      <c r="G28" s="23">
        <f t="shared" si="1"/>
        <v>0</v>
      </c>
      <c r="H28" s="23">
        <f t="shared" si="1"/>
        <v>32006.400390999999</v>
      </c>
      <c r="I28" s="23">
        <f t="shared" si="1"/>
        <v>244163</v>
      </c>
      <c r="J28" s="23">
        <f t="shared" si="1"/>
        <v>42293.699219000002</v>
      </c>
      <c r="K28" s="4"/>
      <c r="L28" s="2"/>
      <c r="N28" s="13"/>
    </row>
    <row r="29" spans="2:14" ht="13" x14ac:dyDescent="0.3">
      <c r="B29" s="20" t="s">
        <v>15</v>
      </c>
      <c r="C29" s="23">
        <f t="shared" si="1"/>
        <v>16811.02002</v>
      </c>
      <c r="D29" s="23">
        <f t="shared" si="1"/>
        <v>31983.780029000001</v>
      </c>
      <c r="E29" s="23">
        <f t="shared" si="1"/>
        <v>0</v>
      </c>
      <c r="F29" s="23">
        <f t="shared" si="1"/>
        <v>44375.809692000003</v>
      </c>
      <c r="G29" s="23">
        <f t="shared" si="1"/>
        <v>84114.410766999994</v>
      </c>
      <c r="H29" s="23">
        <f t="shared" si="1"/>
        <v>46957</v>
      </c>
      <c r="I29" s="23">
        <f t="shared" si="1"/>
        <v>17578.3</v>
      </c>
      <c r="J29" s="23">
        <f t="shared" si="1"/>
        <v>5757.3498540000001</v>
      </c>
      <c r="K29" s="4"/>
      <c r="L29" s="2"/>
      <c r="N29" s="13"/>
    </row>
    <row r="30" spans="2:14" ht="13" x14ac:dyDescent="0.3">
      <c r="B30" s="20" t="s">
        <v>14</v>
      </c>
      <c r="C30" s="23">
        <f t="shared" si="1"/>
        <v>0</v>
      </c>
      <c r="D30" s="23">
        <f t="shared" si="1"/>
        <v>0</v>
      </c>
      <c r="E30" s="23">
        <f t="shared" si="1"/>
        <v>17134.099999999999</v>
      </c>
      <c r="F30" s="23">
        <f t="shared" si="1"/>
        <v>0</v>
      </c>
      <c r="G30" s="23">
        <f t="shared" si="1"/>
        <v>61034.1</v>
      </c>
      <c r="H30" s="23">
        <f t="shared" si="1"/>
        <v>65520.2</v>
      </c>
      <c r="I30" s="23">
        <f t="shared" si="1"/>
        <v>0</v>
      </c>
      <c r="J30" s="23">
        <f t="shared" si="1"/>
        <v>0</v>
      </c>
      <c r="K30" s="4"/>
      <c r="L30" s="2"/>
      <c r="N30" s="13"/>
    </row>
    <row r="31" spans="2:14" ht="13" x14ac:dyDescent="0.3">
      <c r="B31" s="20" t="s">
        <v>23</v>
      </c>
      <c r="C31" s="23">
        <f t="shared" si="1"/>
        <v>0</v>
      </c>
      <c r="D31" s="23">
        <f t="shared" si="1"/>
        <v>0</v>
      </c>
      <c r="E31" s="23">
        <f t="shared" si="1"/>
        <v>0</v>
      </c>
      <c r="F31" s="23">
        <f t="shared" si="1"/>
        <v>23491.9</v>
      </c>
      <c r="G31" s="23">
        <f t="shared" si="1"/>
        <v>172802.699219</v>
      </c>
      <c r="H31" s="23">
        <f t="shared" si="1"/>
        <v>0</v>
      </c>
      <c r="I31" s="23">
        <f t="shared" si="1"/>
        <v>0</v>
      </c>
      <c r="J31" s="23">
        <f t="shared" si="1"/>
        <v>0</v>
      </c>
      <c r="K31" s="4"/>
      <c r="L31" s="2"/>
      <c r="N31" s="13"/>
    </row>
    <row r="32" spans="2:14" ht="13" x14ac:dyDescent="0.3">
      <c r="B32" s="46"/>
      <c r="C32" s="68">
        <f>SUM(C26:C31)</f>
        <v>7445581.3387459991</v>
      </c>
      <c r="D32" s="68">
        <f t="shared" ref="D32:J32" si="2">SUM(D26:D31)</f>
        <v>3393785.1794440001</v>
      </c>
      <c r="E32" s="68">
        <f t="shared" si="2"/>
        <v>3274695.2992190002</v>
      </c>
      <c r="F32" s="68">
        <f t="shared" si="2"/>
        <v>5246487.0124260001</v>
      </c>
      <c r="G32" s="68">
        <f t="shared" si="2"/>
        <v>12688246.206079999</v>
      </c>
      <c r="H32" s="68">
        <f t="shared" si="2"/>
        <v>5103066.0336860009</v>
      </c>
      <c r="I32" s="68">
        <f t="shared" si="2"/>
        <v>10260235.700000001</v>
      </c>
      <c r="J32" s="68">
        <f t="shared" si="2"/>
        <v>1250588.248292</v>
      </c>
      <c r="K32" s="13"/>
      <c r="L32" s="2"/>
      <c r="N32" s="13"/>
    </row>
    <row r="33" spans="2:14" ht="13" x14ac:dyDescent="0.3">
      <c r="L33" s="2"/>
      <c r="N33" s="13"/>
    </row>
    <row r="34" spans="2:14" ht="13" x14ac:dyDescent="0.3">
      <c r="E34" s="89" t="s">
        <v>58</v>
      </c>
      <c r="F34" s="89"/>
    </row>
    <row r="35" spans="2:14" ht="13" x14ac:dyDescent="0.3">
      <c r="B35" s="20" t="s">
        <v>75</v>
      </c>
      <c r="C35" s="20" t="s">
        <v>30</v>
      </c>
      <c r="D35" s="20" t="s">
        <v>31</v>
      </c>
      <c r="E35" s="20" t="s">
        <v>28</v>
      </c>
      <c r="F35" s="20" t="s">
        <v>11</v>
      </c>
      <c r="G35" s="20" t="s">
        <v>22</v>
      </c>
      <c r="H35" s="20" t="s">
        <v>9</v>
      </c>
      <c r="I35" s="20" t="s">
        <v>6</v>
      </c>
      <c r="J35" s="20" t="s">
        <v>3</v>
      </c>
    </row>
    <row r="36" spans="2:14" ht="13" x14ac:dyDescent="0.3">
      <c r="B36" s="20" t="s">
        <v>24</v>
      </c>
      <c r="C36" s="69">
        <f>C26/$C$14</f>
        <v>0.30604628775875242</v>
      </c>
      <c r="D36" s="69">
        <f>D26/$D$14</f>
        <v>0.60282910475193374</v>
      </c>
      <c r="E36" s="69">
        <f>E26/$E$14</f>
        <v>0.39998506782453785</v>
      </c>
      <c r="F36" s="69">
        <f>F26/$F$14</f>
        <v>0.29034635121556124</v>
      </c>
      <c r="G36" s="69">
        <f>G26/$G$14</f>
        <v>0.56213709764501441</v>
      </c>
      <c r="H36" s="69">
        <f>H26/$H$14</f>
        <v>0.26127774066175025</v>
      </c>
      <c r="I36" s="69">
        <f>I26/$I$14</f>
        <v>3.4464926199710422</v>
      </c>
      <c r="J36" s="69">
        <f>J26/$J$14</f>
        <v>0.34329282877349437</v>
      </c>
    </row>
    <row r="37" spans="2:14" ht="13" x14ac:dyDescent="0.3">
      <c r="B37" s="20" t="s">
        <v>17</v>
      </c>
      <c r="C37" s="69">
        <f t="shared" ref="C37:C41" si="3">C27/$C$14</f>
        <v>9.3306711496796372E-3</v>
      </c>
      <c r="D37" s="69">
        <f t="shared" ref="D37:D41" si="4">D27/$D$14</f>
        <v>1.8245858412352604E-2</v>
      </c>
      <c r="E37" s="69">
        <f t="shared" ref="E37:E41" si="5">E27/$E$14</f>
        <v>6.0350918093771471E-3</v>
      </c>
      <c r="F37" s="69">
        <f t="shared" ref="F37:F41" si="6">F27/$F$14</f>
        <v>6.2605285852666811E-3</v>
      </c>
      <c r="G37" s="69">
        <f t="shared" ref="G37:G41" si="7">G27/$G$14</f>
        <v>3.2667266284681579E-3</v>
      </c>
      <c r="H37" s="69">
        <f t="shared" ref="H37:H41" si="8">H27/$H$14</f>
        <v>4.1687241059498413E-3</v>
      </c>
      <c r="I37" s="69">
        <f t="shared" ref="I37:I41" si="9">I27/$I$14</f>
        <v>2.5122444940574359E-2</v>
      </c>
      <c r="J37" s="69">
        <f t="shared" ref="J37:J41" si="10">J27/$J$14</f>
        <v>1.1809771063798373E-2</v>
      </c>
    </row>
    <row r="38" spans="2:14" ht="13" x14ac:dyDescent="0.3">
      <c r="B38" s="20" t="s">
        <v>16</v>
      </c>
      <c r="C38" s="69">
        <f t="shared" si="3"/>
        <v>8.7940239341060319E-3</v>
      </c>
      <c r="D38" s="69">
        <f t="shared" si="4"/>
        <v>2.5924241879410854E-2</v>
      </c>
      <c r="E38" s="69">
        <f t="shared" si="5"/>
        <v>1.6957887369846613E-2</v>
      </c>
      <c r="F38" s="69">
        <f t="shared" si="6"/>
        <v>5.5835522561204038E-3</v>
      </c>
      <c r="G38" s="59">
        <f t="shared" si="7"/>
        <v>0</v>
      </c>
      <c r="H38" s="69">
        <f t="shared" si="8"/>
        <v>1.7133900561344228E-3</v>
      </c>
      <c r="I38" s="69">
        <f t="shared" si="9"/>
        <v>8.4776758898221227E-2</v>
      </c>
      <c r="J38" s="69">
        <f t="shared" si="10"/>
        <v>1.2489096020611556E-2</v>
      </c>
    </row>
    <row r="39" spans="2:14" ht="13" x14ac:dyDescent="0.3">
      <c r="B39" s="20" t="s">
        <v>15</v>
      </c>
      <c r="C39" s="69">
        <f t="shared" si="3"/>
        <v>7.335864010671922E-4</v>
      </c>
      <c r="D39" s="69">
        <f t="shared" si="4"/>
        <v>6.1554737459079021E-3</v>
      </c>
      <c r="E39" s="59">
        <f t="shared" si="5"/>
        <v>0</v>
      </c>
      <c r="F39" s="69">
        <f t="shared" si="6"/>
        <v>2.5894827018125757E-3</v>
      </c>
      <c r="G39" s="69">
        <f t="shared" si="7"/>
        <v>3.8445816804845261E-3</v>
      </c>
      <c r="H39" s="69">
        <f t="shared" si="8"/>
        <v>2.5137364990449763E-3</v>
      </c>
      <c r="I39" s="69">
        <f t="shared" si="9"/>
        <v>6.1034280416795419E-3</v>
      </c>
      <c r="J39" s="69">
        <f t="shared" si="10"/>
        <v>1.7001136452627383E-3</v>
      </c>
    </row>
    <row r="40" spans="2:14" ht="13" x14ac:dyDescent="0.3">
      <c r="B40" s="20" t="s">
        <v>14</v>
      </c>
      <c r="C40" s="59">
        <f t="shared" si="3"/>
        <v>0</v>
      </c>
      <c r="D40" s="59">
        <f t="shared" si="4"/>
        <v>0</v>
      </c>
      <c r="E40" s="69">
        <f t="shared" si="5"/>
        <v>2.2247772833568569E-3</v>
      </c>
      <c r="F40" s="59">
        <f t="shared" si="6"/>
        <v>0</v>
      </c>
      <c r="G40" s="69">
        <f t="shared" si="7"/>
        <v>2.7896597099734948E-3</v>
      </c>
      <c r="H40" s="69">
        <f t="shared" si="8"/>
        <v>3.5074753107039768E-3</v>
      </c>
      <c r="I40" s="59">
        <f t="shared" si="9"/>
        <v>0</v>
      </c>
      <c r="J40" s="59">
        <f t="shared" si="10"/>
        <v>0</v>
      </c>
    </row>
    <row r="41" spans="2:14" ht="13" x14ac:dyDescent="0.3">
      <c r="B41" s="20" t="s">
        <v>23</v>
      </c>
      <c r="C41" s="59">
        <f t="shared" si="3"/>
        <v>0</v>
      </c>
      <c r="D41" s="59">
        <f t="shared" si="4"/>
        <v>0</v>
      </c>
      <c r="E41" s="59">
        <f t="shared" si="5"/>
        <v>0</v>
      </c>
      <c r="F41" s="69">
        <f t="shared" si="6"/>
        <v>1.3708339995355064E-3</v>
      </c>
      <c r="G41" s="69">
        <f t="shared" si="7"/>
        <v>7.8982196474743239E-3</v>
      </c>
      <c r="H41" s="59">
        <f t="shared" si="8"/>
        <v>0</v>
      </c>
      <c r="I41" s="59">
        <f t="shared" si="9"/>
        <v>0</v>
      </c>
      <c r="J41" s="59">
        <f t="shared" si="10"/>
        <v>0</v>
      </c>
    </row>
    <row r="42" spans="2:14" ht="13" x14ac:dyDescent="0.3">
      <c r="B42" s="46"/>
      <c r="C42" s="70">
        <f>SUM(C36:C41)</f>
        <v>0.32490456924360528</v>
      </c>
      <c r="D42" s="70">
        <f t="shared" ref="D42:J42" si="11">SUM(D36:D41)</f>
        <v>0.65315467878960509</v>
      </c>
      <c r="E42" s="70">
        <f t="shared" si="11"/>
        <v>0.42520282428711847</v>
      </c>
      <c r="F42" s="70">
        <f t="shared" si="11"/>
        <v>0.3061507487582964</v>
      </c>
      <c r="G42" s="70">
        <f t="shared" si="11"/>
        <v>0.57993628531141483</v>
      </c>
      <c r="H42" s="70">
        <f t="shared" si="11"/>
        <v>0.27318106663358344</v>
      </c>
      <c r="I42" s="70">
        <f t="shared" si="11"/>
        <v>3.5624952518515172</v>
      </c>
      <c r="J42" s="70">
        <f t="shared" si="11"/>
        <v>0.36929180950316703</v>
      </c>
    </row>
    <row r="43" spans="2:14" ht="13" x14ac:dyDescent="0.3">
      <c r="C43" s="11"/>
      <c r="D43" s="11"/>
      <c r="E43" s="11"/>
      <c r="F43" s="11"/>
      <c r="G43" s="11"/>
      <c r="H43" s="11"/>
      <c r="I43" s="11"/>
      <c r="J43" s="11"/>
    </row>
    <row r="46" spans="2:14" ht="13" x14ac:dyDescent="0.3">
      <c r="B46" s="67" t="s">
        <v>101</v>
      </c>
      <c r="C46" s="66"/>
      <c r="D46" s="66"/>
      <c r="E46" s="66"/>
    </row>
    <row r="47" spans="2:14" s="3" customFormat="1" ht="13" x14ac:dyDescent="0.3">
      <c r="E47" s="84" t="s">
        <v>93</v>
      </c>
      <c r="F47" s="84"/>
    </row>
    <row r="48" spans="2:14" ht="13" x14ac:dyDescent="0.3">
      <c r="B48" s="46"/>
      <c r="C48" s="56" t="s">
        <v>30</v>
      </c>
      <c r="D48" s="56" t="s">
        <v>31</v>
      </c>
      <c r="E48" s="56" t="s">
        <v>28</v>
      </c>
      <c r="F48" s="56" t="s">
        <v>11</v>
      </c>
      <c r="G48" s="56" t="s">
        <v>22</v>
      </c>
      <c r="H48" s="56" t="s">
        <v>9</v>
      </c>
      <c r="I48" s="56" t="s">
        <v>6</v>
      </c>
      <c r="J48" s="56" t="s">
        <v>3</v>
      </c>
    </row>
    <row r="49" spans="2:10" ht="13" x14ac:dyDescent="0.3">
      <c r="B49" s="20" t="s">
        <v>24</v>
      </c>
      <c r="C49" s="21">
        <f t="shared" ref="C49:J49" si="12">C5*(($B$19+$C$19)/2)</f>
        <v>7013421</v>
      </c>
      <c r="D49" s="21">
        <f t="shared" si="12"/>
        <v>3132294</v>
      </c>
      <c r="E49" s="21">
        <f t="shared" si="12"/>
        <v>3080481</v>
      </c>
      <c r="F49" s="21">
        <f t="shared" si="12"/>
        <v>4975648</v>
      </c>
      <c r="G49" s="21">
        <f t="shared" si="12"/>
        <v>12298823.296875</v>
      </c>
      <c r="H49" s="21">
        <f t="shared" si="12"/>
        <v>4880710</v>
      </c>
      <c r="I49" s="21">
        <f t="shared" si="12"/>
        <v>9926140</v>
      </c>
      <c r="J49" s="21">
        <f t="shared" si="12"/>
        <v>1162544</v>
      </c>
    </row>
    <row r="50" spans="2:10" ht="13" x14ac:dyDescent="0.3">
      <c r="B50" s="72" t="s">
        <v>98</v>
      </c>
      <c r="C50" s="22">
        <f t="shared" ref="C50:J51" si="13">(C6*(($F$19+$G$19)/2))+C27</f>
        <v>1539530.0604504</v>
      </c>
      <c r="D50" s="22">
        <f t="shared" si="13"/>
        <v>682598.14453440008</v>
      </c>
      <c r="E50" s="22">
        <f t="shared" si="13"/>
        <v>334650.23437680001</v>
      </c>
      <c r="F50" s="22">
        <f t="shared" si="13"/>
        <v>772461.37968480005</v>
      </c>
      <c r="G50" s="22">
        <f t="shared" si="13"/>
        <v>514596.23437680001</v>
      </c>
      <c r="H50" s="22">
        <f t="shared" si="13"/>
        <v>560681.51972400001</v>
      </c>
      <c r="I50" s="22">
        <f t="shared" si="13"/>
        <v>520951.67999999993</v>
      </c>
      <c r="J50" s="22">
        <f t="shared" si="13"/>
        <v>287951.03437680006</v>
      </c>
    </row>
    <row r="51" spans="2:10" ht="13" x14ac:dyDescent="0.3">
      <c r="B51" s="72" t="s">
        <v>99</v>
      </c>
      <c r="C51" s="21">
        <f t="shared" si="13"/>
        <v>1450985.0343768001</v>
      </c>
      <c r="D51" s="21">
        <f t="shared" si="13"/>
        <v>969855.1312536</v>
      </c>
      <c r="E51" s="21">
        <f t="shared" si="13"/>
        <v>940327.20000000007</v>
      </c>
      <c r="F51" s="21">
        <f t="shared" si="13"/>
        <v>688932</v>
      </c>
      <c r="G51" s="21">
        <f t="shared" si="13"/>
        <v>0</v>
      </c>
      <c r="H51" s="21">
        <f t="shared" si="13"/>
        <v>230446.0828152</v>
      </c>
      <c r="I51" s="21">
        <f t="shared" si="13"/>
        <v>1757973.6</v>
      </c>
      <c r="J51" s="21">
        <f t="shared" si="13"/>
        <v>304514.63437680004</v>
      </c>
    </row>
    <row r="52" spans="2:10" ht="13" x14ac:dyDescent="0.3">
      <c r="B52" s="20" t="s">
        <v>15</v>
      </c>
      <c r="C52" s="21">
        <f t="shared" ref="C52:J53" si="14">C8*(($B$19+$C$19)/2)</f>
        <v>16811.02002</v>
      </c>
      <c r="D52" s="21">
        <f t="shared" si="14"/>
        <v>31983.780029000001</v>
      </c>
      <c r="E52" s="21">
        <f t="shared" si="14"/>
        <v>0</v>
      </c>
      <c r="F52" s="21">
        <f t="shared" si="14"/>
        <v>44375.809692000003</v>
      </c>
      <c r="G52" s="21">
        <f t="shared" si="14"/>
        <v>84114.410766999994</v>
      </c>
      <c r="H52" s="21">
        <f t="shared" si="14"/>
        <v>46957</v>
      </c>
      <c r="I52" s="21">
        <f t="shared" si="14"/>
        <v>17578.3</v>
      </c>
      <c r="J52" s="21">
        <f t="shared" si="14"/>
        <v>5757.3498540000001</v>
      </c>
    </row>
    <row r="53" spans="2:10" ht="13" x14ac:dyDescent="0.3">
      <c r="B53" s="20" t="s">
        <v>14</v>
      </c>
      <c r="C53" s="21">
        <f t="shared" si="14"/>
        <v>0</v>
      </c>
      <c r="D53" s="21">
        <f t="shared" si="14"/>
        <v>0</v>
      </c>
      <c r="E53" s="21">
        <f t="shared" si="14"/>
        <v>17134.099999999999</v>
      </c>
      <c r="F53" s="21">
        <f t="shared" si="14"/>
        <v>0</v>
      </c>
      <c r="G53" s="21">
        <f t="shared" si="14"/>
        <v>61034.1</v>
      </c>
      <c r="H53" s="21">
        <f t="shared" si="14"/>
        <v>65520.2</v>
      </c>
      <c r="I53" s="21">
        <f t="shared" si="14"/>
        <v>0</v>
      </c>
      <c r="J53" s="21">
        <f t="shared" si="14"/>
        <v>0</v>
      </c>
    </row>
    <row r="54" spans="2:10" ht="13" x14ac:dyDescent="0.3">
      <c r="B54" s="72" t="s">
        <v>100</v>
      </c>
      <c r="C54" s="21">
        <f t="shared" ref="C54:J54" si="15">(C10*(($F$19+$G$19)/2))+C31</f>
        <v>0</v>
      </c>
      <c r="D54" s="21">
        <f t="shared" si="15"/>
        <v>0</v>
      </c>
      <c r="E54" s="21">
        <f t="shared" si="15"/>
        <v>0</v>
      </c>
      <c r="F54" s="21">
        <f t="shared" si="15"/>
        <v>169141.68</v>
      </c>
      <c r="G54" s="21">
        <f t="shared" si="15"/>
        <v>1244179.4343768002</v>
      </c>
      <c r="H54" s="21">
        <f t="shared" si="15"/>
        <v>0</v>
      </c>
      <c r="I54" s="21">
        <f t="shared" si="15"/>
        <v>0</v>
      </c>
      <c r="J54" s="21">
        <f t="shared" si="15"/>
        <v>0</v>
      </c>
    </row>
    <row r="55" spans="2:10" ht="13" x14ac:dyDescent="0.3">
      <c r="B55" s="46"/>
      <c r="C55" s="73">
        <f>C13*(($B$19+$C$19)/2)</f>
        <v>763873.66666666663</v>
      </c>
      <c r="D55" s="73">
        <f t="shared" ref="D55:J55" si="16">SUM(D49:D54)</f>
        <v>4816731.0558169996</v>
      </c>
      <c r="E55" s="73">
        <f t="shared" si="16"/>
        <v>4372592.5343768001</v>
      </c>
      <c r="F55" s="73">
        <f t="shared" si="16"/>
        <v>6650558.8693768</v>
      </c>
      <c r="G55" s="73">
        <f t="shared" si="16"/>
        <v>14202747.4763956</v>
      </c>
      <c r="H55" s="73">
        <f t="shared" si="16"/>
        <v>5784314.8025392005</v>
      </c>
      <c r="I55" s="73">
        <f t="shared" si="16"/>
        <v>12222643.58</v>
      </c>
      <c r="J55" s="73">
        <f t="shared" si="16"/>
        <v>1760767.0186076001</v>
      </c>
    </row>
    <row r="57" spans="2:10" ht="13" x14ac:dyDescent="0.3">
      <c r="E57" s="85" t="s">
        <v>58</v>
      </c>
      <c r="F57" s="85"/>
    </row>
    <row r="58" spans="2:10" ht="13" x14ac:dyDescent="0.3">
      <c r="B58" s="46"/>
      <c r="C58" s="20" t="s">
        <v>30</v>
      </c>
      <c r="D58" s="20" t="s">
        <v>31</v>
      </c>
      <c r="E58" s="20" t="s">
        <v>28</v>
      </c>
      <c r="F58" s="20" t="s">
        <v>11</v>
      </c>
      <c r="G58" s="20" t="s">
        <v>22</v>
      </c>
      <c r="H58" s="20" t="s">
        <v>9</v>
      </c>
      <c r="I58" s="20" t="s">
        <v>6</v>
      </c>
      <c r="J58" s="20" t="s">
        <v>3</v>
      </c>
    </row>
    <row r="59" spans="2:10" ht="13" x14ac:dyDescent="0.3">
      <c r="B59" s="20" t="s">
        <v>24</v>
      </c>
      <c r="C59" s="46">
        <f>C49/$C$14</f>
        <v>0.30604628775875242</v>
      </c>
      <c r="D59" s="46">
        <f>D49/$D$14</f>
        <v>0.60282910475193374</v>
      </c>
      <c r="E59" s="46">
        <f>E49/$E$14</f>
        <v>0.39998506782453785</v>
      </c>
      <c r="F59" s="46">
        <f>F49/$F$14</f>
        <v>0.29034635121556124</v>
      </c>
      <c r="G59" s="46">
        <f>G49/$G$14</f>
        <v>0.56213709764501441</v>
      </c>
      <c r="H59" s="46">
        <f>H49/$H$14</f>
        <v>0.26127774066175025</v>
      </c>
      <c r="I59" s="46">
        <f>I49/$I$14</f>
        <v>3.4464926199710422</v>
      </c>
      <c r="J59" s="46">
        <f>J49/$J$14</f>
        <v>0.34329282877349437</v>
      </c>
    </row>
    <row r="60" spans="2:10" ht="13" x14ac:dyDescent="0.3">
      <c r="B60" s="20" t="s">
        <v>17</v>
      </c>
      <c r="C60" s="46">
        <f t="shared" ref="C60:C64" si="17">C50/$C$14</f>
        <v>6.7180832277693392E-2</v>
      </c>
      <c r="D60" s="46">
        <f t="shared" ref="D60:D64" si="18">D50/$D$14</f>
        <v>0.13137018056893876</v>
      </c>
      <c r="E60" s="46">
        <f t="shared" ref="E60:E64" si="19">E50/$E$14</f>
        <v>4.3452661027515459E-2</v>
      </c>
      <c r="F60" s="46">
        <f t="shared" ref="F60:F64" si="20">F50/$F$14</f>
        <v>4.5075805813920108E-2</v>
      </c>
      <c r="G60" s="46">
        <f t="shared" ref="G60:G64" si="21">G50/$G$14</f>
        <v>2.3520431724970738E-2</v>
      </c>
      <c r="H60" s="46">
        <f t="shared" ref="H60:H64" si="22">H50/$H$14</f>
        <v>3.0014813562838864E-2</v>
      </c>
      <c r="I60" s="46">
        <f t="shared" ref="I60:I64" si="23">I50/$I$14</f>
        <v>0.18088160357213537</v>
      </c>
      <c r="J60" s="46">
        <f t="shared" ref="J60:J64" si="24">J50/$J$14</f>
        <v>8.5030351659348302E-2</v>
      </c>
    </row>
    <row r="61" spans="2:10" ht="13" x14ac:dyDescent="0.3">
      <c r="B61" s="20" t="s">
        <v>16</v>
      </c>
      <c r="C61" s="46">
        <f t="shared" si="17"/>
        <v>6.3316972325563436E-2</v>
      </c>
      <c r="D61" s="46">
        <f t="shared" si="18"/>
        <v>0.18665454153175814</v>
      </c>
      <c r="E61" s="46">
        <f t="shared" si="19"/>
        <v>0.12209678906289563</v>
      </c>
      <c r="F61" s="46">
        <f t="shared" si="20"/>
        <v>4.0201576244066908E-2</v>
      </c>
      <c r="G61" s="46">
        <f t="shared" si="21"/>
        <v>0</v>
      </c>
      <c r="H61" s="46">
        <f t="shared" si="22"/>
        <v>1.2336408404167845E-2</v>
      </c>
      <c r="I61" s="46">
        <f t="shared" si="23"/>
        <v>0.61039266406719284</v>
      </c>
      <c r="J61" s="46">
        <f t="shared" si="24"/>
        <v>8.9921491348403201E-2</v>
      </c>
    </row>
    <row r="62" spans="2:10" ht="13" x14ac:dyDescent="0.3">
      <c r="B62" s="20" t="s">
        <v>15</v>
      </c>
      <c r="C62" s="46">
        <f t="shared" si="17"/>
        <v>7.335864010671922E-4</v>
      </c>
      <c r="D62" s="46">
        <f t="shared" si="18"/>
        <v>6.1554737459079021E-3</v>
      </c>
      <c r="E62" s="46">
        <f t="shared" si="19"/>
        <v>0</v>
      </c>
      <c r="F62" s="46">
        <f t="shared" si="20"/>
        <v>2.5894827018125757E-3</v>
      </c>
      <c r="G62" s="46">
        <f t="shared" si="21"/>
        <v>3.8445816804845261E-3</v>
      </c>
      <c r="H62" s="46">
        <f t="shared" si="22"/>
        <v>2.5137364990449763E-3</v>
      </c>
      <c r="I62" s="46">
        <f t="shared" si="23"/>
        <v>6.1034280416795419E-3</v>
      </c>
      <c r="J62" s="46">
        <f t="shared" si="24"/>
        <v>1.7001136452627383E-3</v>
      </c>
    </row>
    <row r="63" spans="2:10" ht="13" x14ac:dyDescent="0.3">
      <c r="B63" s="20" t="s">
        <v>14</v>
      </c>
      <c r="C63" s="46">
        <f t="shared" si="17"/>
        <v>0</v>
      </c>
      <c r="D63" s="46">
        <f t="shared" si="18"/>
        <v>0</v>
      </c>
      <c r="E63" s="46">
        <f t="shared" si="19"/>
        <v>2.2247772833568569E-3</v>
      </c>
      <c r="F63" s="46">
        <f t="shared" si="20"/>
        <v>0</v>
      </c>
      <c r="G63" s="46">
        <f t="shared" si="21"/>
        <v>2.7896597099734948E-3</v>
      </c>
      <c r="H63" s="46">
        <f t="shared" si="22"/>
        <v>3.5074753107039768E-3</v>
      </c>
      <c r="I63" s="46">
        <f t="shared" si="23"/>
        <v>0</v>
      </c>
      <c r="J63" s="46">
        <f t="shared" si="24"/>
        <v>0</v>
      </c>
    </row>
    <row r="64" spans="2:10" ht="13" x14ac:dyDescent="0.3">
      <c r="B64" s="20" t="s">
        <v>23</v>
      </c>
      <c r="C64" s="46">
        <f t="shared" si="17"/>
        <v>0</v>
      </c>
      <c r="D64" s="46">
        <f t="shared" si="18"/>
        <v>0</v>
      </c>
      <c r="E64" s="46">
        <f t="shared" si="19"/>
        <v>0</v>
      </c>
      <c r="F64" s="46">
        <f t="shared" si="20"/>
        <v>9.8700047966556459E-3</v>
      </c>
      <c r="G64" s="46">
        <f t="shared" si="21"/>
        <v>5.6867181461815137E-2</v>
      </c>
      <c r="H64" s="46">
        <f t="shared" si="22"/>
        <v>0</v>
      </c>
      <c r="I64" s="46">
        <f t="shared" si="23"/>
        <v>0</v>
      </c>
      <c r="J64" s="46">
        <f t="shared" si="24"/>
        <v>0</v>
      </c>
    </row>
    <row r="65" spans="2:10" ht="13" x14ac:dyDescent="0.3">
      <c r="B65" s="46"/>
      <c r="C65" s="56">
        <f>SUM(C59:C64)</f>
        <v>0.43727767876307644</v>
      </c>
      <c r="D65" s="56">
        <f t="shared" ref="D65:J65" si="25">SUM(D59:D64)</f>
        <v>0.92700930059853859</v>
      </c>
      <c r="E65" s="56">
        <f t="shared" si="25"/>
        <v>0.56775929519830581</v>
      </c>
      <c r="F65" s="56">
        <f t="shared" si="25"/>
        <v>0.38808322077201651</v>
      </c>
      <c r="G65" s="56">
        <f t="shared" si="25"/>
        <v>0.64915895222225828</v>
      </c>
      <c r="H65" s="56">
        <f t="shared" si="25"/>
        <v>0.3096501744385059</v>
      </c>
      <c r="I65" s="56">
        <f t="shared" si="25"/>
        <v>4.2438703156520496</v>
      </c>
      <c r="J65" s="56">
        <f t="shared" si="25"/>
        <v>0.51994478542650868</v>
      </c>
    </row>
    <row r="68" spans="2:10" ht="13" x14ac:dyDescent="0.3">
      <c r="B68" s="67" t="s">
        <v>102</v>
      </c>
      <c r="C68" s="67"/>
      <c r="D68" s="3"/>
    </row>
    <row r="69" spans="2:10" ht="13" x14ac:dyDescent="0.3">
      <c r="E69" s="85" t="s">
        <v>93</v>
      </c>
      <c r="F69" s="85"/>
    </row>
    <row r="70" spans="2:10" ht="13" x14ac:dyDescent="0.3">
      <c r="B70" s="21"/>
      <c r="C70" s="20" t="s">
        <v>30</v>
      </c>
      <c r="D70" s="20" t="s">
        <v>31</v>
      </c>
      <c r="E70" s="20" t="s">
        <v>28</v>
      </c>
      <c r="F70" s="20" t="s">
        <v>11</v>
      </c>
      <c r="G70" s="20" t="s">
        <v>22</v>
      </c>
      <c r="H70" s="20" t="s">
        <v>9</v>
      </c>
      <c r="I70" s="20" t="s">
        <v>6</v>
      </c>
      <c r="J70" s="20" t="s">
        <v>3</v>
      </c>
    </row>
    <row r="71" spans="2:10" ht="13" x14ac:dyDescent="0.3">
      <c r="B71" s="20" t="s">
        <v>24</v>
      </c>
      <c r="C71" s="23">
        <f t="shared" ref="C71:J76" si="26">(C5*(($F$19+$G$19)/2))+C26</f>
        <v>50496631.200000003</v>
      </c>
      <c r="D71" s="23">
        <f t="shared" si="26"/>
        <v>22552516.800000001</v>
      </c>
      <c r="E71" s="23">
        <f t="shared" si="26"/>
        <v>22179463.199999999</v>
      </c>
      <c r="F71" s="23">
        <f t="shared" si="26"/>
        <v>35824665.600000001</v>
      </c>
      <c r="G71" s="23">
        <f t="shared" si="26"/>
        <v>88551527.737499997</v>
      </c>
      <c r="H71" s="23">
        <f t="shared" si="26"/>
        <v>35141112</v>
      </c>
      <c r="I71" s="23">
        <f t="shared" si="26"/>
        <v>71468208</v>
      </c>
      <c r="J71" s="23">
        <f t="shared" si="26"/>
        <v>8370316.7999999998</v>
      </c>
    </row>
    <row r="72" spans="2:10" ht="13" x14ac:dyDescent="0.3">
      <c r="B72" s="20" t="s">
        <v>17</v>
      </c>
      <c r="C72" s="23">
        <f t="shared" si="26"/>
        <v>1539530.0604504</v>
      </c>
      <c r="D72" s="23">
        <f t="shared" si="26"/>
        <v>682598.14453440008</v>
      </c>
      <c r="E72" s="23">
        <f t="shared" si="26"/>
        <v>334650.23437680001</v>
      </c>
      <c r="F72" s="23">
        <f t="shared" si="26"/>
        <v>772461.37968480005</v>
      </c>
      <c r="G72" s="23">
        <f t="shared" si="26"/>
        <v>514596.23437680001</v>
      </c>
      <c r="H72" s="23">
        <f t="shared" si="26"/>
        <v>560681.51972400001</v>
      </c>
      <c r="I72" s="23">
        <f t="shared" si="26"/>
        <v>520951.67999999993</v>
      </c>
      <c r="J72" s="23">
        <f t="shared" si="26"/>
        <v>287951.03437680006</v>
      </c>
    </row>
    <row r="73" spans="2:10" ht="13" x14ac:dyDescent="0.3">
      <c r="B73" s="20" t="s">
        <v>16</v>
      </c>
      <c r="C73" s="23">
        <f t="shared" si="26"/>
        <v>1450985.0343768001</v>
      </c>
      <c r="D73" s="23">
        <f t="shared" si="26"/>
        <v>969855.1312536</v>
      </c>
      <c r="E73" s="23">
        <f t="shared" si="26"/>
        <v>940327.20000000007</v>
      </c>
      <c r="F73" s="23">
        <f t="shared" si="26"/>
        <v>688932</v>
      </c>
      <c r="G73" s="23">
        <f t="shared" si="26"/>
        <v>0</v>
      </c>
      <c r="H73" s="23">
        <f t="shared" si="26"/>
        <v>230446.0828152</v>
      </c>
      <c r="I73" s="23">
        <f t="shared" si="26"/>
        <v>1757973.6</v>
      </c>
      <c r="J73" s="23">
        <f t="shared" si="26"/>
        <v>304514.63437680004</v>
      </c>
    </row>
    <row r="74" spans="2:10" ht="13" x14ac:dyDescent="0.3">
      <c r="B74" s="20" t="s">
        <v>15</v>
      </c>
      <c r="C74" s="23">
        <f t="shared" si="26"/>
        <v>121039.344144</v>
      </c>
      <c r="D74" s="23">
        <f t="shared" si="26"/>
        <v>230283.21620880003</v>
      </c>
      <c r="E74" s="23">
        <f t="shared" si="26"/>
        <v>0</v>
      </c>
      <c r="F74" s="23">
        <f t="shared" si="26"/>
        <v>319505.82978239999</v>
      </c>
      <c r="G74" s="23">
        <f t="shared" si="26"/>
        <v>605623.7575224</v>
      </c>
      <c r="H74" s="23">
        <f t="shared" si="26"/>
        <v>338090.4</v>
      </c>
      <c r="I74" s="23">
        <f t="shared" si="26"/>
        <v>126563.76</v>
      </c>
      <c r="J74" s="23">
        <f t="shared" si="26"/>
        <v>41452.918948800005</v>
      </c>
    </row>
    <row r="75" spans="2:10" ht="13" x14ac:dyDescent="0.3">
      <c r="B75" s="20" t="s">
        <v>14</v>
      </c>
      <c r="C75" s="23">
        <f t="shared" si="26"/>
        <v>0</v>
      </c>
      <c r="D75" s="23">
        <f t="shared" si="26"/>
        <v>0</v>
      </c>
      <c r="E75" s="23">
        <f t="shared" si="26"/>
        <v>123365.51999999999</v>
      </c>
      <c r="F75" s="23">
        <f t="shared" si="26"/>
        <v>0</v>
      </c>
      <c r="G75" s="23">
        <f t="shared" si="26"/>
        <v>439445.51999999996</v>
      </c>
      <c r="H75" s="23">
        <f t="shared" si="26"/>
        <v>471745.44</v>
      </c>
      <c r="I75" s="23">
        <f t="shared" si="26"/>
        <v>0</v>
      </c>
      <c r="J75" s="23">
        <f t="shared" si="26"/>
        <v>0</v>
      </c>
    </row>
    <row r="76" spans="2:10" ht="13" x14ac:dyDescent="0.3">
      <c r="B76" s="20" t="s">
        <v>23</v>
      </c>
      <c r="C76" s="23">
        <f t="shared" si="26"/>
        <v>0</v>
      </c>
      <c r="D76" s="23">
        <f t="shared" si="26"/>
        <v>0</v>
      </c>
      <c r="E76" s="23">
        <f t="shared" si="26"/>
        <v>0</v>
      </c>
      <c r="F76" s="23">
        <f t="shared" si="26"/>
        <v>169141.68</v>
      </c>
      <c r="G76" s="23">
        <f t="shared" si="26"/>
        <v>1244179.4343768002</v>
      </c>
      <c r="H76" s="23">
        <f t="shared" si="26"/>
        <v>0</v>
      </c>
      <c r="I76" s="23">
        <f t="shared" si="26"/>
        <v>0</v>
      </c>
      <c r="J76" s="23">
        <f t="shared" si="26"/>
        <v>0</v>
      </c>
    </row>
    <row r="77" spans="2:10" ht="13" x14ac:dyDescent="0.3">
      <c r="B77" s="46"/>
      <c r="C77" s="68">
        <f>SUM(C71:C76)</f>
        <v>53608185.638971202</v>
      </c>
      <c r="D77" s="68">
        <f t="shared" ref="D77:J77" si="27">SUM(D71:D76)</f>
        <v>24435253.291996803</v>
      </c>
      <c r="E77" s="68">
        <f t="shared" si="27"/>
        <v>23577806.154376797</v>
      </c>
      <c r="F77" s="68">
        <f t="shared" si="27"/>
        <v>37774706.489467196</v>
      </c>
      <c r="G77" s="68">
        <f t="shared" si="27"/>
        <v>91355372.683776006</v>
      </c>
      <c r="H77" s="68">
        <f t="shared" si="27"/>
        <v>36742075.442539193</v>
      </c>
      <c r="I77" s="68">
        <f t="shared" si="27"/>
        <v>73873697.040000007</v>
      </c>
      <c r="J77" s="68">
        <f t="shared" si="27"/>
        <v>9004235.3877023999</v>
      </c>
    </row>
    <row r="80" spans="2:10" ht="13" x14ac:dyDescent="0.3">
      <c r="E80" s="85" t="s">
        <v>58</v>
      </c>
      <c r="F80" s="85"/>
    </row>
    <row r="81" spans="2:10" ht="13" x14ac:dyDescent="0.3">
      <c r="B81" s="46"/>
      <c r="C81" s="20" t="s">
        <v>30</v>
      </c>
      <c r="D81" s="20" t="s">
        <v>31</v>
      </c>
      <c r="E81" s="20" t="s">
        <v>28</v>
      </c>
      <c r="F81" s="20" t="s">
        <v>11</v>
      </c>
      <c r="G81" s="20" t="s">
        <v>22</v>
      </c>
      <c r="H81" s="20" t="s">
        <v>9</v>
      </c>
      <c r="I81" s="20" t="s">
        <v>6</v>
      </c>
      <c r="J81" s="20" t="s">
        <v>3</v>
      </c>
    </row>
    <row r="82" spans="2:10" ht="13" x14ac:dyDescent="0.3">
      <c r="B82" s="20" t="s">
        <v>24</v>
      </c>
      <c r="C82" s="21">
        <f>C71/$C$14</f>
        <v>2.2035332718630176</v>
      </c>
      <c r="D82" s="21">
        <f>D71/$D$14</f>
        <v>4.3403695542139227</v>
      </c>
      <c r="E82" s="21">
        <f>E71/$E$14</f>
        <v>2.8798924883366723</v>
      </c>
      <c r="F82" s="21">
        <f>F71/$F$14</f>
        <v>2.0904937287520409</v>
      </c>
      <c r="G82" s="21">
        <f>G71/$G$14</f>
        <v>4.0473871030441035</v>
      </c>
      <c r="H82" s="21">
        <f>H71/$H$14</f>
        <v>1.8811997327646015</v>
      </c>
      <c r="I82" s="21">
        <f>I71/$I$14</f>
        <v>24.814746863791505</v>
      </c>
      <c r="J82" s="21">
        <f>J71/$J$14</f>
        <v>2.4717083671691595</v>
      </c>
    </row>
    <row r="83" spans="2:10" ht="13" x14ac:dyDescent="0.3">
      <c r="B83" s="20" t="s">
        <v>17</v>
      </c>
      <c r="C83" s="21">
        <f t="shared" ref="C83:C87" si="28">C72/$C$14</f>
        <v>6.7180832277693392E-2</v>
      </c>
      <c r="D83" s="21">
        <f t="shared" ref="D83:D87" si="29">D72/$D$14</f>
        <v>0.13137018056893876</v>
      </c>
      <c r="E83" s="21">
        <f t="shared" ref="E83:E87" si="30">E72/$E$14</f>
        <v>4.3452661027515459E-2</v>
      </c>
      <c r="F83" s="21">
        <f t="shared" ref="F83:F87" si="31">F72/$F$14</f>
        <v>4.5075805813920108E-2</v>
      </c>
      <c r="G83" s="21">
        <f t="shared" ref="G83:G87" si="32">G72/$G$14</f>
        <v>2.3520431724970738E-2</v>
      </c>
      <c r="H83" s="21">
        <f t="shared" ref="H83:H87" si="33">H72/$H$14</f>
        <v>3.0014813562838864E-2</v>
      </c>
      <c r="I83" s="21">
        <f t="shared" ref="I83:I87" si="34">I72/$I$14</f>
        <v>0.18088160357213537</v>
      </c>
      <c r="J83" s="21">
        <f t="shared" ref="J83:J87" si="35">J72/$J$14</f>
        <v>8.5030351659348302E-2</v>
      </c>
    </row>
    <row r="84" spans="2:10" ht="13" x14ac:dyDescent="0.3">
      <c r="B84" s="20" t="s">
        <v>16</v>
      </c>
      <c r="C84" s="21">
        <f t="shared" si="28"/>
        <v>6.3316972325563436E-2</v>
      </c>
      <c r="D84" s="21">
        <f t="shared" si="29"/>
        <v>0.18665454153175814</v>
      </c>
      <c r="E84" s="21">
        <f t="shared" si="30"/>
        <v>0.12209678906289563</v>
      </c>
      <c r="F84" s="21">
        <f t="shared" si="31"/>
        <v>4.0201576244066908E-2</v>
      </c>
      <c r="G84" s="21">
        <f t="shared" si="32"/>
        <v>0</v>
      </c>
      <c r="H84" s="21">
        <f t="shared" si="33"/>
        <v>1.2336408404167845E-2</v>
      </c>
      <c r="I84" s="21">
        <f t="shared" si="34"/>
        <v>0.61039266406719284</v>
      </c>
      <c r="J84" s="21">
        <f t="shared" si="35"/>
        <v>8.9921491348403201E-2</v>
      </c>
    </row>
    <row r="85" spans="2:10" ht="13" x14ac:dyDescent="0.3">
      <c r="B85" s="20" t="s">
        <v>15</v>
      </c>
      <c r="C85" s="21">
        <f t="shared" si="28"/>
        <v>5.2818220876837841E-3</v>
      </c>
      <c r="D85" s="21">
        <f t="shared" si="29"/>
        <v>4.4319410970536904E-2</v>
      </c>
      <c r="E85" s="21">
        <f t="shared" si="30"/>
        <v>0</v>
      </c>
      <c r="F85" s="21">
        <f t="shared" si="31"/>
        <v>1.8644275453050543E-2</v>
      </c>
      <c r="G85" s="21">
        <f t="shared" si="32"/>
        <v>2.7680988099488588E-2</v>
      </c>
      <c r="H85" s="21">
        <f t="shared" si="33"/>
        <v>1.8098902793123831E-2</v>
      </c>
      <c r="I85" s="21">
        <f t="shared" si="34"/>
        <v>4.3944681900092701E-2</v>
      </c>
      <c r="J85" s="21">
        <f t="shared" si="35"/>
        <v>1.2240818245891717E-2</v>
      </c>
    </row>
    <row r="86" spans="2:10" ht="13" x14ac:dyDescent="0.3">
      <c r="B86" s="20" t="s">
        <v>14</v>
      </c>
      <c r="C86" s="21">
        <f t="shared" si="28"/>
        <v>0</v>
      </c>
      <c r="D86" s="21">
        <f t="shared" si="29"/>
        <v>0</v>
      </c>
      <c r="E86" s="21">
        <f t="shared" si="30"/>
        <v>1.6018396440169367E-2</v>
      </c>
      <c r="F86" s="21">
        <f t="shared" si="31"/>
        <v>0</v>
      </c>
      <c r="G86" s="21">
        <f t="shared" si="32"/>
        <v>2.0085549911809161E-2</v>
      </c>
      <c r="H86" s="21">
        <f t="shared" si="33"/>
        <v>2.5253822237068634E-2</v>
      </c>
      <c r="I86" s="21">
        <f t="shared" si="34"/>
        <v>0</v>
      </c>
      <c r="J86" s="21">
        <f t="shared" si="35"/>
        <v>0</v>
      </c>
    </row>
    <row r="87" spans="2:10" ht="13" x14ac:dyDescent="0.3">
      <c r="B87" s="20" t="s">
        <v>23</v>
      </c>
      <c r="C87" s="21">
        <f t="shared" si="28"/>
        <v>0</v>
      </c>
      <c r="D87" s="21">
        <f t="shared" si="29"/>
        <v>0</v>
      </c>
      <c r="E87" s="21">
        <f t="shared" si="30"/>
        <v>0</v>
      </c>
      <c r="F87" s="21">
        <f t="shared" si="31"/>
        <v>9.8700047966556459E-3</v>
      </c>
      <c r="G87" s="21">
        <f t="shared" si="32"/>
        <v>5.6867181461815137E-2</v>
      </c>
      <c r="H87" s="21">
        <f t="shared" si="33"/>
        <v>0</v>
      </c>
      <c r="I87" s="21">
        <f t="shared" si="34"/>
        <v>0</v>
      </c>
      <c r="J87" s="21">
        <f t="shared" si="35"/>
        <v>0</v>
      </c>
    </row>
    <row r="88" spans="2:10" ht="13" x14ac:dyDescent="0.3">
      <c r="B88" s="46"/>
      <c r="C88" s="20">
        <f>SUM(C82:C87)</f>
        <v>2.3393128985539584</v>
      </c>
      <c r="D88" s="20">
        <f t="shared" ref="D88:J88" si="36">SUM(D82:D87)</f>
        <v>4.702713687285156</v>
      </c>
      <c r="E88" s="20">
        <f t="shared" si="36"/>
        <v>3.0614603348672529</v>
      </c>
      <c r="F88" s="20">
        <f t="shared" si="36"/>
        <v>2.2042853910597344</v>
      </c>
      <c r="G88" s="20">
        <f t="shared" si="36"/>
        <v>4.1755412542421873</v>
      </c>
      <c r="H88" s="20">
        <f t="shared" si="36"/>
        <v>1.9669036797618007</v>
      </c>
      <c r="I88" s="20">
        <f t="shared" si="36"/>
        <v>25.649965813330926</v>
      </c>
      <c r="J88" s="20">
        <f t="shared" si="36"/>
        <v>2.658901028422803</v>
      </c>
    </row>
  </sheetData>
  <mergeCells count="10">
    <mergeCell ref="E34:F34"/>
    <mergeCell ref="E47:F47"/>
    <mergeCell ref="E57:F57"/>
    <mergeCell ref="E69:F69"/>
    <mergeCell ref="E80:F80"/>
    <mergeCell ref="E3:F3"/>
    <mergeCell ref="D16:F16"/>
    <mergeCell ref="F17:H17"/>
    <mergeCell ref="B17:D17"/>
    <mergeCell ref="E24:F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1</vt:i4>
      </vt:variant>
    </vt:vector>
  </HeadingPairs>
  <TitlesOfParts>
    <vt:vector size="14" baseType="lpstr">
      <vt:lpstr>Title</vt:lpstr>
      <vt:lpstr>CSP Sites</vt:lpstr>
      <vt:lpstr>Inventory - Land Area Occupied</vt:lpstr>
      <vt:lpstr>Land Transformation (Lifetime)</vt:lpstr>
      <vt:lpstr>Land-Use Efficiency</vt:lpstr>
      <vt:lpstr>Land Area for 1W</vt:lpstr>
      <vt:lpstr>Impact Assessment - Carbon Loss</vt:lpstr>
      <vt:lpstr>Impact Assessment - SOCSIC</vt:lpstr>
      <vt:lpstr>Scenario Analysis - Carbon Loss</vt:lpstr>
      <vt:lpstr>Tornado Plot Final</vt:lpstr>
      <vt:lpstr>CO2 Emissions</vt:lpstr>
      <vt:lpstr>Tornado Plot</vt:lpstr>
      <vt:lpstr>Land Transformation (Annual)</vt:lpstr>
      <vt:lpstr>Land use efficiency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Shreya Rangarajan</dc:creator>
  <cp:lastModifiedBy>Sarah Jordaan</cp:lastModifiedBy>
  <dcterms:created xsi:type="dcterms:W3CDTF">2020-07-30T15:38:06Z</dcterms:created>
  <dcterms:modified xsi:type="dcterms:W3CDTF">2022-08-14T18:29:02Z</dcterms:modified>
</cp:coreProperties>
</file>