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郭的果子\湖南大学\01   论文\小论文修改\数据\"/>
    </mc:Choice>
  </mc:AlternateContent>
  <xr:revisionPtr revIDLastSave="0" documentId="13_ncr:1_{36E36A02-CAEE-47B4-83FB-78180DC0A4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0" sheetId="1" r:id="rId1"/>
    <sheet name="2015" sheetId="4" r:id="rId2"/>
    <sheet name="2010" sheetId="5" r:id="rId3"/>
    <sheet name="原始数据" sheetId="2" r:id="rId4"/>
    <sheet name="城市建设统计年鉴" sheetId="6" r:id="rId5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C30" i="6"/>
  <c r="C4" i="6"/>
  <c r="C9" i="6"/>
  <c r="N117" i="2"/>
  <c r="M117" i="2"/>
  <c r="J117" i="2"/>
  <c r="H19" i="4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B159" i="2"/>
  <c r="B160" i="2"/>
  <c r="B15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B189" i="2"/>
  <c r="B190" i="2"/>
  <c r="B188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B186" i="2"/>
  <c r="B187" i="2"/>
  <c r="B185" i="2"/>
  <c r="F19" i="4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B183" i="2"/>
  <c r="B184" i="2"/>
  <c r="B182" i="2"/>
  <c r="B174" i="2"/>
  <c r="C174" i="2"/>
  <c r="D107" i="2"/>
  <c r="D174" i="2"/>
  <c r="E107" i="2"/>
  <c r="E174" i="2"/>
  <c r="F174" i="2"/>
  <c r="G174" i="2"/>
  <c r="H174" i="2"/>
  <c r="I174" i="2"/>
  <c r="J107" i="2"/>
  <c r="J174" i="2"/>
  <c r="K174" i="2"/>
  <c r="L174" i="2"/>
  <c r="M174" i="2"/>
  <c r="N174" i="2"/>
  <c r="O174" i="2"/>
  <c r="C175" i="2"/>
  <c r="D108" i="2"/>
  <c r="D175" i="2"/>
  <c r="E108" i="2"/>
  <c r="E175" i="2"/>
  <c r="F175" i="2"/>
  <c r="G175" i="2"/>
  <c r="H175" i="2"/>
  <c r="I175" i="2"/>
  <c r="J175" i="2"/>
  <c r="K175" i="2"/>
  <c r="L175" i="2"/>
  <c r="M175" i="2"/>
  <c r="N175" i="2"/>
  <c r="O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B175" i="2"/>
  <c r="B176" i="2"/>
  <c r="O121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B136" i="2"/>
  <c r="B137" i="2"/>
  <c r="B135" i="2"/>
  <c r="B47" i="2"/>
  <c r="B52" i="2"/>
  <c r="B139" i="2"/>
  <c r="B48" i="2"/>
  <c r="B53" i="2"/>
  <c r="B140" i="2"/>
  <c r="B49" i="2"/>
  <c r="B54" i="2"/>
  <c r="B141" i="2"/>
  <c r="B143" i="2"/>
  <c r="C27" i="6"/>
  <c r="C25" i="6"/>
  <c r="C24" i="6"/>
  <c r="C22" i="6"/>
  <c r="C20" i="6"/>
  <c r="C19" i="6"/>
  <c r="C17" i="6"/>
  <c r="C14" i="6"/>
  <c r="C12" i="6"/>
  <c r="C6" i="6"/>
  <c r="C2" i="6"/>
  <c r="C47" i="2"/>
  <c r="C52" i="2"/>
  <c r="C139" i="2"/>
  <c r="D47" i="2"/>
  <c r="D52" i="2"/>
  <c r="D139" i="2"/>
  <c r="E47" i="2"/>
  <c r="E52" i="2"/>
  <c r="E139" i="2"/>
  <c r="F47" i="2"/>
  <c r="F52" i="2"/>
  <c r="F139" i="2"/>
  <c r="G47" i="2"/>
  <c r="G52" i="2"/>
  <c r="G139" i="2"/>
  <c r="H47" i="2"/>
  <c r="H52" i="2"/>
  <c r="H139" i="2"/>
  <c r="I47" i="2"/>
  <c r="I52" i="2"/>
  <c r="I139" i="2"/>
  <c r="J47" i="2"/>
  <c r="J52" i="2"/>
  <c r="J139" i="2"/>
  <c r="K47" i="2"/>
  <c r="K52" i="2"/>
  <c r="K139" i="2"/>
  <c r="L47" i="2"/>
  <c r="L52" i="2"/>
  <c r="L139" i="2"/>
  <c r="M47" i="2"/>
  <c r="M52" i="2"/>
  <c r="M139" i="2"/>
  <c r="N47" i="2"/>
  <c r="N52" i="2"/>
  <c r="N139" i="2"/>
  <c r="O47" i="2"/>
  <c r="O52" i="2"/>
  <c r="O139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B192" i="2"/>
  <c r="B193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B179" i="2"/>
  <c r="B18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B171" i="2"/>
  <c r="B172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B167" i="2"/>
  <c r="B168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B163" i="2"/>
  <c r="B164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B156" i="2"/>
  <c r="B157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B152" i="2"/>
  <c r="B153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B148" i="2"/>
  <c r="B149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B145" i="2"/>
  <c r="B144" i="2"/>
  <c r="O49" i="2"/>
  <c r="O54" i="2"/>
  <c r="O141" i="2"/>
  <c r="N49" i="2"/>
  <c r="N54" i="2"/>
  <c r="N141" i="2"/>
  <c r="M49" i="2"/>
  <c r="M54" i="2"/>
  <c r="M141" i="2"/>
  <c r="L49" i="2"/>
  <c r="L54" i="2"/>
  <c r="L141" i="2"/>
  <c r="K49" i="2"/>
  <c r="K54" i="2"/>
  <c r="K141" i="2"/>
  <c r="J49" i="2"/>
  <c r="J54" i="2"/>
  <c r="J141" i="2"/>
  <c r="I49" i="2"/>
  <c r="I54" i="2"/>
  <c r="I141" i="2"/>
  <c r="H49" i="2"/>
  <c r="H54" i="2"/>
  <c r="H141" i="2"/>
  <c r="G49" i="2"/>
  <c r="G54" i="2"/>
  <c r="G141" i="2"/>
  <c r="F49" i="2"/>
  <c r="F54" i="2"/>
  <c r="F141" i="2"/>
  <c r="E49" i="2"/>
  <c r="E54" i="2"/>
  <c r="E141" i="2"/>
  <c r="D49" i="2"/>
  <c r="D54" i="2"/>
  <c r="D141" i="2"/>
  <c r="C49" i="2"/>
  <c r="C54" i="2"/>
  <c r="C141" i="2"/>
  <c r="O48" i="2"/>
  <c r="O53" i="2"/>
  <c r="O140" i="2"/>
  <c r="N48" i="2"/>
  <c r="N53" i="2"/>
  <c r="N140" i="2"/>
  <c r="M48" i="2"/>
  <c r="M53" i="2"/>
  <c r="M140" i="2"/>
  <c r="L48" i="2"/>
  <c r="L53" i="2"/>
  <c r="L140" i="2"/>
  <c r="K48" i="2"/>
  <c r="K53" i="2"/>
  <c r="K140" i="2"/>
  <c r="J48" i="2"/>
  <c r="J53" i="2"/>
  <c r="J140" i="2"/>
  <c r="I48" i="2"/>
  <c r="I53" i="2"/>
  <c r="I140" i="2"/>
  <c r="H48" i="2"/>
  <c r="H53" i="2"/>
  <c r="H140" i="2"/>
  <c r="G48" i="2"/>
  <c r="G53" i="2"/>
  <c r="G140" i="2"/>
  <c r="F48" i="2"/>
  <c r="F53" i="2"/>
  <c r="F140" i="2"/>
  <c r="E48" i="2"/>
  <c r="E53" i="2"/>
  <c r="E140" i="2"/>
  <c r="D48" i="2"/>
  <c r="D53" i="2"/>
  <c r="D140" i="2"/>
  <c r="C48" i="2"/>
  <c r="C53" i="2"/>
  <c r="C14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B155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B147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B62" i="2"/>
</calcChain>
</file>

<file path=xl/sharedStrings.xml><?xml version="1.0" encoding="utf-8"?>
<sst xmlns="http://schemas.openxmlformats.org/spreadsheetml/2006/main" count="857" uniqueCount="173">
  <si>
    <t>准则层</t>
    <phoneticPr fontId="2" type="noConversion"/>
  </si>
  <si>
    <t>领域层</t>
    <phoneticPr fontId="2" type="noConversion"/>
  </si>
  <si>
    <t>指标名称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</si>
  <si>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</si>
  <si>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</si>
  <si>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</si>
  <si>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</si>
  <si>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</si>
  <si>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</si>
  <si>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</si>
  <si>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</si>
  <si>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</si>
  <si>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</si>
  <si>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</si>
  <si>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</si>
  <si>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</si>
  <si>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</si>
  <si>
    <t>备注</t>
  </si>
  <si>
    <t>社会韧性（A1)</t>
    <phoneticPr fontId="2" type="noConversion"/>
  </si>
  <si>
    <t>教育（B1）</t>
    <phoneticPr fontId="2" type="noConversion"/>
  </si>
  <si>
    <t>教师与学生比</t>
  </si>
  <si>
    <t>正</t>
  </si>
  <si>
    <t>健康（B2）</t>
    <phoneticPr fontId="2" type="noConversion"/>
  </si>
  <si>
    <t>人口平均预期寿命</t>
  </si>
  <si>
    <t>万人拥有医生数</t>
  </si>
  <si>
    <t>万人拥有医院床位数</t>
  </si>
  <si>
    <t>社会保障（B3）</t>
    <phoneticPr fontId="2" type="noConversion"/>
  </si>
  <si>
    <t>基本养老保险覆盖率</t>
  </si>
  <si>
    <t>社会公平（B4）</t>
    <phoneticPr fontId="2" type="noConversion"/>
  </si>
  <si>
    <t xml:space="preserve">保障性住房覆盖率   </t>
  </si>
  <si>
    <t>房价收入比</t>
  </si>
  <si>
    <t>反</t>
  </si>
  <si>
    <t>经济韧性（A2)</t>
    <phoneticPr fontId="2" type="noConversion"/>
  </si>
  <si>
    <t>经济繁荣（B5）</t>
    <phoneticPr fontId="2" type="noConversion"/>
  </si>
  <si>
    <t>城市居民人均可支配收入</t>
  </si>
  <si>
    <t>城镇登记失业率</t>
  </si>
  <si>
    <r>
      <rPr>
        <sz val="11"/>
        <rFont val="宋体"/>
        <family val="3"/>
        <charset val="134"/>
      </rPr>
      <t>地方财政收入</t>
    </r>
    <r>
      <rPr>
        <sz val="11"/>
        <color theme="1"/>
        <rFont val="宋体"/>
        <family val="3"/>
        <charset val="134"/>
      </rPr>
      <t>占GDP比</t>
    </r>
  </si>
  <si>
    <t>结构优化</t>
  </si>
  <si>
    <t>第三产业增加值占GDP比重</t>
  </si>
  <si>
    <t>创新潜力</t>
  </si>
  <si>
    <t>万人有效发明专利拥有量</t>
  </si>
  <si>
    <t>城市基础设施与服务韧性（A3)</t>
    <phoneticPr fontId="2" type="noConversion"/>
  </si>
  <si>
    <t>生态环境管理</t>
  </si>
  <si>
    <t>城市空气质量达标率</t>
    <phoneticPr fontId="10" type="noConversion"/>
  </si>
  <si>
    <t>工业固体废物综合利用率</t>
    <phoneticPr fontId="2" type="noConversion"/>
  </si>
  <si>
    <t>人均公园绿地面积</t>
  </si>
  <si>
    <t>万元GDP能耗</t>
  </si>
  <si>
    <t>关键基础设施</t>
  </si>
  <si>
    <t>公共交通线网密度</t>
  </si>
  <si>
    <t>城市天燃气普及率</t>
  </si>
  <si>
    <t>互联网用户普及率</t>
  </si>
  <si>
    <t>城市管治韧性（A4)</t>
    <phoneticPr fontId="2" type="noConversion"/>
  </si>
  <si>
    <t>社会整合</t>
    <phoneticPr fontId="2" type="noConversion"/>
  </si>
  <si>
    <r>
      <rPr>
        <sz val="11"/>
        <color rgb="FF000000"/>
        <rFont val="宋体"/>
        <family val="3"/>
        <charset val="134"/>
      </rPr>
      <t>社区卫生服务中</t>
    </r>
    <r>
      <rPr>
        <sz val="11"/>
        <color theme="1"/>
        <rFont val="宋体"/>
        <family val="3"/>
        <charset val="134"/>
      </rPr>
      <t>心占比</t>
    </r>
    <phoneticPr fontId="2" type="noConversion"/>
  </si>
  <si>
    <t>应急管理</t>
  </si>
  <si>
    <t>人均避难场所面积</t>
    <phoneticPr fontId="2" type="noConversion"/>
  </si>
  <si>
    <t>具备应急改造条件的城市大型公共设施数</t>
  </si>
  <si>
    <t>GDP</t>
    <phoneticPr fontId="2" type="noConversion"/>
  </si>
  <si>
    <t>亿元</t>
    <phoneticPr fontId="2" type="noConversion"/>
  </si>
  <si>
    <t>万人</t>
    <phoneticPr fontId="2" type="noConversion"/>
  </si>
  <si>
    <t>年末常住人口</t>
    <phoneticPr fontId="2" type="noConversion"/>
  </si>
  <si>
    <t>地方财政收入</t>
    <phoneticPr fontId="2" type="noConversion"/>
  </si>
  <si>
    <t>高新技术产业增加值占工业增加值比重</t>
    <phoneticPr fontId="2" type="noConversion"/>
  </si>
  <si>
    <t>教育事业支出占地方政府支出比例</t>
    <phoneticPr fontId="2" type="noConversion"/>
  </si>
  <si>
    <t>教育事业支出</t>
    <phoneticPr fontId="2" type="noConversion"/>
  </si>
  <si>
    <t>社会保障财政支出占财政支出比例</t>
    <phoneticPr fontId="2" type="noConversion"/>
  </si>
  <si>
    <t>财政支出</t>
    <phoneticPr fontId="2" type="noConversion"/>
  </si>
  <si>
    <t>社会保障财政支出</t>
    <phoneticPr fontId="2" type="noConversion"/>
  </si>
  <si>
    <t>高新技术产业增加值</t>
    <phoneticPr fontId="2" type="noConversion"/>
  </si>
  <si>
    <t>研究与实验发展经费支出占财政支出比例</t>
    <phoneticPr fontId="2" type="noConversion"/>
  </si>
  <si>
    <t>研究与实验发展经费支出</t>
  </si>
  <si>
    <t>万元</t>
    <phoneticPr fontId="2" type="noConversion"/>
  </si>
  <si>
    <t>教师数</t>
    <phoneticPr fontId="2" type="noConversion"/>
  </si>
  <si>
    <t>人</t>
    <phoneticPr fontId="2" type="noConversion"/>
  </si>
  <si>
    <t>学生数</t>
    <phoneticPr fontId="2" type="noConversion"/>
  </si>
  <si>
    <t>艺术馆文化馆公共图书馆</t>
    <phoneticPr fontId="2" type="noConversion"/>
  </si>
  <si>
    <t>医生数</t>
    <phoneticPr fontId="2" type="noConversion"/>
  </si>
  <si>
    <t>医院床位数</t>
    <phoneticPr fontId="2" type="noConversion"/>
  </si>
  <si>
    <t>张</t>
    <phoneticPr fontId="2" type="noConversion"/>
  </si>
  <si>
    <t>元</t>
    <phoneticPr fontId="2" type="noConversion"/>
  </si>
  <si>
    <t>万元GDP能耗上升或下降</t>
    <phoneticPr fontId="2" type="noConversion"/>
  </si>
  <si>
    <t>±%</t>
    <phoneticPr fontId="2" type="noConversion"/>
  </si>
  <si>
    <t>公共管理、社会保障和社会组织人员占比</t>
    <phoneticPr fontId="2" type="noConversion"/>
  </si>
  <si>
    <t>公共管理、社会保障和社会组织人员</t>
  </si>
  <si>
    <t>万人高等教育学位数</t>
    <phoneticPr fontId="2" type="noConversion"/>
  </si>
  <si>
    <t>高等教育学位数</t>
  </si>
  <si>
    <t xml:space="preserve"> 第三产业值</t>
    <phoneticPr fontId="2" type="noConversion"/>
  </si>
  <si>
    <t>省年鉴21</t>
    <phoneticPr fontId="2" type="noConversion"/>
  </si>
  <si>
    <t>省年鉴21-1</t>
    <phoneticPr fontId="2" type="noConversion"/>
  </si>
  <si>
    <t>省年鉴19-2</t>
    <phoneticPr fontId="2" type="noConversion"/>
  </si>
  <si>
    <t>省年鉴19-9</t>
    <phoneticPr fontId="2" type="noConversion"/>
  </si>
  <si>
    <t>省年鉴19-11</t>
    <phoneticPr fontId="2" type="noConversion"/>
  </si>
  <si>
    <t>省年鉴21-56</t>
    <phoneticPr fontId="2" type="noConversion"/>
  </si>
  <si>
    <t>省年鉴21-66</t>
    <phoneticPr fontId="2" type="noConversion"/>
  </si>
  <si>
    <t>省年鉴21-65</t>
    <phoneticPr fontId="2" type="noConversion"/>
  </si>
  <si>
    <t>省年鉴21-62</t>
    <phoneticPr fontId="2" type="noConversion"/>
  </si>
  <si>
    <t>省年鉴21-61</t>
    <phoneticPr fontId="2" type="noConversion"/>
  </si>
  <si>
    <t>省年鉴21-60</t>
    <phoneticPr fontId="2" type="noConversion"/>
  </si>
  <si>
    <t>省年鉴21-59</t>
    <phoneticPr fontId="2" type="noConversion"/>
  </si>
  <si>
    <t>省年鉴21-45</t>
    <phoneticPr fontId="2" type="noConversion"/>
  </si>
  <si>
    <t>省年鉴21-44</t>
    <phoneticPr fontId="2" type="noConversion"/>
  </si>
  <si>
    <t>省年鉴21-14</t>
    <phoneticPr fontId="2" type="noConversion"/>
  </si>
  <si>
    <t>省年鉴21-13</t>
    <phoneticPr fontId="2" type="noConversion"/>
  </si>
  <si>
    <t>省年鉴19-24</t>
    <phoneticPr fontId="2" type="noConversion"/>
  </si>
  <si>
    <t>省年鉴19-25</t>
    <phoneticPr fontId="2" type="noConversion"/>
  </si>
  <si>
    <t>省年鉴19-60</t>
    <phoneticPr fontId="2" type="noConversion"/>
  </si>
  <si>
    <t>省年鉴19-78</t>
    <phoneticPr fontId="2" type="noConversion"/>
  </si>
  <si>
    <t>省年鉴19-79</t>
    <phoneticPr fontId="2" type="noConversion"/>
  </si>
  <si>
    <t>省年鉴19-75</t>
    <phoneticPr fontId="2" type="noConversion"/>
  </si>
  <si>
    <t>统计公报</t>
    <phoneticPr fontId="2" type="noConversion"/>
  </si>
  <si>
    <t xml:space="preserve"> 第三产业值增加值</t>
    <phoneticPr fontId="2" type="noConversion"/>
  </si>
  <si>
    <t>地方财政收入占GDP比</t>
  </si>
  <si>
    <t>社区卫生服务中心占比</t>
    <phoneticPr fontId="2" type="noConversion"/>
  </si>
  <si>
    <t>工业增加值</t>
    <phoneticPr fontId="2" type="noConversion"/>
  </si>
  <si>
    <t>公园绿地面积</t>
    <phoneticPr fontId="2" type="noConversion"/>
  </si>
  <si>
    <t>人均避难场面积</t>
    <phoneticPr fontId="2" type="noConversion"/>
  </si>
  <si>
    <t xml:space="preserve">  长沙</t>
  </si>
  <si>
    <t xml:space="preserve">  浏阳</t>
  </si>
  <si>
    <t xml:space="preserve">  株洲</t>
  </si>
  <si>
    <t xml:space="preserve">  醴陵</t>
  </si>
  <si>
    <t xml:space="preserve">  湘潭</t>
  </si>
  <si>
    <t xml:space="preserve">  湘乡</t>
  </si>
  <si>
    <t xml:space="preserve">  韶山</t>
  </si>
  <si>
    <t xml:space="preserve">  衡阳</t>
  </si>
  <si>
    <t xml:space="preserve">  耒阳</t>
  </si>
  <si>
    <t xml:space="preserve">  常宁</t>
  </si>
  <si>
    <t xml:space="preserve">  邵阳</t>
  </si>
  <si>
    <t xml:space="preserve">  武冈</t>
  </si>
  <si>
    <t xml:space="preserve">  岳阳</t>
  </si>
  <si>
    <t xml:space="preserve">  汩罗</t>
  </si>
  <si>
    <t xml:space="preserve">  临湘</t>
  </si>
  <si>
    <t xml:space="preserve">  常德</t>
  </si>
  <si>
    <t xml:space="preserve">  津市</t>
    <phoneticPr fontId="21" type="noConversion"/>
  </si>
  <si>
    <t xml:space="preserve">  张家界</t>
  </si>
  <si>
    <t xml:space="preserve">  益阳</t>
  </si>
  <si>
    <t xml:space="preserve">  沅江</t>
  </si>
  <si>
    <t xml:space="preserve">  郴州</t>
  </si>
  <si>
    <t xml:space="preserve">  资兴</t>
  </si>
  <si>
    <t xml:space="preserve">  永州</t>
  </si>
  <si>
    <t xml:space="preserve">  怀化</t>
  </si>
  <si>
    <t xml:space="preserve">  洪江</t>
  </si>
  <si>
    <t xml:space="preserve">  娄底</t>
  </si>
  <si>
    <t xml:space="preserve">  冷水江</t>
  </si>
  <si>
    <t xml:space="preserve">  涟源</t>
  </si>
  <si>
    <t xml:space="preserve">  吉首</t>
  </si>
  <si>
    <t xml:space="preserve">   </t>
    <phoneticPr fontId="2" type="noConversion"/>
  </si>
  <si>
    <t>万元GDP能耗（上升或下降）</t>
    <phoneticPr fontId="2" type="noConversion"/>
  </si>
  <si>
    <t>基本养老保险覆盖率</t>
    <phoneticPr fontId="2" type="noConversion"/>
  </si>
  <si>
    <t>基本养老保险覆</t>
    <phoneticPr fontId="2" type="noConversion"/>
  </si>
  <si>
    <t>医疗机构数</t>
    <phoneticPr fontId="2" type="noConversion"/>
  </si>
  <si>
    <t>互联网宽带用户</t>
    <phoneticPr fontId="2" type="noConversion"/>
  </si>
  <si>
    <t>万户</t>
    <phoneticPr fontId="2" type="noConversion"/>
  </si>
  <si>
    <r>
      <rPr>
        <b/>
        <sz val="11"/>
        <color rgb="FF000000"/>
        <rFont val="宋体"/>
        <family val="3"/>
        <charset val="134"/>
      </rPr>
      <t>社卫生服务中</t>
    </r>
    <r>
      <rPr>
        <b/>
        <sz val="11"/>
        <color theme="1"/>
        <rFont val="宋体"/>
        <family val="3"/>
        <charset val="134"/>
      </rPr>
      <t>比</t>
    </r>
    <phoneticPr fontId="2" type="noConversion"/>
  </si>
  <si>
    <t>发明专利</t>
    <phoneticPr fontId="2" type="noConversion"/>
  </si>
  <si>
    <t>湘西州</t>
    <phoneticPr fontId="2" type="noConversion"/>
  </si>
  <si>
    <t>单位</t>
  </si>
  <si>
    <t>%</t>
  </si>
  <si>
    <t>人/万人</t>
  </si>
  <si>
    <t>岁</t>
  </si>
  <si>
    <t>张/万人</t>
  </si>
  <si>
    <t>元</t>
  </si>
  <si>
    <t>件/万人</t>
  </si>
  <si>
    <t>平方米</t>
  </si>
  <si>
    <t>吨标准煤/万元</t>
  </si>
  <si>
    <t>公里/平方公里</t>
  </si>
  <si>
    <t>户/百人</t>
  </si>
  <si>
    <r>
      <rPr>
        <sz val="11"/>
        <color rgb="FF000000"/>
        <rFont val="宋体"/>
        <family val="3"/>
        <charset val="134"/>
      </rPr>
      <t>平方米</t>
    </r>
    <r>
      <rPr>
        <sz val="11"/>
        <color theme="1"/>
        <rFont val="宋体"/>
        <family val="3"/>
        <charset val="134"/>
      </rPr>
      <t>/人</t>
    </r>
  </si>
  <si>
    <t>个</t>
  </si>
  <si>
    <t>空气质量</t>
    <phoneticPr fontId="2" type="noConversion"/>
  </si>
  <si>
    <t xml:space="preserve">保障性住房覆盖率   </t>
    <phoneticPr fontId="2" type="noConversion"/>
  </si>
  <si>
    <t>人口平均预期寿命</t>
    <phoneticPr fontId="2" type="noConversion"/>
  </si>
  <si>
    <t>衡阳市</t>
    <phoneticPr fontId="2" type="noConversion"/>
  </si>
  <si>
    <t>中国城市统计年鉴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</si>
</sst>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0_ "/>
  </numFmts>
  <fonts count="25" x14ac:knownFonts="1">
    <font>
      <sz val="11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scheme val="minor"/>
    </font>
    <font>
      <sz val="9"/>
      <name val="宋体"/>
      <family val="3"/>
      <charset val="134"/>
    </font>
    <font>
      <sz val="12"/>
      <color theme="1"/>
      <name val="微软雅黑"/>
      <family val="2"/>
      <charset val="134"/>
    </font>
    <font>
      <sz val="11"/>
      <color theme="0" tint="-0.249977111117893"/>
      <name val="等线"/>
      <family val="2"/>
      <scheme val="minor"/>
    </font>
    <font>
      <b/>
      <sz val="11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>
      <alignment vertical="center"/>
    </xf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8" fontId="12" fillId="4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0" fillId="0" borderId="0" xfId="0" applyFont="1"/>
    <xf numFmtId="0" fontId="22" fillId="0" borderId="0" xfId="0" applyFont="1"/>
    <xf numFmtId="4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78" fontId="18" fillId="2" borderId="5" xfId="0" applyNumberFormat="1" applyFont="1" applyFill="1" applyBorder="1" applyAlignment="1">
      <alignment horizontal="right" vertical="center" shrinkToFit="1"/>
    </xf>
    <xf numFmtId="0" fontId="23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22BFF428-6D25-4C07-AC36-CFB6A7732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zoomScaleNormal="100" workbookViewId="0">
      <pane xSplit="4" ySplit="1" topLeftCell="E11" activePane="bottomRight" state="frozen"/>
      <selection pane="topRight" activeCell="E1" sqref="E1"/>
      <selection pane="bottomLeft" activeCell="A2" sqref="A2"/>
      <selection pane="bottomRight" activeCell="N30" sqref="N30"/>
    </sheetView>
  </sheetViews>
  <sheetFormatPr defaultRowHeight="13.8" x14ac:dyDescent="0.25"/>
  <cols>
    <col min="3" max="3" width="27.77734375" customWidth="1"/>
  </cols>
  <sheetData>
    <row r="1" spans="1:19" ht="15.6" x14ac:dyDescent="0.25">
      <c r="A1" s="58" t="s">
        <v>0</v>
      </c>
      <c r="B1" s="58" t="s">
        <v>1</v>
      </c>
      <c r="C1" s="2" t="s">
        <v>2</v>
      </c>
      <c r="D1" s="2" t="s">
        <v>155</v>
      </c>
      <c r="E1" s="2" t="s">
        <v>3</v>
      </c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5" t="s">
        <v>17</v>
      </c>
    </row>
    <row r="2" spans="1:19" ht="14.4" x14ac:dyDescent="0.25">
      <c r="A2" s="62" t="s">
        <v>18</v>
      </c>
      <c r="B2" s="62" t="s">
        <v>19</v>
      </c>
      <c r="C2" s="6" t="s">
        <v>20</v>
      </c>
      <c r="D2" s="6" t="s">
        <v>156</v>
      </c>
      <c r="E2" s="7">
        <v>5.8881251136199877</v>
      </c>
      <c r="F2" s="7">
        <v>5.7266976435238419</v>
      </c>
      <c r="G2" s="7">
        <v>6.1864836837808621</v>
      </c>
      <c r="H2" s="7">
        <v>6.0775626680900867</v>
      </c>
      <c r="I2" s="7">
        <v>5.737055690330287</v>
      </c>
      <c r="J2" s="7">
        <v>6.3300816824582427</v>
      </c>
      <c r="K2" s="7">
        <v>6.7887235166709416</v>
      </c>
      <c r="L2" s="7">
        <v>6.2085054507503008</v>
      </c>
      <c r="M2" s="7">
        <v>6.6480981743076386</v>
      </c>
      <c r="N2" s="7">
        <v>6.0256677273380337</v>
      </c>
      <c r="O2" s="7">
        <v>6.2633756306750525</v>
      </c>
      <c r="P2" s="7">
        <v>6.1898422337822039</v>
      </c>
      <c r="Q2" s="7">
        <v>5.8626820121929279</v>
      </c>
      <c r="R2" s="7">
        <v>6.3922726988354537</v>
      </c>
      <c r="S2" s="8" t="s">
        <v>21</v>
      </c>
    </row>
    <row r="3" spans="1:19" ht="28.8" x14ac:dyDescent="0.25">
      <c r="A3" s="62"/>
      <c r="B3" s="62"/>
      <c r="C3" s="6" t="s">
        <v>63</v>
      </c>
      <c r="D3" s="6" t="s">
        <v>156</v>
      </c>
      <c r="E3" s="7">
        <v>15.390712948715388</v>
      </c>
      <c r="F3" s="7">
        <v>13.792809859304825</v>
      </c>
      <c r="G3" s="7">
        <v>13.166325835037492</v>
      </c>
      <c r="H3" s="7">
        <v>17.062908001593048</v>
      </c>
      <c r="I3" s="7">
        <v>18.408078206800742</v>
      </c>
      <c r="J3" s="7">
        <v>13.088668138337011</v>
      </c>
      <c r="K3" s="7">
        <v>13.274048014593308</v>
      </c>
      <c r="L3" s="7">
        <v>13.955133387227164</v>
      </c>
      <c r="M3" s="7">
        <v>15.380422085507359</v>
      </c>
      <c r="N3" s="7">
        <v>17.071805361179891</v>
      </c>
      <c r="O3" s="7">
        <v>19.242279147713671</v>
      </c>
      <c r="P3" s="7">
        <v>18.357136926015112</v>
      </c>
      <c r="Q3" s="7">
        <v>18.939669822772519</v>
      </c>
      <c r="R3" s="7">
        <v>16.547808820650502</v>
      </c>
      <c r="S3" s="8" t="s">
        <v>21</v>
      </c>
    </row>
    <row r="4" spans="1:19" ht="14.4" x14ac:dyDescent="0.25">
      <c r="A4" s="62"/>
      <c r="B4" s="62"/>
      <c r="C4" s="6" t="s">
        <v>84</v>
      </c>
      <c r="D4" s="12" t="s">
        <v>157</v>
      </c>
      <c r="E4" s="7">
        <v>176.08043097964375</v>
      </c>
      <c r="F4" s="7">
        <v>71.023032973790066</v>
      </c>
      <c r="G4" s="7">
        <v>146.45019262520637</v>
      </c>
      <c r="H4" s="7">
        <v>50.323687934720425</v>
      </c>
      <c r="I4" s="7">
        <v>13.44814447915873</v>
      </c>
      <c r="J4" s="7">
        <v>30.060413984351786</v>
      </c>
      <c r="K4" s="7">
        <v>29.052863018631889</v>
      </c>
      <c r="L4" s="7">
        <v>28.368046401265488</v>
      </c>
      <c r="M4" s="7">
        <v>30.674735092457926</v>
      </c>
      <c r="N4" s="7">
        <v>19.238991021804189</v>
      </c>
      <c r="O4" s="7">
        <v>16.253162644915221</v>
      </c>
      <c r="P4" s="7">
        <v>17.018722995679308</v>
      </c>
      <c r="Q4" s="7">
        <v>22.841989758595464</v>
      </c>
      <c r="R4" s="7">
        <v>33.154886491708261</v>
      </c>
      <c r="S4" s="8" t="s">
        <v>21</v>
      </c>
    </row>
    <row r="5" spans="1:19" ht="14.4" x14ac:dyDescent="0.25">
      <c r="A5" s="62"/>
      <c r="B5" s="63" t="s">
        <v>22</v>
      </c>
      <c r="C5" s="9" t="s">
        <v>23</v>
      </c>
      <c r="D5" s="12" t="s">
        <v>158</v>
      </c>
      <c r="E5" s="11">
        <v>77.099999999999994</v>
      </c>
      <c r="F5" s="11">
        <v>75.91</v>
      </c>
      <c r="G5" s="11">
        <v>75.19</v>
      </c>
      <c r="H5" s="11">
        <v>73.77</v>
      </c>
      <c r="I5" s="11">
        <v>73.63</v>
      </c>
      <c r="J5" s="11">
        <v>75.099999999999994</v>
      </c>
      <c r="K5" s="11">
        <v>75.62</v>
      </c>
      <c r="L5" s="11">
        <v>75.040000000000006</v>
      </c>
      <c r="M5" s="11">
        <v>75.680000000000007</v>
      </c>
      <c r="N5" s="11">
        <v>75.25</v>
      </c>
      <c r="O5" s="11">
        <v>73.86</v>
      </c>
      <c r="P5" s="11">
        <v>74.569999999999993</v>
      </c>
      <c r="Q5" s="11">
        <v>74.599999999999994</v>
      </c>
      <c r="R5" s="11">
        <v>73.260000000000005</v>
      </c>
      <c r="S5" s="8" t="s">
        <v>21</v>
      </c>
    </row>
    <row r="6" spans="1:19" ht="14.4" x14ac:dyDescent="0.25">
      <c r="A6" s="62"/>
      <c r="B6" s="63"/>
      <c r="C6" s="6" t="s">
        <v>24</v>
      </c>
      <c r="D6" s="12" t="s">
        <v>157</v>
      </c>
      <c r="E6" s="7">
        <v>32.58687181933842</v>
      </c>
      <c r="F6" s="7">
        <v>28.290333324793114</v>
      </c>
      <c r="G6" s="7">
        <v>30.702623371858373</v>
      </c>
      <c r="H6" s="7">
        <v>27.835656860678689</v>
      </c>
      <c r="I6" s="7">
        <v>24.491351063019128</v>
      </c>
      <c r="J6" s="7">
        <v>27.14469644448846</v>
      </c>
      <c r="K6" s="7">
        <v>33.78001857502985</v>
      </c>
      <c r="L6" s="7">
        <v>26.423675191141577</v>
      </c>
      <c r="M6" s="7">
        <v>28.82817369623935</v>
      </c>
      <c r="N6" s="7">
        <v>27.28088926891834</v>
      </c>
      <c r="O6" s="7">
        <v>27.257278803670555</v>
      </c>
      <c r="P6" s="7">
        <v>28.29834591716493</v>
      </c>
      <c r="Q6" s="7">
        <v>27.04305570070018</v>
      </c>
      <c r="R6" s="7">
        <v>26.304137819996779</v>
      </c>
      <c r="S6" s="8" t="s">
        <v>21</v>
      </c>
    </row>
    <row r="7" spans="1:19" ht="14.4" x14ac:dyDescent="0.25">
      <c r="A7" s="62"/>
      <c r="B7" s="63"/>
      <c r="C7" s="6" t="s">
        <v>25</v>
      </c>
      <c r="D7" s="12" t="s">
        <v>159</v>
      </c>
      <c r="E7" s="7">
        <v>82.677321882951645</v>
      </c>
      <c r="F7" s="7">
        <v>76.298326970869311</v>
      </c>
      <c r="G7" s="7">
        <v>77.886626307099618</v>
      </c>
      <c r="H7" s="7">
        <v>75.453915871247474</v>
      </c>
      <c r="I7" s="7">
        <v>70.200411491274863</v>
      </c>
      <c r="J7" s="7">
        <v>76.222640388234126</v>
      </c>
      <c r="K7" s="7">
        <v>81.078109895941921</v>
      </c>
      <c r="L7" s="7">
        <v>68.553915106775634</v>
      </c>
      <c r="M7" s="7">
        <v>78.217847496364016</v>
      </c>
      <c r="N7" s="7">
        <v>76.447199657973485</v>
      </c>
      <c r="O7" s="7">
        <v>79.381443298969074</v>
      </c>
      <c r="P7" s="7">
        <v>84.45860428577663</v>
      </c>
      <c r="Q7" s="7">
        <v>76.329815027693598</v>
      </c>
      <c r="R7" s="7">
        <v>88.407663822250839</v>
      </c>
      <c r="S7" s="8" t="s">
        <v>21</v>
      </c>
    </row>
    <row r="8" spans="1:19" ht="14.4" x14ac:dyDescent="0.25">
      <c r="A8" s="62"/>
      <c r="B8" s="63" t="s">
        <v>26</v>
      </c>
      <c r="C8" s="10" t="s">
        <v>27</v>
      </c>
      <c r="D8" s="6" t="s">
        <v>156</v>
      </c>
      <c r="E8" s="7">
        <v>41.355558206106871</v>
      </c>
      <c r="F8" s="7">
        <v>59.465553021956907</v>
      </c>
      <c r="G8" s="7">
        <v>23.371858374610163</v>
      </c>
      <c r="H8" s="7">
        <v>20.937340037939233</v>
      </c>
      <c r="I8" s="7">
        <v>18.745713632553532</v>
      </c>
      <c r="J8" s="7">
        <v>53.110824997524006</v>
      </c>
      <c r="K8" s="7">
        <v>26.952747398548109</v>
      </c>
      <c r="L8" s="7">
        <v>64.724492486158709</v>
      </c>
      <c r="M8" s="7">
        <v>9.2899439019322667</v>
      </c>
      <c r="N8" s="7">
        <v>13.080376229157759</v>
      </c>
      <c r="O8" s="7">
        <v>13.25478645066274</v>
      </c>
      <c r="P8" s="7">
        <v>14.624885436215248</v>
      </c>
      <c r="Q8" s="7">
        <v>17.820566412373289</v>
      </c>
      <c r="R8" s="7">
        <v>7.5068426984382537</v>
      </c>
      <c r="S8" s="8" t="s">
        <v>21</v>
      </c>
    </row>
    <row r="9" spans="1:19" ht="28.8" x14ac:dyDescent="0.25">
      <c r="A9" s="62"/>
      <c r="B9" s="63"/>
      <c r="C9" s="6" t="s">
        <v>65</v>
      </c>
      <c r="D9" s="6" t="s">
        <v>156</v>
      </c>
      <c r="E9" s="7">
        <v>8.4417444362289586</v>
      </c>
      <c r="F9" s="7">
        <v>10.161554671037228</v>
      </c>
      <c r="G9" s="7">
        <v>12.733469665985004</v>
      </c>
      <c r="H9" s="7">
        <v>15.55990372461083</v>
      </c>
      <c r="I9" s="7">
        <v>13.511681886722124</v>
      </c>
      <c r="J9" s="7">
        <v>12.498160412067696</v>
      </c>
      <c r="K9" s="7">
        <v>13.958109384670511</v>
      </c>
      <c r="L9" s="7">
        <v>12.136216653193211</v>
      </c>
      <c r="M9" s="7">
        <v>14.212288762557431</v>
      </c>
      <c r="N9" s="7">
        <v>13.575196468941758</v>
      </c>
      <c r="O9" s="7">
        <v>14.709520389434202</v>
      </c>
      <c r="P9" s="7">
        <v>13.912646350577095</v>
      </c>
      <c r="Q9" s="7">
        <v>13.862588006797766</v>
      </c>
      <c r="R9" s="7">
        <v>12.32765612327656</v>
      </c>
      <c r="S9" s="8" t="s">
        <v>21</v>
      </c>
    </row>
    <row r="10" spans="1:19" ht="14.4" x14ac:dyDescent="0.25">
      <c r="A10" s="62"/>
      <c r="B10" s="63" t="s">
        <v>28</v>
      </c>
      <c r="C10" s="9" t="s">
        <v>29</v>
      </c>
      <c r="D10" s="6" t="s">
        <v>156</v>
      </c>
      <c r="E10" s="11">
        <v>23.21</v>
      </c>
      <c r="F10" s="11">
        <v>21.9</v>
      </c>
      <c r="G10" s="11">
        <v>19.649999999999999</v>
      </c>
      <c r="H10" s="11">
        <v>21.865400000000001</v>
      </c>
      <c r="I10" s="11">
        <v>19.9236</v>
      </c>
      <c r="J10" s="11">
        <v>23.56</v>
      </c>
      <c r="K10" s="11">
        <v>22.61</v>
      </c>
      <c r="L10" s="11">
        <v>20.238</v>
      </c>
      <c r="M10" s="11">
        <v>21.49</v>
      </c>
      <c r="N10" s="11">
        <v>19.68</v>
      </c>
      <c r="O10" s="11">
        <v>21.451000000000001</v>
      </c>
      <c r="P10" s="11">
        <v>22.486000000000001</v>
      </c>
      <c r="Q10" s="11">
        <v>20.4512</v>
      </c>
      <c r="R10" s="11">
        <v>23.094000000000001</v>
      </c>
      <c r="S10" s="8" t="s">
        <v>21</v>
      </c>
    </row>
    <row r="11" spans="1:19" ht="14.4" x14ac:dyDescent="0.25">
      <c r="A11" s="62"/>
      <c r="B11" s="63"/>
      <c r="C11" s="10" t="s">
        <v>30</v>
      </c>
      <c r="D11" s="9"/>
      <c r="E11" s="7">
        <v>6.4</v>
      </c>
      <c r="F11" s="7">
        <v>4.0999999999999996</v>
      </c>
      <c r="G11" s="7">
        <v>4.3</v>
      </c>
      <c r="H11" s="7">
        <v>4.4000000000000004</v>
      </c>
      <c r="I11" s="7">
        <v>5.0999999999999996</v>
      </c>
      <c r="J11" s="7">
        <v>5.6</v>
      </c>
      <c r="K11" s="7">
        <v>5.8</v>
      </c>
      <c r="L11" s="7">
        <v>7.4</v>
      </c>
      <c r="M11" s="7">
        <v>5.8</v>
      </c>
      <c r="N11" s="7">
        <v>5.0999999999999996</v>
      </c>
      <c r="O11" s="7">
        <v>5.6</v>
      </c>
      <c r="P11" s="7">
        <v>5.6</v>
      </c>
      <c r="Q11" s="7">
        <v>5.7</v>
      </c>
      <c r="R11" s="7">
        <v>5.8</v>
      </c>
      <c r="S11" s="11" t="s">
        <v>31</v>
      </c>
    </row>
    <row r="12" spans="1:19" ht="14.4" x14ac:dyDescent="0.25">
      <c r="A12" s="62" t="s">
        <v>32</v>
      </c>
      <c r="B12" s="62" t="s">
        <v>33</v>
      </c>
      <c r="C12" s="6" t="s">
        <v>34</v>
      </c>
      <c r="D12" s="54" t="s">
        <v>160</v>
      </c>
      <c r="E12" s="8">
        <v>57971.199999999997</v>
      </c>
      <c r="F12" s="8">
        <v>48788.2</v>
      </c>
      <c r="G12" s="8">
        <v>41804</v>
      </c>
      <c r="H12" s="8">
        <v>38478.5</v>
      </c>
      <c r="I12" s="8">
        <v>30844.9</v>
      </c>
      <c r="J12" s="8">
        <v>36749.199999999997</v>
      </c>
      <c r="K12" s="8">
        <v>35469</v>
      </c>
      <c r="L12" s="8">
        <v>27884.2</v>
      </c>
      <c r="M12" s="8">
        <v>33274.400000000001</v>
      </c>
      <c r="N12" s="8">
        <v>36988.5</v>
      </c>
      <c r="O12" s="8">
        <v>32830</v>
      </c>
      <c r="P12" s="8">
        <v>30329.4</v>
      </c>
      <c r="Q12" s="8">
        <v>32161.4</v>
      </c>
      <c r="R12" s="8">
        <v>27852.6</v>
      </c>
      <c r="S12" s="8" t="s">
        <v>21</v>
      </c>
    </row>
    <row r="13" spans="1:19" ht="14.4" x14ac:dyDescent="0.25">
      <c r="A13" s="62"/>
      <c r="B13" s="62"/>
      <c r="C13" s="6" t="s">
        <v>35</v>
      </c>
      <c r="D13" s="6" t="s">
        <v>156</v>
      </c>
      <c r="E13" s="8">
        <v>3.27</v>
      </c>
      <c r="F13" s="8">
        <v>2.5</v>
      </c>
      <c r="G13" s="8">
        <v>3.1</v>
      </c>
      <c r="H13" s="8">
        <v>3.49</v>
      </c>
      <c r="I13" s="8">
        <v>3.2</v>
      </c>
      <c r="J13" s="8">
        <v>1.89</v>
      </c>
      <c r="K13" s="8">
        <v>3.11</v>
      </c>
      <c r="L13" s="8">
        <v>3.6</v>
      </c>
      <c r="M13" s="8">
        <v>2.2000000000000002</v>
      </c>
      <c r="N13" s="8">
        <v>2.61</v>
      </c>
      <c r="O13" s="8">
        <v>2.0499999999999998</v>
      </c>
      <c r="P13" s="8">
        <v>2.4</v>
      </c>
      <c r="Q13" s="8">
        <v>2.2999999999999998</v>
      </c>
      <c r="R13" s="8">
        <v>2.84</v>
      </c>
      <c r="S13" s="11" t="s">
        <v>31</v>
      </c>
    </row>
    <row r="14" spans="1:19" ht="14.4" x14ac:dyDescent="0.25">
      <c r="A14" s="62"/>
      <c r="B14" s="62"/>
      <c r="C14" s="6" t="s">
        <v>36</v>
      </c>
      <c r="D14" s="6" t="s">
        <v>156</v>
      </c>
      <c r="E14" s="7">
        <v>9.0598162490158529</v>
      </c>
      <c r="F14" s="7">
        <v>6.5876746731920912</v>
      </c>
      <c r="G14" s="7">
        <v>4.9578558777713759</v>
      </c>
      <c r="H14" s="7">
        <v>4.9442781815590715</v>
      </c>
      <c r="I14" s="7">
        <v>4.6800929443178232</v>
      </c>
      <c r="J14" s="7">
        <v>3.8167710012370204</v>
      </c>
      <c r="K14" s="7">
        <v>5.0107624968992805</v>
      </c>
      <c r="L14" s="7">
        <v>5.7717180426816128</v>
      </c>
      <c r="M14" s="7">
        <v>4.203983857392581</v>
      </c>
      <c r="N14" s="7">
        <v>5.7297638499922083</v>
      </c>
      <c r="O14" s="7">
        <v>6.1104521516344832</v>
      </c>
      <c r="P14" s="7">
        <v>5.9556065962066436</v>
      </c>
      <c r="Q14" s="7">
        <v>4.798385656630594</v>
      </c>
      <c r="R14" s="7">
        <v>8.8910648039607789</v>
      </c>
      <c r="S14" s="8" t="s">
        <v>21</v>
      </c>
    </row>
    <row r="15" spans="1:19" ht="14.4" x14ac:dyDescent="0.25">
      <c r="A15" s="62"/>
      <c r="B15" s="63" t="s">
        <v>37</v>
      </c>
      <c r="C15" s="12" t="s">
        <v>38</v>
      </c>
      <c r="D15" s="12" t="s">
        <v>156</v>
      </c>
      <c r="E15" s="7">
        <v>57.482219506329827</v>
      </c>
      <c r="F15" s="7">
        <v>45.483611307875584</v>
      </c>
      <c r="G15" s="7">
        <v>42.643876832469111</v>
      </c>
      <c r="H15" s="7">
        <v>54.367963517172576</v>
      </c>
      <c r="I15" s="7">
        <v>51.199790297715055</v>
      </c>
      <c r="J15" s="7">
        <v>47.966163111794181</v>
      </c>
      <c r="K15" s="7">
        <v>46.433172496019068</v>
      </c>
      <c r="L15" s="7">
        <v>69.571387511676377</v>
      </c>
      <c r="M15" s="7">
        <v>39.938925696527612</v>
      </c>
      <c r="N15" s="7">
        <v>50.020974243628814</v>
      </c>
      <c r="O15" s="7">
        <v>49.315367462162556</v>
      </c>
      <c r="P15" s="7">
        <v>55.836877269165662</v>
      </c>
      <c r="Q15" s="7">
        <v>49.410693239044249</v>
      </c>
      <c r="R15" s="7">
        <v>56.430058887617051</v>
      </c>
      <c r="S15" s="8" t="s">
        <v>21</v>
      </c>
    </row>
    <row r="16" spans="1:19" ht="28.8" x14ac:dyDescent="0.25">
      <c r="A16" s="62"/>
      <c r="B16" s="63"/>
      <c r="C16" s="12" t="s">
        <v>62</v>
      </c>
      <c r="D16" s="12" t="s">
        <v>156</v>
      </c>
      <c r="E16" s="7">
        <v>101.12680115273776</v>
      </c>
      <c r="F16" s="7">
        <v>78.583633093525179</v>
      </c>
      <c r="G16" s="7">
        <v>86.808889742440726</v>
      </c>
      <c r="H16" s="7">
        <v>70.873496897690245</v>
      </c>
      <c r="I16" s="7">
        <v>84.314280324467077</v>
      </c>
      <c r="J16" s="7">
        <v>69.05756257118658</v>
      </c>
      <c r="K16" s="7">
        <v>38.97317073170732</v>
      </c>
      <c r="L16" s="7">
        <v>52.072072072072075</v>
      </c>
      <c r="M16" s="7">
        <v>64.13181475445127</v>
      </c>
      <c r="N16" s="7">
        <v>73.693430656934297</v>
      </c>
      <c r="O16" s="7">
        <v>69.667138142385681</v>
      </c>
      <c r="P16" s="7">
        <v>73.158355656295072</v>
      </c>
      <c r="Q16" s="7">
        <v>66.460519261698721</v>
      </c>
      <c r="R16" s="7">
        <v>29.624444579706623</v>
      </c>
      <c r="S16" s="8" t="s">
        <v>21</v>
      </c>
    </row>
    <row r="17" spans="1:20" ht="28.8" x14ac:dyDescent="0.25">
      <c r="A17" s="62"/>
      <c r="B17" s="63" t="s">
        <v>39</v>
      </c>
      <c r="C17" s="6" t="s">
        <v>69</v>
      </c>
      <c r="D17" s="12" t="s">
        <v>156</v>
      </c>
      <c r="E17" s="7">
        <v>23.815191542934794</v>
      </c>
      <c r="F17" s="7">
        <v>21.612609352717055</v>
      </c>
      <c r="G17" s="7">
        <v>20.166632583503748</v>
      </c>
      <c r="H17" s="7">
        <v>10.983602015549513</v>
      </c>
      <c r="I17" s="7">
        <v>4.7490469816851055</v>
      </c>
      <c r="J17" s="7">
        <v>11.521136865342163</v>
      </c>
      <c r="K17" s="7">
        <v>9.1958369979478167</v>
      </c>
      <c r="L17" s="7">
        <v>1.9906527890056591</v>
      </c>
      <c r="M17" s="7">
        <v>9.0694130779015136</v>
      </c>
      <c r="N17" s="7">
        <v>6.5473355581871031</v>
      </c>
      <c r="O17" s="7">
        <v>6.8385204692362933</v>
      </c>
      <c r="P17" s="7">
        <v>6.460952420493232</v>
      </c>
      <c r="Q17" s="7">
        <v>9.149338431658169</v>
      </c>
      <c r="R17" s="7">
        <v>1.4217356042173561</v>
      </c>
      <c r="S17" s="8" t="s">
        <v>21</v>
      </c>
    </row>
    <row r="18" spans="1:20" ht="14.4" x14ac:dyDescent="0.25">
      <c r="A18" s="62"/>
      <c r="B18" s="63"/>
      <c r="C18" s="6" t="s">
        <v>40</v>
      </c>
      <c r="D18" s="12" t="s">
        <v>161</v>
      </c>
      <c r="E18" s="7">
        <v>32.8125</v>
      </c>
      <c r="F18" s="7">
        <v>10.834977325715457</v>
      </c>
      <c r="G18" s="7">
        <v>15.204549623922215</v>
      </c>
      <c r="H18" s="7">
        <v>2.9312577158170483</v>
      </c>
      <c r="I18" s="7">
        <v>4.8967461708450815</v>
      </c>
      <c r="J18" s="7">
        <v>4.6964444884619194</v>
      </c>
      <c r="K18" s="7">
        <v>7.375045016016224</v>
      </c>
      <c r="L18" s="7">
        <v>7.5336145531241758</v>
      </c>
      <c r="M18" s="7">
        <v>5.2539995844587573</v>
      </c>
      <c r="N18" s="7">
        <v>6.4536126549807609</v>
      </c>
      <c r="O18" s="7">
        <v>5.7815037196480494</v>
      </c>
      <c r="P18" s="7">
        <v>10.273643783005282</v>
      </c>
      <c r="Q18" s="7">
        <v>7.119343714076706</v>
      </c>
      <c r="R18" s="7">
        <v>3.3005957172758009</v>
      </c>
      <c r="S18" s="8" t="s">
        <v>21</v>
      </c>
    </row>
    <row r="19" spans="1:20" ht="14.4" x14ac:dyDescent="0.25">
      <c r="A19" s="62" t="s">
        <v>41</v>
      </c>
      <c r="B19" s="63" t="s">
        <v>42</v>
      </c>
      <c r="C19" s="12" t="s">
        <v>43</v>
      </c>
      <c r="D19" s="12" t="s">
        <v>156</v>
      </c>
      <c r="E19" s="7">
        <v>84.4</v>
      </c>
      <c r="F19" s="7">
        <v>86.6</v>
      </c>
      <c r="G19" s="7">
        <v>86.1</v>
      </c>
      <c r="H19" s="7">
        <v>92.1</v>
      </c>
      <c r="I19" s="7">
        <v>93.4</v>
      </c>
      <c r="J19" s="7">
        <v>90.7</v>
      </c>
      <c r="K19" s="7">
        <v>84.7</v>
      </c>
      <c r="L19" s="7">
        <v>97.8</v>
      </c>
      <c r="M19" s="7">
        <v>84.4</v>
      </c>
      <c r="N19" s="7">
        <v>95.4</v>
      </c>
      <c r="O19" s="7">
        <v>96.4</v>
      </c>
      <c r="P19" s="7">
        <v>98.1</v>
      </c>
      <c r="Q19" s="7">
        <v>95.9</v>
      </c>
      <c r="R19" s="7">
        <v>99.5</v>
      </c>
      <c r="S19" s="8" t="s">
        <v>21</v>
      </c>
    </row>
    <row r="20" spans="1:20" ht="14.4" x14ac:dyDescent="0.25">
      <c r="A20" s="62"/>
      <c r="B20" s="63"/>
      <c r="C20" s="10" t="s">
        <v>44</v>
      </c>
      <c r="D20" s="6" t="s">
        <v>156</v>
      </c>
      <c r="E20" s="7">
        <v>82</v>
      </c>
      <c r="F20" s="7">
        <v>89.63</v>
      </c>
      <c r="G20" s="7">
        <v>80</v>
      </c>
      <c r="H20" s="7">
        <v>74.53</v>
      </c>
      <c r="I20" s="7">
        <v>76.010000000000005</v>
      </c>
      <c r="J20" s="7">
        <v>72.44</v>
      </c>
      <c r="K20" s="7">
        <v>99.87</v>
      </c>
      <c r="L20" s="7">
        <v>98.98</v>
      </c>
      <c r="M20" s="7">
        <v>93.96</v>
      </c>
      <c r="N20" s="7">
        <v>58</v>
      </c>
      <c r="O20" s="7">
        <v>96</v>
      </c>
      <c r="P20" s="7">
        <v>95</v>
      </c>
      <c r="Q20" s="7">
        <v>91.46</v>
      </c>
      <c r="R20" s="7">
        <v>78.579195185041399</v>
      </c>
      <c r="S20" s="8" t="s">
        <v>21</v>
      </c>
      <c r="T20" t="s">
        <v>172</v>
      </c>
    </row>
    <row r="21" spans="1:20" ht="14.4" x14ac:dyDescent="0.25">
      <c r="A21" s="62"/>
      <c r="B21" s="63"/>
      <c r="C21" s="56" t="s">
        <v>45</v>
      </c>
      <c r="D21" s="6" t="s">
        <v>162</v>
      </c>
      <c r="E21" s="7">
        <v>2.5789864291772724</v>
      </c>
      <c r="F21" s="7">
        <v>1.1068125336271168</v>
      </c>
      <c r="G21" s="7">
        <v>1.0774781385678467</v>
      </c>
      <c r="H21" s="7">
        <v>1.1948852287896585</v>
      </c>
      <c r="I21" s="7">
        <v>0.93931773730600232</v>
      </c>
      <c r="J21" s="7">
        <v>1.3561784028259221</v>
      </c>
      <c r="K21" s="7">
        <v>1.186527417123145</v>
      </c>
      <c r="L21" s="7">
        <v>3.8557869760084365</v>
      </c>
      <c r="M21" s="7">
        <v>1.0414502389362144</v>
      </c>
      <c r="N21" s="7">
        <v>1.1457887986318938</v>
      </c>
      <c r="O21" s="7">
        <v>1.7295419357275028</v>
      </c>
      <c r="P21" s="7">
        <v>0.87504909876489334</v>
      </c>
      <c r="Q21" s="7">
        <v>1.2749503605392414</v>
      </c>
      <c r="R21" s="7">
        <v>0.54607416948424836</v>
      </c>
      <c r="S21" s="8" t="s">
        <v>21</v>
      </c>
    </row>
    <row r="22" spans="1:20" ht="28.8" x14ac:dyDescent="0.25">
      <c r="A22" s="62"/>
      <c r="B22" s="63"/>
      <c r="C22" s="56" t="s">
        <v>46</v>
      </c>
      <c r="D22" s="12" t="s">
        <v>163</v>
      </c>
      <c r="E22" s="7">
        <v>-2.77</v>
      </c>
      <c r="F22" s="7">
        <v>-2.4</v>
      </c>
      <c r="G22" s="7">
        <v>-1.52</v>
      </c>
      <c r="H22" s="7">
        <v>-3.63</v>
      </c>
      <c r="I22" s="7">
        <v>-4.68</v>
      </c>
      <c r="J22" s="7">
        <v>-3.34</v>
      </c>
      <c r="K22" s="7">
        <v>-1.04</v>
      </c>
      <c r="L22" s="7">
        <v>-3.07</v>
      </c>
      <c r="M22" s="7">
        <v>-1.06</v>
      </c>
      <c r="N22" s="7">
        <v>-0.46</v>
      </c>
      <c r="O22" s="7">
        <v>-1.9</v>
      </c>
      <c r="P22" s="7">
        <v>-1.8</v>
      </c>
      <c r="Q22" s="7">
        <v>-2.52</v>
      </c>
      <c r="R22" s="7">
        <v>-0.22</v>
      </c>
      <c r="S22" s="11" t="s">
        <v>31</v>
      </c>
    </row>
    <row r="23" spans="1:20" ht="28.8" x14ac:dyDescent="0.25">
      <c r="A23" s="62"/>
      <c r="B23" s="63" t="s">
        <v>47</v>
      </c>
      <c r="C23" s="56" t="s">
        <v>48</v>
      </c>
      <c r="D23" s="55" t="s">
        <v>164</v>
      </c>
      <c r="E23" s="7">
        <v>7.7981016036438513</v>
      </c>
      <c r="F23" s="7">
        <v>6.9036976253683298</v>
      </c>
      <c r="G23" s="7">
        <v>6.9843054289061204</v>
      </c>
      <c r="H23" s="7">
        <v>5.575323738277862</v>
      </c>
      <c r="I23" s="7">
        <v>6.0574838124838122</v>
      </c>
      <c r="J23" s="7">
        <v>6.4055961523047804</v>
      </c>
      <c r="K23" s="7">
        <v>6.8040736455354693</v>
      </c>
      <c r="L23" s="7">
        <v>5.3049627153509897</v>
      </c>
      <c r="M23" s="7">
        <v>6.1718716463846803</v>
      </c>
      <c r="N23" s="7">
        <v>4.0038767694009225</v>
      </c>
      <c r="O23" s="7">
        <v>6.0549768518518503</v>
      </c>
      <c r="P23" s="7">
        <v>6.0349503374694216</v>
      </c>
      <c r="Q23" s="7">
        <v>5.7943925233644862</v>
      </c>
      <c r="R23" s="7">
        <v>4.7832990539172</v>
      </c>
      <c r="S23" s="13" t="s">
        <v>21</v>
      </c>
    </row>
    <row r="24" spans="1:20" ht="15.6" x14ac:dyDescent="0.25">
      <c r="A24" s="62"/>
      <c r="B24" s="63"/>
      <c r="C24" s="56" t="s">
        <v>49</v>
      </c>
      <c r="D24" s="6" t="s">
        <v>156</v>
      </c>
      <c r="E24" s="7">
        <v>99.675535580539687</v>
      </c>
      <c r="F24" s="7">
        <v>95.980892215365031</v>
      </c>
      <c r="G24" s="7">
        <v>98.631583112696305</v>
      </c>
      <c r="H24" s="7">
        <v>96.536029925640435</v>
      </c>
      <c r="I24" s="7">
        <v>95.651183272417128</v>
      </c>
      <c r="J24" s="7">
        <v>97.306279093346006</v>
      </c>
      <c r="K24" s="7">
        <v>96.608528064986842</v>
      </c>
      <c r="L24" s="7">
        <v>87.875647668393782</v>
      </c>
      <c r="M24" s="7">
        <v>99.914848433539291</v>
      </c>
      <c r="N24" s="7">
        <v>90.721336919229358</v>
      </c>
      <c r="O24" s="7">
        <v>99.13822237242313</v>
      </c>
      <c r="P24" s="7">
        <v>92.803065011224618</v>
      </c>
      <c r="Q24" s="7">
        <v>97.906755470980016</v>
      </c>
      <c r="R24" s="7">
        <v>90.390849416848695</v>
      </c>
      <c r="S24" s="13" t="s">
        <v>21</v>
      </c>
    </row>
    <row r="25" spans="1:20" ht="14.4" x14ac:dyDescent="0.25">
      <c r="A25" s="62"/>
      <c r="B25" s="63"/>
      <c r="C25" s="6" t="s">
        <v>50</v>
      </c>
      <c r="D25" s="6" t="s">
        <v>165</v>
      </c>
      <c r="E25" s="7">
        <v>43.187420483460556</v>
      </c>
      <c r="F25" s="7">
        <v>30.053034767236298</v>
      </c>
      <c r="G25" s="7">
        <v>42.560997982021647</v>
      </c>
      <c r="H25" s="7">
        <v>26.73060130679594</v>
      </c>
      <c r="I25" s="7">
        <v>8.6565571896669979</v>
      </c>
      <c r="J25" s="7">
        <v>31.199366148360898</v>
      </c>
      <c r="K25" s="7">
        <v>30.307625239295664</v>
      </c>
      <c r="L25" s="7">
        <v>38.689691537041917</v>
      </c>
      <c r="M25" s="7">
        <v>16.387907749844171</v>
      </c>
      <c r="N25" s="7">
        <v>29.698589140658399</v>
      </c>
      <c r="O25" s="7">
        <v>24.494920886673459</v>
      </c>
      <c r="P25" s="7">
        <v>28.586392004538908</v>
      </c>
      <c r="Q25" s="7">
        <v>36.289058417807503</v>
      </c>
      <c r="R25" s="7">
        <v>26.84752857832877</v>
      </c>
      <c r="S25" s="8" t="s">
        <v>21</v>
      </c>
    </row>
    <row r="26" spans="1:20" ht="14.4" x14ac:dyDescent="0.25">
      <c r="A26" s="62" t="s">
        <v>51</v>
      </c>
      <c r="B26" s="63" t="s">
        <v>52</v>
      </c>
      <c r="C26" s="6" t="s">
        <v>53</v>
      </c>
      <c r="D26" s="6" t="s">
        <v>156</v>
      </c>
      <c r="E26" s="7">
        <v>15.701773125400557</v>
      </c>
      <c r="F26" s="7">
        <v>1.3175230566534915</v>
      </c>
      <c r="G26" s="7">
        <v>1.1051985264019648</v>
      </c>
      <c r="H26" s="7">
        <v>0.93113902122130798</v>
      </c>
      <c r="I26" s="7">
        <v>0.8771929824561403</v>
      </c>
      <c r="J26" s="7">
        <v>1.2615235322658904</v>
      </c>
      <c r="K26" s="7">
        <v>2.5251528901163938</v>
      </c>
      <c r="L26" s="7">
        <v>1.777434312210201</v>
      </c>
      <c r="M26" s="7">
        <v>1.1278195488721803</v>
      </c>
      <c r="N26" s="7">
        <v>1.0421601136901941</v>
      </c>
      <c r="O26" s="7">
        <v>0.67309441513552848</v>
      </c>
      <c r="P26" s="7">
        <v>0.40720102871838837</v>
      </c>
      <c r="Q26" s="7">
        <v>0.44085231447465101</v>
      </c>
      <c r="R26" s="7">
        <v>0.33649434077699603</v>
      </c>
      <c r="S26" s="8" t="s">
        <v>21</v>
      </c>
    </row>
    <row r="27" spans="1:20" ht="28.8" x14ac:dyDescent="0.25">
      <c r="A27" s="62"/>
      <c r="B27" s="63"/>
      <c r="C27" s="12" t="s">
        <v>82</v>
      </c>
      <c r="D27" s="6" t="s">
        <v>156</v>
      </c>
      <c r="E27" s="7">
        <v>1.1803335718829517</v>
      </c>
      <c r="F27" s="7">
        <v>1.3719607491481129</v>
      </c>
      <c r="G27" s="7">
        <v>1.1962942579343239</v>
      </c>
      <c r="H27" s="7">
        <v>1.1533076390352595</v>
      </c>
      <c r="I27" s="7">
        <v>1.0348548350224795</v>
      </c>
      <c r="J27" s="7">
        <v>1.3136377141725264</v>
      </c>
      <c r="K27" s="7">
        <v>1.2607327659735779</v>
      </c>
      <c r="L27" s="7">
        <v>2.1140917479567625</v>
      </c>
      <c r="M27" s="7">
        <v>1.1429981300644088</v>
      </c>
      <c r="N27" s="7">
        <v>1.1798204360837965</v>
      </c>
      <c r="O27" s="7">
        <v>1.2724028548770816</v>
      </c>
      <c r="P27" s="7">
        <v>1.4500938331951294</v>
      </c>
      <c r="Q27" s="7">
        <v>1.1419949838018602</v>
      </c>
      <c r="R27" s="7">
        <v>1.4018274029946869</v>
      </c>
      <c r="S27" s="14" t="s">
        <v>21</v>
      </c>
    </row>
    <row r="28" spans="1:20" ht="28.8" x14ac:dyDescent="0.25">
      <c r="A28" s="62"/>
      <c r="B28" s="64" t="s">
        <v>54</v>
      </c>
      <c r="C28" s="55" t="s">
        <v>55</v>
      </c>
      <c r="D28" s="12" t="s">
        <v>166</v>
      </c>
      <c r="E28" s="7">
        <v>1.1874469889737065</v>
      </c>
      <c r="F28" s="7">
        <v>0.33819271860828565</v>
      </c>
      <c r="G28" s="7">
        <v>1.0774781385678467</v>
      </c>
      <c r="H28" s="7">
        <v>0.8937801732357753</v>
      </c>
      <c r="I28" s="7">
        <v>0.93931773730600232</v>
      </c>
      <c r="J28" s="7">
        <v>1.3561784028259221</v>
      </c>
      <c r="K28" s="7">
        <v>1.186527417123145</v>
      </c>
      <c r="L28" s="7">
        <v>3.8557869760084365</v>
      </c>
      <c r="M28" s="7">
        <v>1.0414502389362144</v>
      </c>
      <c r="N28" s="7">
        <v>1.1457887986318938</v>
      </c>
      <c r="O28" s="7">
        <v>1.7295419357275028</v>
      </c>
      <c r="P28" s="7">
        <v>0.87504909876489334</v>
      </c>
      <c r="Q28" s="7">
        <v>1.2749503605392414</v>
      </c>
      <c r="R28" s="7">
        <v>0.54607416948424836</v>
      </c>
      <c r="S28" s="14" t="s">
        <v>21</v>
      </c>
    </row>
    <row r="29" spans="1:20" ht="28.8" x14ac:dyDescent="0.25">
      <c r="A29" s="62"/>
      <c r="B29" s="64"/>
      <c r="C29" s="12" t="s">
        <v>56</v>
      </c>
      <c r="D29" s="12" t="s">
        <v>167</v>
      </c>
      <c r="E29" s="15">
        <v>68</v>
      </c>
      <c r="F29" s="15">
        <v>25</v>
      </c>
      <c r="G29" s="15">
        <v>13</v>
      </c>
      <c r="H29" s="15">
        <v>37</v>
      </c>
      <c r="I29" s="15">
        <v>27</v>
      </c>
      <c r="J29" s="15">
        <v>38</v>
      </c>
      <c r="K29" s="15">
        <v>23</v>
      </c>
      <c r="L29" s="15">
        <v>9</v>
      </c>
      <c r="M29" s="15">
        <v>27</v>
      </c>
      <c r="N29" s="15">
        <v>26</v>
      </c>
      <c r="O29" s="15">
        <v>24</v>
      </c>
      <c r="P29" s="15">
        <v>30</v>
      </c>
      <c r="Q29" s="15">
        <v>14</v>
      </c>
      <c r="R29" s="15">
        <v>8</v>
      </c>
      <c r="S29" s="14" t="s">
        <v>21</v>
      </c>
    </row>
  </sheetData>
  <mergeCells count="15">
    <mergeCell ref="A19:A25"/>
    <mergeCell ref="B19:B22"/>
    <mergeCell ref="B23:B25"/>
    <mergeCell ref="A26:A29"/>
    <mergeCell ref="B26:B27"/>
    <mergeCell ref="B28:B29"/>
    <mergeCell ref="A12:A18"/>
    <mergeCell ref="B12:B14"/>
    <mergeCell ref="B15:B16"/>
    <mergeCell ref="B17:B18"/>
    <mergeCell ref="A2:A11"/>
    <mergeCell ref="B2:B4"/>
    <mergeCell ref="B5:B7"/>
    <mergeCell ref="B8:B9"/>
    <mergeCell ref="B10:B1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F028-6472-4279-B47F-0CC4FA66E1FB}">
  <dimension ref="A1:R37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7" sqref="D37:Q37"/>
    </sheetView>
  </sheetViews>
  <sheetFormatPr defaultRowHeight="13.8" x14ac:dyDescent="0.25"/>
  <cols>
    <col min="3" max="3" width="27.77734375" customWidth="1"/>
  </cols>
  <sheetData>
    <row r="1" spans="1:18" ht="15.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</row>
    <row r="2" spans="1:18" ht="14.4" x14ac:dyDescent="0.25">
      <c r="A2" s="62" t="s">
        <v>18</v>
      </c>
      <c r="B2" s="62" t="s">
        <v>19</v>
      </c>
      <c r="C2" s="6" t="s">
        <v>20</v>
      </c>
      <c r="D2" s="7">
        <v>5.5288780013872039</v>
      </c>
      <c r="E2" s="7">
        <v>5.8414524308708833</v>
      </c>
      <c r="F2" s="7">
        <v>6.2738068563746365</v>
      </c>
      <c r="G2" s="7">
        <v>5.3505539825983526</v>
      </c>
      <c r="H2" s="7">
        <v>5.0906609283957769</v>
      </c>
      <c r="I2" s="7">
        <v>6.1901581917925377</v>
      </c>
      <c r="J2" s="7">
        <v>7.1440398340135634</v>
      </c>
      <c r="K2" s="7">
        <v>5.7422487648419143</v>
      </c>
      <c r="L2" s="7">
        <v>6.4698036682702593</v>
      </c>
      <c r="M2" s="7">
        <v>5.2016243953010521</v>
      </c>
      <c r="N2" s="7">
        <v>5.5453002494188555</v>
      </c>
      <c r="O2" s="7">
        <v>6.6295962471764005</v>
      </c>
      <c r="P2" s="7">
        <v>5.6619228527206573</v>
      </c>
      <c r="Q2" s="7">
        <v>6.6318729896450188</v>
      </c>
      <c r="R2" s="8" t="s">
        <v>21</v>
      </c>
    </row>
    <row r="3" spans="1:18" ht="28.8" x14ac:dyDescent="0.25">
      <c r="A3" s="62"/>
      <c r="B3" s="62"/>
      <c r="C3" s="6" t="s">
        <v>63</v>
      </c>
      <c r="D3" s="7">
        <v>15.620899996454051</v>
      </c>
      <c r="E3" s="7">
        <v>12.629517917430721</v>
      </c>
      <c r="F3" s="7">
        <v>12.583508332013812</v>
      </c>
      <c r="G3" s="7">
        <v>15.396816651598574</v>
      </c>
      <c r="H3" s="7">
        <v>17.502986926944502</v>
      </c>
      <c r="I3" s="7">
        <v>14.040507199482283</v>
      </c>
      <c r="J3" s="7">
        <v>13.765132257938969</v>
      </c>
      <c r="K3" s="7">
        <v>14.670527953903395</v>
      </c>
      <c r="L3" s="7">
        <v>16.10263231384139</v>
      </c>
      <c r="M3" s="7">
        <v>17.196235234986318</v>
      </c>
      <c r="N3" s="7">
        <v>17.642412700641525</v>
      </c>
      <c r="O3" s="7">
        <v>17.101523629599711</v>
      </c>
      <c r="P3" s="7">
        <v>15.434190975307867</v>
      </c>
      <c r="Q3" s="7">
        <v>16.913009354430979</v>
      </c>
      <c r="R3" s="8" t="s">
        <v>21</v>
      </c>
    </row>
    <row r="4" spans="1:18" ht="14.4" x14ac:dyDescent="0.25">
      <c r="A4" s="62"/>
      <c r="B4" s="62"/>
      <c r="C4" s="6" t="s">
        <v>84</v>
      </c>
      <c r="D4" s="7">
        <v>193.36499905810169</v>
      </c>
      <c r="E4" s="7">
        <v>52.978377702787149</v>
      </c>
      <c r="F4" s="7">
        <v>116.53150122180118</v>
      </c>
      <c r="G4" s="7">
        <v>37.260647359454858</v>
      </c>
      <c r="H4" s="7">
        <v>10.067890438877949</v>
      </c>
      <c r="I4" s="7">
        <v>21.589213387337455</v>
      </c>
      <c r="J4" s="7">
        <v>18.701552045722892</v>
      </c>
      <c r="K4" s="7">
        <v>22.099737532808398</v>
      </c>
      <c r="L4" s="7">
        <v>19.146523967167024</v>
      </c>
      <c r="M4" s="7">
        <v>12.862035431905628</v>
      </c>
      <c r="N4" s="7">
        <v>12.21061937123598</v>
      </c>
      <c r="O4" s="7">
        <v>15.064468744899624</v>
      </c>
      <c r="P4" s="7">
        <v>15.625807118136267</v>
      </c>
      <c r="Q4" s="7">
        <v>25.295122414120328</v>
      </c>
      <c r="R4" s="8" t="s">
        <v>21</v>
      </c>
    </row>
    <row r="5" spans="1:18" ht="14.4" x14ac:dyDescent="0.25">
      <c r="A5" s="62"/>
      <c r="B5" s="63" t="s">
        <v>22</v>
      </c>
      <c r="C5" s="9" t="s">
        <v>170</v>
      </c>
      <c r="D5" s="14">
        <v>76</v>
      </c>
      <c r="E5" s="7">
        <v>75.83</v>
      </c>
      <c r="F5" s="7">
        <v>75.900000000000006</v>
      </c>
      <c r="G5" s="7">
        <v>75.02</v>
      </c>
      <c r="H5" s="7">
        <v>72.180000000000007</v>
      </c>
      <c r="I5" s="7">
        <v>72.349999999999994</v>
      </c>
      <c r="J5" s="7">
        <v>73.52</v>
      </c>
      <c r="K5" s="7">
        <v>72.08</v>
      </c>
      <c r="L5" s="7">
        <v>74.959999999999994</v>
      </c>
      <c r="M5" s="7">
        <v>72.91</v>
      </c>
      <c r="N5" s="7">
        <v>71.5</v>
      </c>
      <c r="O5" s="7">
        <v>72.52</v>
      </c>
      <c r="P5" s="7">
        <v>72.36</v>
      </c>
      <c r="Q5" s="7">
        <v>71.540000000000006</v>
      </c>
      <c r="R5" s="8" t="s">
        <v>21</v>
      </c>
    </row>
    <row r="6" spans="1:18" ht="14.4" x14ac:dyDescent="0.25">
      <c r="A6" s="62"/>
      <c r="B6" s="63"/>
      <c r="C6" s="6" t="s">
        <v>24</v>
      </c>
      <c r="D6" s="7">
        <v>33.920449958287364</v>
      </c>
      <c r="E6" s="7">
        <v>20.494938132733409</v>
      </c>
      <c r="F6" s="7">
        <v>22.020752912844848</v>
      </c>
      <c r="G6" s="7">
        <v>21.661328790459965</v>
      </c>
      <c r="H6" s="7">
        <v>15.004750953633447</v>
      </c>
      <c r="I6" s="7">
        <v>21.942727208129043</v>
      </c>
      <c r="J6" s="7">
        <v>20.346001813857185</v>
      </c>
      <c r="K6" s="7">
        <v>19.435695538057743</v>
      </c>
      <c r="L6" s="7">
        <v>20.658927032787631</v>
      </c>
      <c r="M6" s="7">
        <v>19.487548095217964</v>
      </c>
      <c r="N6" s="7">
        <v>18.08571375950789</v>
      </c>
      <c r="O6" s="7">
        <v>18.573527011588052</v>
      </c>
      <c r="P6" s="7">
        <v>18.996332455188799</v>
      </c>
      <c r="Q6" s="7">
        <v>18.284304422091481</v>
      </c>
      <c r="R6" s="8" t="s">
        <v>21</v>
      </c>
    </row>
    <row r="7" spans="1:18" ht="14.4" x14ac:dyDescent="0.25">
      <c r="A7" s="62"/>
      <c r="B7" s="63"/>
      <c r="C7" s="6" t="s">
        <v>25</v>
      </c>
      <c r="D7" s="7">
        <v>88.183212680642654</v>
      </c>
      <c r="E7" s="7">
        <v>55.143107111611045</v>
      </c>
      <c r="F7" s="7">
        <v>58.805822148245213</v>
      </c>
      <c r="G7" s="7">
        <v>55.41260647359455</v>
      </c>
      <c r="H7" s="7">
        <v>45.441150143905702</v>
      </c>
      <c r="I7" s="7">
        <v>53.341505009592844</v>
      </c>
      <c r="J7" s="7">
        <v>55.13441366210921</v>
      </c>
      <c r="K7" s="7">
        <v>52.257217847769027</v>
      </c>
      <c r="L7" s="7">
        <v>50.904720874336768</v>
      </c>
      <c r="M7" s="7">
        <v>60.908629656251321</v>
      </c>
      <c r="N7" s="7">
        <v>59.98858132125163</v>
      </c>
      <c r="O7" s="7">
        <v>57.50367227027909</v>
      </c>
      <c r="P7" s="7">
        <v>52.98569140968025</v>
      </c>
      <c r="Q7" s="7">
        <v>60.151831467071553</v>
      </c>
      <c r="R7" s="8" t="s">
        <v>21</v>
      </c>
    </row>
    <row r="8" spans="1:18" ht="14.4" x14ac:dyDescent="0.25">
      <c r="A8" s="62"/>
      <c r="B8" s="63" t="s">
        <v>26</v>
      </c>
      <c r="C8" s="61" t="s">
        <v>147</v>
      </c>
      <c r="D8" s="37">
        <v>27.61242229338788</v>
      </c>
      <c r="E8" s="37">
        <v>21.847269091363579</v>
      </c>
      <c r="F8" s="37">
        <v>16.149024329780076</v>
      </c>
      <c r="G8" s="37">
        <v>63.205451448040883</v>
      </c>
      <c r="H8" s="37">
        <v>10.217993031934672</v>
      </c>
      <c r="I8" s="37">
        <v>29.741348681873092</v>
      </c>
      <c r="J8" s="37">
        <v>17.300090692859222</v>
      </c>
      <c r="K8" s="37">
        <v>0.63648293963254587</v>
      </c>
      <c r="L8" s="37">
        <v>13.407555212915515</v>
      </c>
      <c r="M8" s="37">
        <v>7.6740941186419178</v>
      </c>
      <c r="N8" s="37">
        <v>9.6064239276571435</v>
      </c>
      <c r="O8" s="37">
        <v>11.218785702627713</v>
      </c>
      <c r="P8" s="37">
        <v>12.634950152383903</v>
      </c>
      <c r="Q8" s="37">
        <v>4.668817612450181</v>
      </c>
      <c r="R8" s="8" t="s">
        <v>21</v>
      </c>
    </row>
    <row r="9" spans="1:18" ht="28.8" x14ac:dyDescent="0.25">
      <c r="A9" s="62"/>
      <c r="B9" s="63"/>
      <c r="C9" s="6" t="s">
        <v>65</v>
      </c>
      <c r="D9" s="7">
        <v>7.3450658119488104</v>
      </c>
      <c r="E9" s="7">
        <v>13.091777918687484</v>
      </c>
      <c r="F9" s="7">
        <v>15.93089347533968</v>
      </c>
      <c r="G9" s="7">
        <v>15.317508416207831</v>
      </c>
      <c r="H9" s="7">
        <v>16.806858812713028</v>
      </c>
      <c r="I9" s="7">
        <v>18.688744795170258</v>
      </c>
      <c r="J9" s="7">
        <v>16.526416185215041</v>
      </c>
      <c r="K9" s="7">
        <v>12.966461286987935</v>
      </c>
      <c r="L9" s="7">
        <v>17.610853022113879</v>
      </c>
      <c r="M9" s="7">
        <v>13.335566596923377</v>
      </c>
      <c r="N9" s="7">
        <v>15.878547949711766</v>
      </c>
      <c r="O9" s="7">
        <v>16.853885648205214</v>
      </c>
      <c r="P9" s="7">
        <v>16.124431756291003</v>
      </c>
      <c r="Q9" s="7">
        <v>12.843939474529384</v>
      </c>
      <c r="R9" s="8" t="s">
        <v>21</v>
      </c>
    </row>
    <row r="10" spans="1:18" ht="14.4" x14ac:dyDescent="0.25">
      <c r="A10" s="62"/>
      <c r="B10" s="63" t="s">
        <v>28</v>
      </c>
      <c r="C10" s="9" t="s">
        <v>29</v>
      </c>
      <c r="D10" s="11">
        <v>21.01</v>
      </c>
      <c r="E10" s="11">
        <v>18.600000000000001</v>
      </c>
      <c r="F10" s="11">
        <v>18.43</v>
      </c>
      <c r="G10" s="11">
        <v>18.532</v>
      </c>
      <c r="H10" s="11">
        <v>18.721499999999999</v>
      </c>
      <c r="I10" s="11">
        <v>20.1023</v>
      </c>
      <c r="J10" s="11">
        <v>19.28</v>
      </c>
      <c r="K10" s="11">
        <v>17.75</v>
      </c>
      <c r="L10" s="11">
        <v>19.53</v>
      </c>
      <c r="M10" s="11">
        <v>18.75</v>
      </c>
      <c r="N10" s="11">
        <v>18.03</v>
      </c>
      <c r="O10" s="11">
        <v>20.3</v>
      </c>
      <c r="P10" s="11">
        <v>18.559999999999999</v>
      </c>
      <c r="Q10" s="11">
        <v>19.350000000000001</v>
      </c>
      <c r="R10" s="8" t="s">
        <v>21</v>
      </c>
    </row>
    <row r="11" spans="1:18" ht="14.4" x14ac:dyDescent="0.25">
      <c r="A11" s="62"/>
      <c r="B11" s="63"/>
      <c r="C11" s="9" t="s">
        <v>30</v>
      </c>
      <c r="D11" s="7">
        <v>4.88</v>
      </c>
      <c r="E11" s="7">
        <v>3.7299999999999995</v>
      </c>
      <c r="F11" s="7">
        <v>3.8299999999999996</v>
      </c>
      <c r="G11" s="7">
        <v>3.88</v>
      </c>
      <c r="H11" s="7">
        <v>4.2299999999999995</v>
      </c>
      <c r="I11" s="7">
        <v>4.4799999999999995</v>
      </c>
      <c r="J11" s="7">
        <v>4.58</v>
      </c>
      <c r="K11" s="7">
        <v>5.3800000000000008</v>
      </c>
      <c r="L11" s="7">
        <v>4.58</v>
      </c>
      <c r="M11" s="7">
        <v>4.2300000000000004</v>
      </c>
      <c r="N11" s="7">
        <v>4.4800000000000004</v>
      </c>
      <c r="O11" s="7">
        <v>4.4800000000000004</v>
      </c>
      <c r="P11" s="7">
        <v>4.5300000000000011</v>
      </c>
      <c r="Q11" s="7">
        <v>4.580000000000001</v>
      </c>
      <c r="R11" s="11" t="s">
        <v>31</v>
      </c>
    </row>
    <row r="12" spans="1:18" ht="14.4" x14ac:dyDescent="0.25">
      <c r="A12" s="62" t="s">
        <v>32</v>
      </c>
      <c r="B12" s="62" t="s">
        <v>33</v>
      </c>
      <c r="C12" s="6" t="s">
        <v>34</v>
      </c>
      <c r="D12" s="8">
        <v>39961</v>
      </c>
      <c r="E12" s="8">
        <v>33977</v>
      </c>
      <c r="F12" s="8">
        <v>29237</v>
      </c>
      <c r="G12" s="8">
        <v>26515</v>
      </c>
      <c r="H12" s="8">
        <v>21070</v>
      </c>
      <c r="I12" s="8">
        <v>25202</v>
      </c>
      <c r="J12" s="8">
        <v>24513</v>
      </c>
      <c r="K12" s="8">
        <v>19473</v>
      </c>
      <c r="L12" s="8">
        <v>22571</v>
      </c>
      <c r="M12" s="8">
        <v>25534</v>
      </c>
      <c r="N12" s="8">
        <v>21938</v>
      </c>
      <c r="O12" s="8">
        <v>20693</v>
      </c>
      <c r="P12" s="8">
        <v>21838</v>
      </c>
      <c r="Q12" s="8">
        <v>19267</v>
      </c>
      <c r="R12" s="8" t="s">
        <v>21</v>
      </c>
    </row>
    <row r="13" spans="1:18" ht="14.4" x14ac:dyDescent="0.25">
      <c r="A13" s="62"/>
      <c r="B13" s="62"/>
      <c r="C13" s="6" t="s">
        <v>35</v>
      </c>
      <c r="D13" s="8">
        <v>2.6</v>
      </c>
      <c r="E13" s="8">
        <v>2.72</v>
      </c>
      <c r="F13" s="8">
        <v>4.2</v>
      </c>
      <c r="G13" s="8">
        <v>3.58</v>
      </c>
      <c r="H13" s="8">
        <v>3.7</v>
      </c>
      <c r="I13" s="8">
        <v>2.8</v>
      </c>
      <c r="J13" s="8">
        <v>2.58</v>
      </c>
      <c r="K13" s="8">
        <v>3.29</v>
      </c>
      <c r="L13" s="8">
        <v>3.3</v>
      </c>
      <c r="M13" s="8">
        <v>3.59</v>
      </c>
      <c r="N13" s="8">
        <v>3.75</v>
      </c>
      <c r="O13" s="8">
        <v>4.25</v>
      </c>
      <c r="P13" s="8">
        <v>4.2</v>
      </c>
      <c r="Q13" s="8">
        <v>4.32</v>
      </c>
      <c r="R13" s="11" t="s">
        <v>31</v>
      </c>
    </row>
    <row r="14" spans="1:18" ht="14.4" x14ac:dyDescent="0.25">
      <c r="A14" s="62"/>
      <c r="B14" s="62"/>
      <c r="C14" s="6" t="s">
        <v>36</v>
      </c>
      <c r="D14" s="7">
        <v>8.4481294645322702</v>
      </c>
      <c r="E14" s="7">
        <v>8.1951042991550711</v>
      </c>
      <c r="F14" s="7">
        <v>6.892484293347426</v>
      </c>
      <c r="G14" s="7">
        <v>74.816688320174663</v>
      </c>
      <c r="H14" s="7">
        <v>6.612364816149964</v>
      </c>
      <c r="I14" s="7">
        <v>4.4340188755075731</v>
      </c>
      <c r="J14" s="7">
        <v>5.4870211367948558</v>
      </c>
      <c r="K14" s="7">
        <v>7.0529595711413897</v>
      </c>
      <c r="L14" s="7">
        <v>5.0635922652667951</v>
      </c>
      <c r="M14" s="7">
        <v>8.0837694513610359</v>
      </c>
      <c r="N14" s="7">
        <v>6.5210269500345515</v>
      </c>
      <c r="O14" s="7">
        <v>5.7773964264677007</v>
      </c>
      <c r="P14" s="7">
        <v>4.6391310406763386</v>
      </c>
      <c r="Q14" s="7">
        <v>9.2724147635895786</v>
      </c>
      <c r="R14" s="8" t="s">
        <v>21</v>
      </c>
    </row>
    <row r="15" spans="1:18" ht="14.4" x14ac:dyDescent="0.25">
      <c r="A15" s="62"/>
      <c r="B15" s="63" t="s">
        <v>37</v>
      </c>
      <c r="C15" s="12" t="s">
        <v>38</v>
      </c>
      <c r="D15" s="7">
        <v>45.061238782486292</v>
      </c>
      <c r="E15" s="7">
        <v>35.050168942790705</v>
      </c>
      <c r="F15" s="7">
        <v>36.913862955786506</v>
      </c>
      <c r="G15" s="7">
        <v>40.156750897531502</v>
      </c>
      <c r="H15" s="7">
        <v>41.785868781542902</v>
      </c>
      <c r="I15" s="7">
        <v>38.87772496084925</v>
      </c>
      <c r="J15" s="7">
        <v>41.208259813511894</v>
      </c>
      <c r="K15" s="7">
        <v>65.664507482689302</v>
      </c>
      <c r="L15" s="7">
        <v>39.33004038658899</v>
      </c>
      <c r="M15" s="7">
        <v>35.577788049123541</v>
      </c>
      <c r="N15" s="7">
        <v>41.714027838497231</v>
      </c>
      <c r="O15" s="7">
        <v>43.683487139210683</v>
      </c>
      <c r="P15" s="7">
        <v>35.020051716395947</v>
      </c>
      <c r="Q15" s="7">
        <v>52.844564168542938</v>
      </c>
      <c r="R15" s="8" t="s">
        <v>21</v>
      </c>
    </row>
    <row r="16" spans="1:18" ht="28.8" x14ac:dyDescent="0.25">
      <c r="A16" s="62"/>
      <c r="B16" s="63"/>
      <c r="C16" s="12" t="s">
        <v>62</v>
      </c>
      <c r="D16" s="7">
        <v>72.896590948537138</v>
      </c>
      <c r="E16" s="7">
        <v>44.495905245346869</v>
      </c>
      <c r="F16" s="7">
        <v>630.11755034936289</v>
      </c>
      <c r="G16" s="7">
        <v>31.975728384990365</v>
      </c>
      <c r="H16" s="7">
        <v>54.341528394484698</v>
      </c>
      <c r="I16" s="7">
        <v>41.042936902485664</v>
      </c>
      <c r="J16" s="7">
        <v>19.481095106021293</v>
      </c>
      <c r="K16" s="7">
        <v>9.0254784688995233</v>
      </c>
      <c r="L16" s="7">
        <v>45.002080497763956</v>
      </c>
      <c r="M16" s="7">
        <v>45.066515748031499</v>
      </c>
      <c r="N16" s="7">
        <v>30.629997576932393</v>
      </c>
      <c r="O16" s="7">
        <v>13.17254818894302</v>
      </c>
      <c r="P16" s="7">
        <v>24.326081094745359</v>
      </c>
      <c r="Q16" s="7">
        <v>16.243997175141246</v>
      </c>
      <c r="R16" s="8" t="s">
        <v>21</v>
      </c>
    </row>
    <row r="17" spans="1:18" ht="28.8" x14ac:dyDescent="0.25">
      <c r="A17" s="62"/>
      <c r="B17" s="63" t="s">
        <v>39</v>
      </c>
      <c r="C17" s="6" t="s">
        <v>69</v>
      </c>
      <c r="D17" s="7">
        <v>20.358655445323627</v>
      </c>
      <c r="E17" s="7">
        <v>12.735371573180693</v>
      </c>
      <c r="F17" s="7">
        <v>8.8824917389374445</v>
      </c>
      <c r="G17" s="7">
        <v>3.9717141414858101</v>
      </c>
      <c r="H17" s="7">
        <v>2.3721857918312668</v>
      </c>
      <c r="I17" s="7">
        <v>12.856674528904366</v>
      </c>
      <c r="J17" s="7">
        <v>7.2578334653310277</v>
      </c>
      <c r="K17" s="7">
        <v>0.44253038711146114</v>
      </c>
      <c r="L17" s="7">
        <v>4.6467655323679473</v>
      </c>
      <c r="M17" s="7">
        <v>4.0714295896338557</v>
      </c>
      <c r="N17" s="7">
        <v>1.2395972434269809</v>
      </c>
      <c r="O17" s="7">
        <v>1.328325660713608</v>
      </c>
      <c r="P17" s="7">
        <v>4.8519149218936954</v>
      </c>
      <c r="Q17" s="7">
        <v>0.38483135916767941</v>
      </c>
      <c r="R17" s="8" t="s">
        <v>21</v>
      </c>
    </row>
    <row r="18" spans="1:18" ht="14.4" x14ac:dyDescent="0.25">
      <c r="A18" s="62"/>
      <c r="B18" s="63"/>
      <c r="C18" s="6" t="s">
        <v>40</v>
      </c>
      <c r="D18" s="7">
        <v>19.689711779111388</v>
      </c>
      <c r="E18" s="7">
        <v>15.083114610673665</v>
      </c>
      <c r="F18" s="7">
        <v>13.368983957219251</v>
      </c>
      <c r="G18" s="7">
        <v>2.2678023850085181</v>
      </c>
      <c r="H18" s="7">
        <v>3.2141234146274291</v>
      </c>
      <c r="I18" s="7">
        <v>3.2402472820294181</v>
      </c>
      <c r="J18" s="7">
        <v>3.8792587142148225</v>
      </c>
      <c r="K18" s="7">
        <v>3.1889763779527556</v>
      </c>
      <c r="L18" s="7">
        <v>1.1654800235816971</v>
      </c>
      <c r="M18" s="7">
        <v>3.879328569616507</v>
      </c>
      <c r="N18" s="7">
        <v>4.3961913181207066</v>
      </c>
      <c r="O18" s="7">
        <v>2.0381100048963603</v>
      </c>
      <c r="P18" s="7">
        <v>4.1763520843018753</v>
      </c>
      <c r="Q18" s="7">
        <v>0.89200986904535973</v>
      </c>
      <c r="R18" s="8" t="s">
        <v>21</v>
      </c>
    </row>
    <row r="19" spans="1:18" ht="14.4" x14ac:dyDescent="0.25">
      <c r="A19" s="62" t="s">
        <v>41</v>
      </c>
      <c r="B19" s="63" t="s">
        <v>42</v>
      </c>
      <c r="C19" s="12" t="s">
        <v>43</v>
      </c>
      <c r="D19" s="7">
        <v>70.7</v>
      </c>
      <c r="E19" s="7">
        <v>77</v>
      </c>
      <c r="F19" s="7">
        <f>269/365*100</f>
        <v>73.698630136986296</v>
      </c>
      <c r="G19" s="7">
        <v>91</v>
      </c>
      <c r="H19" s="7">
        <f>284/365*100</f>
        <v>77.808219178082197</v>
      </c>
      <c r="I19" s="7">
        <v>74.599999999999994</v>
      </c>
      <c r="J19" s="7">
        <v>76.7</v>
      </c>
      <c r="K19" s="7">
        <v>95.3</v>
      </c>
      <c r="L19" s="7">
        <v>78.900000000000006</v>
      </c>
      <c r="M19" s="7">
        <v>87.5</v>
      </c>
      <c r="N19" s="7">
        <v>81.099999999999994</v>
      </c>
      <c r="O19" s="7">
        <v>78.599999999999994</v>
      </c>
      <c r="P19" s="7">
        <v>89.8</v>
      </c>
      <c r="Q19" s="7">
        <v>99.3</v>
      </c>
      <c r="R19" s="8" t="s">
        <v>21</v>
      </c>
    </row>
    <row r="20" spans="1:18" ht="14.4" x14ac:dyDescent="0.25">
      <c r="A20" s="62"/>
      <c r="B20" s="63"/>
      <c r="C20" s="10" t="s">
        <v>44</v>
      </c>
      <c r="D20" s="7">
        <v>85.5</v>
      </c>
      <c r="E20" s="7">
        <v>90.12</v>
      </c>
      <c r="F20" s="7">
        <v>98.15</v>
      </c>
      <c r="G20" s="7">
        <v>87.27</v>
      </c>
      <c r="H20" s="7">
        <v>66</v>
      </c>
      <c r="I20" s="7">
        <v>88.2</v>
      </c>
      <c r="J20" s="7">
        <v>97.42</v>
      </c>
      <c r="K20" s="7">
        <v>97.3</v>
      </c>
      <c r="L20" s="7">
        <v>84.98</v>
      </c>
      <c r="M20" s="7">
        <v>48.5</v>
      </c>
      <c r="N20" s="7">
        <v>82.2</v>
      </c>
      <c r="O20" s="7">
        <v>89</v>
      </c>
      <c r="P20" s="7">
        <v>97</v>
      </c>
      <c r="Q20" s="7"/>
      <c r="R20" s="8" t="s">
        <v>21</v>
      </c>
    </row>
    <row r="21" spans="1:18" ht="14.4" x14ac:dyDescent="0.25">
      <c r="A21" s="62"/>
      <c r="B21" s="63"/>
      <c r="C21" s="56" t="s">
        <v>45</v>
      </c>
      <c r="D21" s="7">
        <v>7.76</v>
      </c>
      <c r="E21" s="7">
        <v>10.52</v>
      </c>
      <c r="F21" s="7">
        <v>12.083333333333334</v>
      </c>
      <c r="G21" s="7">
        <v>7.7366666666666672</v>
      </c>
      <c r="H21" s="7">
        <v>9.3949999999999996</v>
      </c>
      <c r="I21" s="7">
        <v>8.1466666666666665</v>
      </c>
      <c r="J21" s="7">
        <v>12.234999999999999</v>
      </c>
      <c r="K21" s="7">
        <v>10.73</v>
      </c>
      <c r="L21" s="7">
        <v>8.254999999999999</v>
      </c>
      <c r="M21" s="7">
        <v>11.41</v>
      </c>
      <c r="N21" s="7">
        <v>11.97</v>
      </c>
      <c r="O21" s="7">
        <v>10.57</v>
      </c>
      <c r="P21" s="7">
        <v>9.43</v>
      </c>
      <c r="Q21" s="7">
        <v>9.1566666666666663</v>
      </c>
      <c r="R21" s="8" t="s">
        <v>21</v>
      </c>
    </row>
    <row r="22" spans="1:18" ht="14.4" x14ac:dyDescent="0.25">
      <c r="A22" s="62"/>
      <c r="B22" s="63"/>
      <c r="C22" s="56" t="s">
        <v>46</v>
      </c>
      <c r="D22" s="7">
        <v>-6</v>
      </c>
      <c r="E22" s="7">
        <v>-8</v>
      </c>
      <c r="F22" s="7">
        <v>-7</v>
      </c>
      <c r="G22" s="7">
        <v>-9</v>
      </c>
      <c r="H22" s="7">
        <v>-7</v>
      </c>
      <c r="I22" s="7">
        <v>-7</v>
      </c>
      <c r="J22" s="7">
        <v>-8</v>
      </c>
      <c r="K22" s="7">
        <v>1</v>
      </c>
      <c r="L22" s="7">
        <v>-6</v>
      </c>
      <c r="M22" s="7">
        <v>-7</v>
      </c>
      <c r="N22" s="7">
        <v>-7</v>
      </c>
      <c r="O22" s="7">
        <v>-5</v>
      </c>
      <c r="P22" s="7">
        <v>-7</v>
      </c>
      <c r="Q22" s="7">
        <v>-7</v>
      </c>
      <c r="R22" s="11" t="s">
        <v>31</v>
      </c>
    </row>
    <row r="23" spans="1:18" ht="15.6" x14ac:dyDescent="0.25">
      <c r="A23" s="62"/>
      <c r="B23" s="63" t="s">
        <v>47</v>
      </c>
      <c r="C23" s="61" t="s">
        <v>48</v>
      </c>
      <c r="D23" s="7">
        <v>6.2799999999999994</v>
      </c>
      <c r="E23" s="7">
        <v>5.3449999999999998</v>
      </c>
      <c r="F23" s="7">
        <v>4.6533333333333298</v>
      </c>
      <c r="G23" s="7">
        <v>5.165</v>
      </c>
      <c r="H23" s="7">
        <v>5.3150000000000004</v>
      </c>
      <c r="I23" s="7">
        <v>5.23</v>
      </c>
      <c r="J23" s="7">
        <v>5.0650000000000004</v>
      </c>
      <c r="K23" s="7">
        <v>4.43</v>
      </c>
      <c r="L23" s="7">
        <v>5.58</v>
      </c>
      <c r="M23" s="7">
        <v>2.83</v>
      </c>
      <c r="N23" s="7">
        <v>5.4</v>
      </c>
      <c r="O23" s="7">
        <v>5.75</v>
      </c>
      <c r="P23" s="7">
        <v>5.5</v>
      </c>
      <c r="Q23" s="7">
        <v>4.5866666666666696</v>
      </c>
      <c r="R23" s="13" t="s">
        <v>21</v>
      </c>
    </row>
    <row r="24" spans="1:18" ht="15.6" x14ac:dyDescent="0.25">
      <c r="A24" s="62"/>
      <c r="B24" s="63"/>
      <c r="C24" s="56" t="s">
        <v>49</v>
      </c>
      <c r="D24" s="7">
        <v>96.31</v>
      </c>
      <c r="E24" s="7">
        <v>86.504999999999995</v>
      </c>
      <c r="F24" s="7">
        <v>89.740000000000009</v>
      </c>
      <c r="G24" s="7">
        <v>83.339999999999989</v>
      </c>
      <c r="H24" s="7">
        <v>81.724999999999994</v>
      </c>
      <c r="I24" s="7">
        <v>97.589999999999989</v>
      </c>
      <c r="J24" s="7">
        <v>96.740000000000009</v>
      </c>
      <c r="K24" s="7">
        <v>88.28</v>
      </c>
      <c r="L24" s="7">
        <v>80.884999999999991</v>
      </c>
      <c r="M24" s="7">
        <v>80.349999999999994</v>
      </c>
      <c r="N24" s="7">
        <v>90.6</v>
      </c>
      <c r="O24" s="7">
        <v>78.944999999999993</v>
      </c>
      <c r="P24" s="7">
        <v>96.54</v>
      </c>
      <c r="Q24" s="7">
        <v>92.573333333333338</v>
      </c>
      <c r="R24" s="13" t="s">
        <v>21</v>
      </c>
    </row>
    <row r="25" spans="1:18" ht="14.4" x14ac:dyDescent="0.25">
      <c r="A25" s="62"/>
      <c r="B25" s="63"/>
      <c r="C25" s="56" t="s">
        <v>50</v>
      </c>
      <c r="D25" s="7">
        <v>24.256573104766009</v>
      </c>
      <c r="E25" s="7">
        <v>0.16122984626921635</v>
      </c>
      <c r="F25" s="7">
        <v>14.73244324822042</v>
      </c>
      <c r="G25" s="7">
        <v>9.9448040885860305</v>
      </c>
      <c r="H25" s="7">
        <v>4.599473952380297</v>
      </c>
      <c r="I25" s="7">
        <v>10.463298514886663</v>
      </c>
      <c r="J25" s="7">
        <v>10.489570321189618</v>
      </c>
      <c r="K25" s="7">
        <v>15.485564304461942</v>
      </c>
      <c r="L25" s="7">
        <v>9.4553534987075416</v>
      </c>
      <c r="M25" s="7">
        <v>13.487801784279736</v>
      </c>
      <c r="N25" s="7">
        <v>32.456673481039466</v>
      </c>
      <c r="O25" s="7">
        <v>10.096703117349437</v>
      </c>
      <c r="P25" s="7">
        <v>11.733560617800507</v>
      </c>
      <c r="Q25" s="7">
        <v>8.9200986904535977</v>
      </c>
      <c r="R25" s="8" t="s">
        <v>21</v>
      </c>
    </row>
    <row r="26" spans="1:18" ht="14.4" x14ac:dyDescent="0.25">
      <c r="A26" s="62" t="s">
        <v>51</v>
      </c>
      <c r="B26" s="63" t="s">
        <v>52</v>
      </c>
      <c r="C26" s="56" t="s">
        <v>53</v>
      </c>
      <c r="D26" s="7">
        <v>15.841584158415841</v>
      </c>
      <c r="E26" s="7">
        <v>0.87073007367716015</v>
      </c>
      <c r="F26" s="7">
        <v>1.0993325480957989</v>
      </c>
      <c r="G26" s="7">
        <v>0.46488460899883777</v>
      </c>
      <c r="H26" s="7">
        <v>1.5831134564643801</v>
      </c>
      <c r="I26" s="7">
        <v>0.66555740432612309</v>
      </c>
      <c r="J26" s="7">
        <v>1.6255385820603212</v>
      </c>
      <c r="K26" s="7">
        <v>0.5865102639296188</v>
      </c>
      <c r="L26" s="7">
        <v>1.0973936899862824</v>
      </c>
      <c r="M26" s="7">
        <v>0.45643153526970959</v>
      </c>
      <c r="N26" s="7">
        <v>0.49975012493753124</v>
      </c>
      <c r="O26" s="7">
        <v>0.49904030710172748</v>
      </c>
      <c r="P26" s="7">
        <v>0.3487792725460887</v>
      </c>
      <c r="Q26" s="7">
        <v>0.1610305958132045</v>
      </c>
      <c r="R26" s="8" t="s">
        <v>21</v>
      </c>
    </row>
    <row r="27" spans="1:18" ht="28.8" x14ac:dyDescent="0.25">
      <c r="A27" s="62"/>
      <c r="B27" s="63"/>
      <c r="C27" s="55" t="s">
        <v>82</v>
      </c>
      <c r="D27" s="7">
        <v>1.0796980543071666</v>
      </c>
      <c r="E27" s="7">
        <v>1.2118485189351331</v>
      </c>
      <c r="F27" s="7">
        <v>0.93880369727662294</v>
      </c>
      <c r="G27" s="7">
        <v>1.0416763202725725</v>
      </c>
      <c r="H27" s="7">
        <v>0.8903287109079141</v>
      </c>
      <c r="I27" s="7">
        <v>1.1974703332622751</v>
      </c>
      <c r="J27" s="7">
        <v>0.96866818391827381</v>
      </c>
      <c r="K27" s="7">
        <v>1.4184383202099737</v>
      </c>
      <c r="L27" s="7">
        <v>0.89807718470817643</v>
      </c>
      <c r="M27" s="7">
        <v>1.1271616422138597</v>
      </c>
      <c r="N27" s="7">
        <v>1.2398659226108257</v>
      </c>
      <c r="O27" s="7">
        <v>1.2512648930961319</v>
      </c>
      <c r="P27" s="7">
        <v>1.1314375742548686</v>
      </c>
      <c r="Q27" s="7">
        <v>1.4266084646042894</v>
      </c>
      <c r="R27" s="14" t="s">
        <v>21</v>
      </c>
    </row>
    <row r="28" spans="1:18" ht="14.4" x14ac:dyDescent="0.25">
      <c r="A28" s="62"/>
      <c r="B28" s="64" t="s">
        <v>54</v>
      </c>
      <c r="C28" s="55" t="s">
        <v>55</v>
      </c>
      <c r="D28" s="7">
        <v>2.7516886891466403</v>
      </c>
      <c r="E28" s="7">
        <v>1.1923509561304837</v>
      </c>
      <c r="F28" s="7">
        <v>0.86411445975139001</v>
      </c>
      <c r="G28" s="7">
        <v>0.96263486655309483</v>
      </c>
      <c r="H28" s="7">
        <v>0.86549981409311871</v>
      </c>
      <c r="I28" s="7">
        <v>0.89177858310239466</v>
      </c>
      <c r="J28" s="7">
        <v>0.57153613169287643</v>
      </c>
      <c r="K28" s="7">
        <v>1.4501312335958005</v>
      </c>
      <c r="L28" s="7">
        <v>0.81742324611128758</v>
      </c>
      <c r="M28" s="7">
        <v>1.1268022493763477</v>
      </c>
      <c r="N28" s="7">
        <v>1.5304712967567271</v>
      </c>
      <c r="O28" s="7">
        <v>0.82014036233066745</v>
      </c>
      <c r="P28" s="7">
        <v>1.0899323312154554</v>
      </c>
      <c r="Q28" s="7">
        <v>0.66299740621243752</v>
      </c>
      <c r="R28" s="14" t="s">
        <v>21</v>
      </c>
    </row>
    <row r="29" spans="1:18" ht="28.8" x14ac:dyDescent="0.25">
      <c r="A29" s="62"/>
      <c r="B29" s="64"/>
      <c r="C29" s="12" t="s">
        <v>56</v>
      </c>
      <c r="D29" s="15">
        <v>23</v>
      </c>
      <c r="E29" s="15">
        <v>17</v>
      </c>
      <c r="F29" s="15">
        <v>12</v>
      </c>
      <c r="G29" s="15">
        <v>27</v>
      </c>
      <c r="H29" s="15">
        <v>27</v>
      </c>
      <c r="I29" s="15">
        <v>22</v>
      </c>
      <c r="J29" s="15">
        <v>19</v>
      </c>
      <c r="K29" s="15">
        <v>9</v>
      </c>
      <c r="L29" s="15">
        <v>16</v>
      </c>
      <c r="M29" s="15">
        <v>23</v>
      </c>
      <c r="N29" s="15">
        <v>24</v>
      </c>
      <c r="O29" s="15">
        <v>30</v>
      </c>
      <c r="P29" s="15">
        <v>12</v>
      </c>
      <c r="Q29" s="15">
        <v>19</v>
      </c>
      <c r="R29" s="14" t="s">
        <v>21</v>
      </c>
    </row>
    <row r="36" spans="3:17" ht="14.4" x14ac:dyDescent="0.25">
      <c r="C36" s="9" t="s">
        <v>29</v>
      </c>
      <c r="D36" s="7">
        <v>6.4</v>
      </c>
      <c r="E36" s="7">
        <v>4.0999999999999996</v>
      </c>
      <c r="F36" s="7">
        <v>4.3</v>
      </c>
      <c r="G36" s="7">
        <v>4.4000000000000004</v>
      </c>
      <c r="H36" s="7">
        <v>5.0999999999999996</v>
      </c>
      <c r="I36" s="7">
        <v>5.6</v>
      </c>
      <c r="J36" s="7">
        <v>5.8</v>
      </c>
      <c r="K36" s="7">
        <v>7.4</v>
      </c>
      <c r="L36" s="7">
        <v>5.8</v>
      </c>
      <c r="M36" s="7">
        <v>5.0999999999999996</v>
      </c>
      <c r="N36" s="7">
        <v>5.6</v>
      </c>
      <c r="O36" s="7">
        <v>5.6</v>
      </c>
      <c r="P36" s="7">
        <v>5.7</v>
      </c>
      <c r="Q36" s="7">
        <v>5.8</v>
      </c>
    </row>
    <row r="37" spans="3:17" x14ac:dyDescent="0.25">
      <c r="D37" s="7">
        <v>5.72</v>
      </c>
      <c r="E37">
        <f>D37-(D36-E36)/2</f>
        <v>4.5699999999999994</v>
      </c>
      <c r="F37">
        <f t="shared" ref="F37:Q37" si="0">E37-(E36-F36)/2</f>
        <v>4.67</v>
      </c>
      <c r="G37">
        <f t="shared" si="0"/>
        <v>4.7200000000000006</v>
      </c>
      <c r="H37">
        <f t="shared" si="0"/>
        <v>5.07</v>
      </c>
      <c r="I37">
        <f t="shared" si="0"/>
        <v>5.32</v>
      </c>
      <c r="J37">
        <f t="shared" si="0"/>
        <v>5.42</v>
      </c>
      <c r="K37">
        <f t="shared" si="0"/>
        <v>6.2200000000000006</v>
      </c>
      <c r="L37">
        <f t="shared" si="0"/>
        <v>5.42</v>
      </c>
      <c r="M37">
        <f t="shared" si="0"/>
        <v>5.07</v>
      </c>
      <c r="N37">
        <f t="shared" si="0"/>
        <v>5.32</v>
      </c>
      <c r="O37">
        <f t="shared" si="0"/>
        <v>5.32</v>
      </c>
      <c r="P37">
        <f t="shared" si="0"/>
        <v>5.370000000000001</v>
      </c>
      <c r="Q37">
        <f t="shared" si="0"/>
        <v>5.4200000000000008</v>
      </c>
    </row>
  </sheetData>
  <mergeCells count="15">
    <mergeCell ref="A19:A25"/>
    <mergeCell ref="B19:B22"/>
    <mergeCell ref="B23:B25"/>
    <mergeCell ref="A26:A29"/>
    <mergeCell ref="B26:B27"/>
    <mergeCell ref="B28:B29"/>
    <mergeCell ref="A12:A18"/>
    <mergeCell ref="B12:B14"/>
    <mergeCell ref="B15:B16"/>
    <mergeCell ref="B17:B18"/>
    <mergeCell ref="A2:A11"/>
    <mergeCell ref="B2:B4"/>
    <mergeCell ref="B5:B7"/>
    <mergeCell ref="B8:B9"/>
    <mergeCell ref="B10:B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EA69-5F33-4445-8F8B-1A924F68BEE2}">
  <dimension ref="A1:R29"/>
  <sheetViews>
    <sheetView workbookViewId="0">
      <pane xSplit="3" ySplit="1" topLeftCell="D14" activePane="bottomRight" state="frozen"/>
      <selection pane="topRight" activeCell="D1" sqref="D1"/>
      <selection pane="bottomLeft" activeCell="A2" sqref="A2"/>
      <selection pane="bottomRight" activeCell="T14" sqref="T14"/>
    </sheetView>
  </sheetViews>
  <sheetFormatPr defaultRowHeight="13.8" x14ac:dyDescent="0.25"/>
  <cols>
    <col min="3" max="3" width="21.5546875" customWidth="1"/>
  </cols>
  <sheetData>
    <row r="1" spans="1:18" ht="15.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</row>
    <row r="2" spans="1:18" ht="14.4" x14ac:dyDescent="0.25">
      <c r="A2" s="62" t="s">
        <v>18</v>
      </c>
      <c r="B2" s="62" t="s">
        <v>19</v>
      </c>
      <c r="C2" s="6" t="s">
        <v>20</v>
      </c>
      <c r="D2" s="7">
        <v>5.6216845742365695</v>
      </c>
      <c r="E2" s="7">
        <v>6.3097433824334459</v>
      </c>
      <c r="F2" s="7">
        <v>6.0093665381329302</v>
      </c>
      <c r="G2" s="7">
        <v>5.2485166514953319</v>
      </c>
      <c r="H2" s="7">
        <v>5.209976953122446</v>
      </c>
      <c r="I2" s="7">
        <v>6.158373903237341</v>
      </c>
      <c r="J2" s="7">
        <v>6.9872205119580935</v>
      </c>
      <c r="K2" s="7">
        <v>6.0961247832921401</v>
      </c>
      <c r="L2" s="7">
        <v>7.6445881097043893</v>
      </c>
      <c r="M2" s="7">
        <v>5.4409501519782761</v>
      </c>
      <c r="N2" s="7">
        <v>6.1284816731523986</v>
      </c>
      <c r="O2" s="7">
        <v>6.7855449434396808</v>
      </c>
      <c r="P2" s="7">
        <v>5.6681578891936866</v>
      </c>
      <c r="Q2" s="7">
        <v>5.7780512745432207</v>
      </c>
      <c r="R2" s="8" t="s">
        <v>21</v>
      </c>
    </row>
    <row r="3" spans="1:18" ht="28.8" x14ac:dyDescent="0.25">
      <c r="A3" s="62"/>
      <c r="B3" s="62"/>
      <c r="C3" s="6" t="s">
        <v>63</v>
      </c>
      <c r="D3" s="7">
        <v>13.371915001652473</v>
      </c>
      <c r="E3" s="7">
        <v>14.058194067711312</v>
      </c>
      <c r="F3" s="7">
        <v>13.912547667354195</v>
      </c>
      <c r="G3" s="7">
        <v>14.169932180184691</v>
      </c>
      <c r="H3" s="7">
        <v>17.235729396703377</v>
      </c>
      <c r="I3" s="7">
        <v>16.252314194593751</v>
      </c>
      <c r="J3" s="7">
        <v>16.730804264609752</v>
      </c>
      <c r="K3" s="7">
        <v>13.614052794185453</v>
      </c>
      <c r="L3" s="7">
        <v>16.999754177904965</v>
      </c>
      <c r="M3" s="7">
        <v>19.701229868573662</v>
      </c>
      <c r="N3" s="7">
        <v>20.822110779676891</v>
      </c>
      <c r="O3" s="7">
        <v>16.740146217091365</v>
      </c>
      <c r="P3" s="7">
        <v>15.292730100662737</v>
      </c>
      <c r="Q3" s="7">
        <v>14.133566933308744</v>
      </c>
      <c r="R3" s="8" t="s">
        <v>21</v>
      </c>
    </row>
    <row r="4" spans="1:18" ht="14.4" x14ac:dyDescent="0.25">
      <c r="A4" s="62"/>
      <c r="B4" s="62"/>
      <c r="C4" s="6" t="s">
        <v>84</v>
      </c>
      <c r="D4" s="7">
        <v>201.06949593080233</v>
      </c>
      <c r="E4" s="7">
        <v>46.999040730082186</v>
      </c>
      <c r="F4" s="7">
        <v>100.93379841581279</v>
      </c>
      <c r="G4" s="7">
        <v>30.619439315091487</v>
      </c>
      <c r="H4" s="7">
        <v>29.307273375069986</v>
      </c>
      <c r="I4" s="7">
        <v>64.370220275835024</v>
      </c>
      <c r="J4" s="7">
        <v>55.108287611897197</v>
      </c>
      <c r="K4" s="7">
        <v>70.118807442277514</v>
      </c>
      <c r="L4" s="7">
        <v>48.364771339394764</v>
      </c>
      <c r="M4" s="7">
        <v>37.682542012181692</v>
      </c>
      <c r="N4" s="7">
        <v>45.577909802862543</v>
      </c>
      <c r="O4" s="7">
        <v>51.939389545421591</v>
      </c>
      <c r="P4" s="7">
        <v>57.43218806509946</v>
      </c>
      <c r="Q4" s="7">
        <v>76.924233313289236</v>
      </c>
      <c r="R4" s="8" t="s">
        <v>21</v>
      </c>
    </row>
    <row r="5" spans="1:18" s="60" customFormat="1" ht="14.4" x14ac:dyDescent="0.25">
      <c r="A5" s="62"/>
      <c r="B5" s="63" t="s">
        <v>22</v>
      </c>
      <c r="C5" s="10" t="s">
        <v>23</v>
      </c>
      <c r="D5" s="59">
        <v>76.010000000000005</v>
      </c>
      <c r="E5" s="59">
        <v>74.91</v>
      </c>
      <c r="F5" s="59">
        <v>75.19</v>
      </c>
      <c r="G5" s="59">
        <v>73.77</v>
      </c>
      <c r="H5" s="59">
        <v>73.63</v>
      </c>
      <c r="I5" s="59">
        <v>75.099999999999994</v>
      </c>
      <c r="J5" s="59">
        <v>75.62</v>
      </c>
      <c r="K5" s="59">
        <v>75.040000000000006</v>
      </c>
      <c r="L5" s="59">
        <v>75.680000000000007</v>
      </c>
      <c r="M5" s="59">
        <v>75.25</v>
      </c>
      <c r="N5" s="59">
        <v>73.86</v>
      </c>
      <c r="O5" s="59">
        <v>74.569999999999993</v>
      </c>
      <c r="P5" s="59">
        <v>74.599999999999994</v>
      </c>
      <c r="Q5" s="59">
        <v>73.260000000000005</v>
      </c>
      <c r="R5" s="8" t="s">
        <v>21</v>
      </c>
    </row>
    <row r="6" spans="1:18" ht="14.4" x14ac:dyDescent="0.25">
      <c r="A6" s="62"/>
      <c r="B6" s="63"/>
      <c r="C6" s="6" t="s">
        <v>24</v>
      </c>
      <c r="D6" s="7">
        <v>25.92639936369963</v>
      </c>
      <c r="E6" s="7">
        <v>20.095408467501493</v>
      </c>
      <c r="F6" s="7">
        <v>20.082116125281591</v>
      </c>
      <c r="G6" s="7">
        <v>14.457780762128587</v>
      </c>
      <c r="H6" s="7">
        <v>38.942332162671143</v>
      </c>
      <c r="I6" s="7">
        <v>45.238250866069677</v>
      </c>
      <c r="J6" s="7">
        <v>50.822985850418711</v>
      </c>
      <c r="K6" s="7">
        <v>50.078457744900248</v>
      </c>
      <c r="L6" s="7">
        <v>39.801872710001355</v>
      </c>
      <c r="M6" s="7">
        <v>58.009833418947672</v>
      </c>
      <c r="N6" s="7">
        <v>42.99216851201728</v>
      </c>
      <c r="O6" s="7">
        <v>49.691872689045162</v>
      </c>
      <c r="P6" s="7">
        <v>52.766726943942139</v>
      </c>
      <c r="Q6" s="7">
        <v>59.079975947083589</v>
      </c>
      <c r="R6" s="8" t="s">
        <v>21</v>
      </c>
    </row>
    <row r="7" spans="1:18" ht="14.4" x14ac:dyDescent="0.25">
      <c r="A7" s="62"/>
      <c r="B7" s="63"/>
      <c r="C7" s="6" t="s">
        <v>25</v>
      </c>
      <c r="D7" s="7">
        <v>60.546536565966449</v>
      </c>
      <c r="E7" s="7">
        <v>43.006403774856757</v>
      </c>
      <c r="F7" s="7">
        <v>40.509410653295539</v>
      </c>
      <c r="G7" s="7">
        <v>30.629231716188237</v>
      </c>
      <c r="H7" s="7">
        <v>91.652669618771313</v>
      </c>
      <c r="I7" s="7">
        <v>96.202366167723369</v>
      </c>
      <c r="J7" s="7">
        <v>109.3849263644239</v>
      </c>
      <c r="K7" s="7">
        <v>125.5099753418516</v>
      </c>
      <c r="L7" s="7">
        <v>79.345908535757914</v>
      </c>
      <c r="M7" s="7">
        <v>131.00462317457988</v>
      </c>
      <c r="N7" s="7">
        <v>106.15716986227383</v>
      </c>
      <c r="O7" s="7">
        <v>128.40571304284782</v>
      </c>
      <c r="P7" s="7">
        <v>96.084990958408682</v>
      </c>
      <c r="Q7" s="7">
        <v>152.46542393265185</v>
      </c>
      <c r="R7" s="8" t="s">
        <v>21</v>
      </c>
    </row>
    <row r="8" spans="1:18" ht="14.4" x14ac:dyDescent="0.25">
      <c r="A8" s="62"/>
      <c r="B8" s="63" t="s">
        <v>26</v>
      </c>
      <c r="C8" s="10" t="s">
        <v>27</v>
      </c>
      <c r="D8" s="57">
        <v>19.485278452426606</v>
      </c>
      <c r="E8" s="57">
        <v>17.111301236680411</v>
      </c>
      <c r="F8" s="57">
        <v>6.1768766804738018</v>
      </c>
      <c r="G8" s="57">
        <v>7.7499860108555749</v>
      </c>
      <c r="H8" s="57">
        <v>33.287524812948547</v>
      </c>
      <c r="I8" s="57">
        <v>37.466501078501864</v>
      </c>
      <c r="J8" s="57">
        <v>44.874386370199247</v>
      </c>
      <c r="K8" s="57">
        <v>26.272136292311142</v>
      </c>
      <c r="L8" s="57">
        <v>13897.408060795224</v>
      </c>
      <c r="M8" s="57">
        <v>8.5858956483451951</v>
      </c>
      <c r="N8" s="57">
        <v>24.507156359708343</v>
      </c>
      <c r="O8" s="57">
        <v>11.092583194373958</v>
      </c>
      <c r="P8" s="57">
        <v>35.87703435804702</v>
      </c>
      <c r="Q8" s="57">
        <v>13.319302465423933</v>
      </c>
      <c r="R8" s="8" t="s">
        <v>21</v>
      </c>
    </row>
    <row r="9" spans="1:18" ht="28.8" x14ac:dyDescent="0.25">
      <c r="A9" s="62"/>
      <c r="B9" s="63"/>
      <c r="C9" s="6" t="s">
        <v>65</v>
      </c>
      <c r="D9" s="7">
        <v>10.524256641317178</v>
      </c>
      <c r="E9" s="7">
        <v>15.776139616838519</v>
      </c>
      <c r="F9" s="7">
        <v>21.909053543792172</v>
      </c>
      <c r="G9" s="7">
        <v>18.001606045073402</v>
      </c>
      <c r="H9" s="7">
        <v>17.920448575832371</v>
      </c>
      <c r="I9" s="7">
        <v>18.114738085488966</v>
      </c>
      <c r="J9" s="7">
        <v>21.111769752133515</v>
      </c>
      <c r="K9" s="7">
        <v>15.069868250516432</v>
      </c>
      <c r="L9" s="7">
        <v>21.373760075922199</v>
      </c>
      <c r="M9" s="7">
        <v>14.942478093024208</v>
      </c>
      <c r="N9" s="7">
        <v>17.876947945588768</v>
      </c>
      <c r="O9" s="7">
        <v>18.518770435319102</v>
      </c>
      <c r="P9" s="7">
        <v>15.785684083811551</v>
      </c>
      <c r="Q9" s="7">
        <v>16.340664069403783</v>
      </c>
      <c r="R9" s="8" t="s">
        <v>21</v>
      </c>
    </row>
    <row r="10" spans="1:18" ht="14.4" x14ac:dyDescent="0.25">
      <c r="A10" s="62"/>
      <c r="B10" s="63" t="s">
        <v>28</v>
      </c>
      <c r="C10" s="9" t="s">
        <v>169</v>
      </c>
      <c r="D10" s="57">
        <v>18.810000000000002</v>
      </c>
      <c r="E10" s="57">
        <v>15.300000000000004</v>
      </c>
      <c r="F10" s="57">
        <v>17.21</v>
      </c>
      <c r="G10" s="57">
        <v>15.198599999999999</v>
      </c>
      <c r="H10" s="57">
        <v>17.519399999999997</v>
      </c>
      <c r="I10" s="57">
        <v>16.644600000000001</v>
      </c>
      <c r="J10" s="57">
        <v>15.950000000000003</v>
      </c>
      <c r="K10" s="57">
        <v>15.262</v>
      </c>
      <c r="L10" s="57">
        <v>17.570000000000004</v>
      </c>
      <c r="M10" s="57">
        <v>17.82</v>
      </c>
      <c r="N10" s="57">
        <v>14.609000000000002</v>
      </c>
      <c r="O10" s="57">
        <v>18.114000000000001</v>
      </c>
      <c r="P10" s="57">
        <v>16.668799999999997</v>
      </c>
      <c r="Q10" s="57">
        <v>15.606000000000002</v>
      </c>
      <c r="R10" s="8" t="s">
        <v>21</v>
      </c>
    </row>
    <row r="11" spans="1:18" ht="14.4" x14ac:dyDescent="0.25">
      <c r="A11" s="62"/>
      <c r="B11" s="63"/>
      <c r="C11" s="9" t="s">
        <v>30</v>
      </c>
      <c r="D11" s="7">
        <v>5.72</v>
      </c>
      <c r="E11" s="7">
        <v>4.5699999999999994</v>
      </c>
      <c r="F11" s="7">
        <v>4.67</v>
      </c>
      <c r="G11" s="7">
        <v>4.7200000000000006</v>
      </c>
      <c r="H11" s="7">
        <v>5.07</v>
      </c>
      <c r="I11" s="7">
        <v>5.32</v>
      </c>
      <c r="J11" s="7">
        <v>5.42</v>
      </c>
      <c r="K11" s="7">
        <v>6.2200000000000006</v>
      </c>
      <c r="L11" s="7">
        <v>5.42</v>
      </c>
      <c r="M11" s="7">
        <v>5.07</v>
      </c>
      <c r="N11" s="7">
        <v>5.32</v>
      </c>
      <c r="O11" s="7">
        <v>5.32</v>
      </c>
      <c r="P11" s="7">
        <v>5.370000000000001</v>
      </c>
      <c r="Q11" s="7">
        <v>5.4200000000000008</v>
      </c>
      <c r="R11" s="11" t="s">
        <v>31</v>
      </c>
    </row>
    <row r="12" spans="1:18" ht="28.8" x14ac:dyDescent="0.25">
      <c r="A12" s="62" t="s">
        <v>32</v>
      </c>
      <c r="B12" s="62" t="s">
        <v>33</v>
      </c>
      <c r="C12" s="6" t="s">
        <v>34</v>
      </c>
      <c r="D12" s="8">
        <v>22814</v>
      </c>
      <c r="E12" s="8">
        <v>19643</v>
      </c>
      <c r="F12" s="8">
        <v>18059</v>
      </c>
      <c r="G12" s="8">
        <v>15635</v>
      </c>
      <c r="H12" s="8">
        <v>11698</v>
      </c>
      <c r="I12" s="8">
        <v>17312</v>
      </c>
      <c r="J12" s="8">
        <v>15502</v>
      </c>
      <c r="K12" s="8">
        <v>12705</v>
      </c>
      <c r="L12" s="8">
        <v>15398</v>
      </c>
      <c r="M12" s="8">
        <v>15342</v>
      </c>
      <c r="N12" s="8">
        <v>15041</v>
      </c>
      <c r="O12" s="8">
        <v>12523</v>
      </c>
      <c r="P12" s="8">
        <v>15025</v>
      </c>
      <c r="Q12" s="8">
        <v>12115</v>
      </c>
      <c r="R12" s="8" t="s">
        <v>21</v>
      </c>
    </row>
    <row r="13" spans="1:18" ht="14.4" x14ac:dyDescent="0.25">
      <c r="A13" s="62"/>
      <c r="B13" s="62"/>
      <c r="C13" s="6" t="s">
        <v>35</v>
      </c>
      <c r="D13" s="8">
        <v>3</v>
      </c>
      <c r="E13" s="8">
        <v>3.6</v>
      </c>
      <c r="F13" s="8">
        <v>4.0999999999999996</v>
      </c>
      <c r="G13" s="8">
        <v>4.2</v>
      </c>
      <c r="H13" s="8">
        <v>4.17</v>
      </c>
      <c r="I13" s="8">
        <v>4.0999999999999996</v>
      </c>
      <c r="J13" s="8">
        <v>4.0999999999999996</v>
      </c>
      <c r="K13" s="8">
        <v>4.3</v>
      </c>
      <c r="L13" s="8">
        <v>4.2</v>
      </c>
      <c r="M13" s="8">
        <v>4.05</v>
      </c>
      <c r="N13" s="8">
        <v>4.0999999999999996</v>
      </c>
      <c r="O13" s="8">
        <v>4.2</v>
      </c>
      <c r="P13" s="8">
        <v>4.3</v>
      </c>
      <c r="Q13" s="8">
        <v>4.3</v>
      </c>
      <c r="R13" s="11" t="s">
        <v>31</v>
      </c>
    </row>
    <row r="14" spans="1:18" ht="14.4" x14ac:dyDescent="0.25">
      <c r="A14" s="62"/>
      <c r="B14" s="62"/>
      <c r="C14" s="6" t="s">
        <v>36</v>
      </c>
      <c r="D14" s="7">
        <v>6.9117979529630125</v>
      </c>
      <c r="E14" s="7">
        <v>6.1183476024712267</v>
      </c>
      <c r="F14" s="7">
        <v>5.2996722631737905</v>
      </c>
      <c r="G14" s="7">
        <v>5.3432769618542046</v>
      </c>
      <c r="H14" s="7">
        <v>4.3349695444733189</v>
      </c>
      <c r="I14" s="7">
        <v>3.3714660638187302</v>
      </c>
      <c r="J14" s="7">
        <v>4.6849930080223743</v>
      </c>
      <c r="K14" s="7">
        <v>5.8997855493236555</v>
      </c>
      <c r="L14" s="7">
        <v>3.4390548660639078</v>
      </c>
      <c r="M14" s="7">
        <v>5.7970991717201601</v>
      </c>
      <c r="N14" s="7">
        <v>4.3031903104262001</v>
      </c>
      <c r="O14" s="7">
        <v>5.2852041723463525</v>
      </c>
      <c r="P14" s="7">
        <v>4.4213139632538194</v>
      </c>
      <c r="Q14" s="7">
        <v>5.8585688871318444</v>
      </c>
      <c r="R14" s="8" t="s">
        <v>21</v>
      </c>
    </row>
    <row r="15" spans="1:18" ht="28.8" x14ac:dyDescent="0.25">
      <c r="A15" s="62"/>
      <c r="B15" s="63" t="s">
        <v>37</v>
      </c>
      <c r="C15" s="12" t="s">
        <v>38</v>
      </c>
      <c r="D15" s="7">
        <v>41.961619156114054</v>
      </c>
      <c r="E15" s="7">
        <v>32.518738043716873</v>
      </c>
      <c r="F15" s="7">
        <v>33.398955268956719</v>
      </c>
      <c r="G15" s="7">
        <v>35.920272610783336</v>
      </c>
      <c r="H15" s="7">
        <v>37.888600145746544</v>
      </c>
      <c r="I15" s="7">
        <v>31.805425631431248</v>
      </c>
      <c r="J15" s="7">
        <v>35.208789150056539</v>
      </c>
      <c r="K15" s="7">
        <v>62.347410095678001</v>
      </c>
      <c r="L15" s="7">
        <v>36.714494299994385</v>
      </c>
      <c r="M15" s="7">
        <v>33.333641473154856</v>
      </c>
      <c r="N15" s="7">
        <v>38.828698452432171</v>
      </c>
      <c r="O15" s="7">
        <v>42.759141824216201</v>
      </c>
      <c r="P15" s="7">
        <v>31.537770181668161</v>
      </c>
      <c r="Q15" s="7">
        <v>43.783356394544377</v>
      </c>
      <c r="R15" s="8" t="s">
        <v>21</v>
      </c>
    </row>
    <row r="16" spans="1:18" ht="28.8" x14ac:dyDescent="0.25">
      <c r="A16" s="62"/>
      <c r="B16" s="63"/>
      <c r="C16" s="12" t="s">
        <v>62</v>
      </c>
      <c r="D16" s="7">
        <v>34.33648078864541</v>
      </c>
      <c r="E16" s="7">
        <v>74.174442025040847</v>
      </c>
      <c r="F16" s="7">
        <v>44.710041210617277</v>
      </c>
      <c r="G16" s="7">
        <v>25.985144116288161</v>
      </c>
      <c r="H16" s="7">
        <v>22.096489384065588</v>
      </c>
      <c r="I16" s="7">
        <v>24.197517065187018</v>
      </c>
      <c r="J16" s="7">
        <v>15.520200874777256</v>
      </c>
      <c r="K16" s="7">
        <v>11.293414664508902</v>
      </c>
      <c r="L16" s="7">
        <v>19.560679611650485</v>
      </c>
      <c r="M16" s="7">
        <v>14.164702692933309</v>
      </c>
      <c r="N16" s="7">
        <v>8.2582566095109371</v>
      </c>
      <c r="O16" s="7">
        <v>11.289475752574079</v>
      </c>
      <c r="P16" s="7">
        <v>36.578069011280697</v>
      </c>
      <c r="Q16" s="7">
        <v>13.093924273554446</v>
      </c>
      <c r="R16" s="8" t="s">
        <v>21</v>
      </c>
    </row>
    <row r="17" spans="1:18" ht="28.8" x14ac:dyDescent="0.25">
      <c r="A17" s="62"/>
      <c r="B17" s="63" t="s">
        <v>39</v>
      </c>
      <c r="C17" s="6" t="s">
        <v>69</v>
      </c>
      <c r="D17" s="7">
        <v>15.11133799728216</v>
      </c>
      <c r="E17" s="7">
        <v>21.360609307534425</v>
      </c>
      <c r="F17" s="7">
        <v>18.273835549617583</v>
      </c>
      <c r="G17" s="7">
        <v>5.2347897451967933</v>
      </c>
      <c r="H17" s="7">
        <v>1.1503356460498089</v>
      </c>
      <c r="I17" s="7">
        <v>8.4881119498627964</v>
      </c>
      <c r="J17" s="7">
        <v>9.1688658445999494</v>
      </c>
      <c r="K17" s="7">
        <v>0.34888744477158945</v>
      </c>
      <c r="L17" s="7">
        <v>2.496678832148048</v>
      </c>
      <c r="M17" s="7">
        <v>2.3719292845738029</v>
      </c>
      <c r="N17" s="7">
        <v>2.0408714496157261</v>
      </c>
      <c r="O17" s="7">
        <v>1.1101973401708134</v>
      </c>
      <c r="P17" s="7">
        <v>9.1111171529798032</v>
      </c>
      <c r="Q17" s="7">
        <v>0.41811706125083564</v>
      </c>
      <c r="R17" s="8" t="s">
        <v>21</v>
      </c>
    </row>
    <row r="18" spans="1:18" ht="28.8" x14ac:dyDescent="0.25">
      <c r="A18" s="62"/>
      <c r="B18" s="63"/>
      <c r="C18" s="6" t="s">
        <v>40</v>
      </c>
      <c r="D18" s="7">
        <v>8.8187254108256283</v>
      </c>
      <c r="E18" s="7">
        <v>5.9008063052552435</v>
      </c>
      <c r="F18" s="7">
        <v>4.0440374972749069</v>
      </c>
      <c r="G18" s="7">
        <v>0.34413295282860501</v>
      </c>
      <c r="H18" s="7">
        <v>0.58533109380567006</v>
      </c>
      <c r="I18" s="7">
        <v>0.88894698999934629</v>
      </c>
      <c r="J18" s="7">
        <v>4.4585619405140049</v>
      </c>
      <c r="K18" s="7">
        <v>1.5243219009190765</v>
      </c>
      <c r="L18" s="7">
        <v>0.93635500067851818</v>
      </c>
      <c r="M18" s="7">
        <v>1.4309826080575327</v>
      </c>
      <c r="N18" s="7">
        <v>1.9781258439103429</v>
      </c>
      <c r="O18" s="7">
        <v>0.25375190313927354</v>
      </c>
      <c r="P18" s="7">
        <v>4.1500904159132013</v>
      </c>
      <c r="Q18" s="7">
        <v>2.826217678893566</v>
      </c>
      <c r="R18" s="8" t="s">
        <v>21</v>
      </c>
    </row>
    <row r="19" spans="1:18" ht="14.4" x14ac:dyDescent="0.25">
      <c r="A19" s="62" t="s">
        <v>41</v>
      </c>
      <c r="B19" s="63" t="s">
        <v>42</v>
      </c>
      <c r="C19" s="12" t="s">
        <v>43</v>
      </c>
      <c r="D19" s="7">
        <v>92.6</v>
      </c>
      <c r="E19" s="7">
        <v>94.5</v>
      </c>
      <c r="F19" s="7">
        <v>92.88</v>
      </c>
      <c r="G19" s="7">
        <v>99.7</v>
      </c>
      <c r="H19" s="7">
        <v>91.2</v>
      </c>
      <c r="I19" s="7">
        <v>88.6</v>
      </c>
      <c r="J19" s="7">
        <v>89.3</v>
      </c>
      <c r="K19" s="7">
        <v>92.1</v>
      </c>
      <c r="L19" s="7">
        <v>90.958904109589042</v>
      </c>
      <c r="M19" s="7">
        <v>1</v>
      </c>
      <c r="N19" s="7">
        <v>95.62</v>
      </c>
      <c r="O19" s="7">
        <v>92.054794520547944</v>
      </c>
      <c r="P19" s="7">
        <v>91.780821917808225</v>
      </c>
      <c r="Q19" s="7">
        <v>1</v>
      </c>
      <c r="R19" s="8" t="s">
        <v>21</v>
      </c>
    </row>
    <row r="20" spans="1:18" ht="28.8" x14ac:dyDescent="0.25">
      <c r="A20" s="62"/>
      <c r="B20" s="63"/>
      <c r="C20" s="10" t="s">
        <v>44</v>
      </c>
      <c r="D20" s="7">
        <v>99.7</v>
      </c>
      <c r="E20" s="7">
        <v>82.66</v>
      </c>
      <c r="F20" s="7">
        <v>96.9</v>
      </c>
      <c r="G20" s="7">
        <v>80.540000000000006</v>
      </c>
      <c r="H20" s="7">
        <v>91.75</v>
      </c>
      <c r="I20" s="7">
        <v>96.12</v>
      </c>
      <c r="J20" s="7">
        <v>93.39</v>
      </c>
      <c r="K20" s="7">
        <v>93</v>
      </c>
      <c r="L20" s="7">
        <v>99.96</v>
      </c>
      <c r="M20" s="7">
        <v>70.87</v>
      </c>
      <c r="N20" s="7">
        <v>94</v>
      </c>
      <c r="O20" s="7">
        <v>37.950000000000003</v>
      </c>
      <c r="P20" s="7">
        <v>99.15</v>
      </c>
      <c r="Q20" s="7">
        <v>78.349999999999994</v>
      </c>
      <c r="R20" s="8" t="s">
        <v>21</v>
      </c>
    </row>
    <row r="21" spans="1:18" ht="14.4" x14ac:dyDescent="0.25">
      <c r="A21" s="62"/>
      <c r="B21" s="63"/>
      <c r="C21" s="56" t="s">
        <v>45</v>
      </c>
      <c r="D21" s="7">
        <v>7.7550000000000008</v>
      </c>
      <c r="E21" s="7">
        <v>9.1950000000000003</v>
      </c>
      <c r="F21" s="7">
        <v>9.0900000000000016</v>
      </c>
      <c r="G21" s="7">
        <v>7.5799999999999992</v>
      </c>
      <c r="H21" s="7">
        <v>9.495000000000001</v>
      </c>
      <c r="I21" s="7">
        <v>7.4033333333333324</v>
      </c>
      <c r="J21" s="7">
        <v>10.54</v>
      </c>
      <c r="K21" s="7">
        <v>7.68</v>
      </c>
      <c r="L21" s="7">
        <v>5.1950000000000003</v>
      </c>
      <c r="M21" s="7">
        <v>8.6750000000000007</v>
      </c>
      <c r="N21" s="7">
        <v>5.64</v>
      </c>
      <c r="O21" s="7">
        <v>11.494999999999999</v>
      </c>
      <c r="P21" s="7">
        <v>9.07</v>
      </c>
      <c r="Q21" s="7">
        <v>6.2733333333333334</v>
      </c>
      <c r="R21" s="8" t="s">
        <v>21</v>
      </c>
    </row>
    <row r="22" spans="1:18" ht="28.8" x14ac:dyDescent="0.25">
      <c r="A22" s="62"/>
      <c r="B22" s="63"/>
      <c r="C22" s="6" t="s">
        <v>146</v>
      </c>
      <c r="D22" s="7">
        <v>-2.29</v>
      </c>
      <c r="E22" s="7">
        <v>-3.27</v>
      </c>
      <c r="F22" s="7">
        <v>-2.88</v>
      </c>
      <c r="G22" s="7">
        <v>-5.09</v>
      </c>
      <c r="H22" s="7">
        <v>-5.3</v>
      </c>
      <c r="I22" s="7">
        <v>-2.84</v>
      </c>
      <c r="J22" s="7">
        <v>-2.72</v>
      </c>
      <c r="K22" s="7">
        <v>-4.5999999999999996</v>
      </c>
      <c r="L22" s="7">
        <v>-4.0199999999999996</v>
      </c>
      <c r="M22" s="7">
        <v>-4.42</v>
      </c>
      <c r="N22" s="7">
        <v>-4.38</v>
      </c>
      <c r="O22" s="7">
        <v>-3.15</v>
      </c>
      <c r="P22" s="7">
        <v>-4.47</v>
      </c>
      <c r="Q22" s="7">
        <v>-2.1800000000000002</v>
      </c>
      <c r="R22" s="11" t="s">
        <v>31</v>
      </c>
    </row>
    <row r="23" spans="1:18" ht="15.6" x14ac:dyDescent="0.25">
      <c r="A23" s="62"/>
      <c r="B23" s="63" t="s">
        <v>47</v>
      </c>
      <c r="C23" s="46" t="s">
        <v>48</v>
      </c>
      <c r="D23" s="7">
        <v>4.7618983963561474</v>
      </c>
      <c r="E23" s="7">
        <v>3.7863023746316697</v>
      </c>
      <c r="F23" s="7">
        <v>2.3223612377605392</v>
      </c>
      <c r="G23" s="7">
        <v>4.7546762617221381</v>
      </c>
      <c r="H23" s="7">
        <v>4.5725161875161886</v>
      </c>
      <c r="I23" s="7">
        <v>4.0544038476952204</v>
      </c>
      <c r="J23" s="7">
        <v>3.3259263544645314</v>
      </c>
      <c r="K23" s="7">
        <v>3.5550372846490097</v>
      </c>
      <c r="L23" s="7">
        <v>4.9881283536153198</v>
      </c>
      <c r="M23" s="7">
        <v>1.6561232305990776</v>
      </c>
      <c r="N23" s="7">
        <v>4.7450231481481504</v>
      </c>
      <c r="O23" s="7">
        <v>5.4650496625305784</v>
      </c>
      <c r="P23" s="7">
        <v>5.2056074766355138</v>
      </c>
      <c r="Q23" s="7">
        <v>4.3900342794161391</v>
      </c>
      <c r="R23" s="13" t="s">
        <v>21</v>
      </c>
    </row>
    <row r="24" spans="1:18" ht="15.6" x14ac:dyDescent="0.25">
      <c r="A24" s="62"/>
      <c r="B24" s="63"/>
      <c r="C24" s="6" t="s">
        <v>49</v>
      </c>
      <c r="D24" s="7">
        <v>94.60499999999999</v>
      </c>
      <c r="E24" s="7">
        <v>62.734999999999999</v>
      </c>
      <c r="F24" s="7">
        <v>78.263333333333335</v>
      </c>
      <c r="G24" s="7">
        <v>84.33</v>
      </c>
      <c r="H24" s="7">
        <v>60.394999999999996</v>
      </c>
      <c r="I24" s="7">
        <v>84.906666666666652</v>
      </c>
      <c r="J24" s="7">
        <v>91.009999999999991</v>
      </c>
      <c r="K24" s="7">
        <v>95.16</v>
      </c>
      <c r="L24" s="7">
        <v>67.45</v>
      </c>
      <c r="M24" s="7">
        <v>72.694999999999993</v>
      </c>
      <c r="N24" s="7">
        <v>83.25</v>
      </c>
      <c r="O24" s="7">
        <v>72.544999999999987</v>
      </c>
      <c r="P24" s="7">
        <v>94.4</v>
      </c>
      <c r="Q24" s="7">
        <v>66.023333333333326</v>
      </c>
      <c r="R24" s="13" t="s">
        <v>21</v>
      </c>
    </row>
    <row r="25" spans="1:18" ht="14.4" x14ac:dyDescent="0.25">
      <c r="A25" s="62"/>
      <c r="B25" s="63"/>
      <c r="C25" s="6" t="s">
        <v>50</v>
      </c>
      <c r="D25" s="7">
        <v>12.562671325294358</v>
      </c>
      <c r="E25" s="7">
        <v>7.2074874906017481</v>
      </c>
      <c r="F25" s="7">
        <v>5.4138507375917442</v>
      </c>
      <c r="G25" s="7">
        <v>4.5492697666610713</v>
      </c>
      <c r="H25" s="7">
        <v>9.2635007889245173</v>
      </c>
      <c r="I25" s="7">
        <v>16.432446565134974</v>
      </c>
      <c r="J25" s="7">
        <v>14.207334680912503</v>
      </c>
      <c r="K25" s="7">
        <v>41.694687289845334</v>
      </c>
      <c r="L25" s="7">
        <v>11.107341566019812</v>
      </c>
      <c r="M25" s="7">
        <v>13.502605122183898</v>
      </c>
      <c r="N25" s="7">
        <v>10.214690791250337</v>
      </c>
      <c r="O25" s="7">
        <v>15.544116580874356</v>
      </c>
      <c r="P25" s="7">
        <v>16.311030741410487</v>
      </c>
      <c r="Q25" s="7">
        <v>18.641010222489477</v>
      </c>
      <c r="R25" s="8" t="s">
        <v>21</v>
      </c>
    </row>
    <row r="26" spans="1:18" ht="14.4" x14ac:dyDescent="0.25">
      <c r="A26" s="62" t="s">
        <v>51</v>
      </c>
      <c r="B26" s="63" t="s">
        <v>52</v>
      </c>
      <c r="C26" s="6" t="s">
        <v>53</v>
      </c>
      <c r="D26" s="7">
        <v>14.08830468486687</v>
      </c>
      <c r="E26" s="7">
        <v>1.8395879323031641</v>
      </c>
      <c r="F26" s="7">
        <v>0.9248090068355449</v>
      </c>
      <c r="G26" s="7">
        <v>0.2345124096150088</v>
      </c>
      <c r="H26" s="7">
        <v>1.6438356164383561</v>
      </c>
      <c r="I26" s="7">
        <v>0.60146443514644354</v>
      </c>
      <c r="J26" s="7">
        <v>1.4255167498218104</v>
      </c>
      <c r="K26" s="7">
        <v>1.8126888217522661</v>
      </c>
      <c r="L26" s="7">
        <v>2.8384279475982535</v>
      </c>
      <c r="M26" s="7">
        <v>1.1213047910295617</v>
      </c>
      <c r="N26" s="7">
        <v>2.2678185745140391</v>
      </c>
      <c r="O26" s="7">
        <v>1.2942191544434858</v>
      </c>
      <c r="P26" s="7">
        <v>0.2243409983174425</v>
      </c>
      <c r="Q26" s="7">
        <v>1.929260450160772</v>
      </c>
      <c r="R26" s="8" t="s">
        <v>21</v>
      </c>
    </row>
    <row r="27" spans="1:18" ht="28.8" x14ac:dyDescent="0.25">
      <c r="A27" s="62"/>
      <c r="B27" s="63"/>
      <c r="C27" s="12" t="s">
        <v>82</v>
      </c>
      <c r="D27" s="7">
        <v>1.1298450438166658</v>
      </c>
      <c r="E27" s="7">
        <v>0.96735889658033236</v>
      </c>
      <c r="F27" s="7">
        <v>1.0484339800886562</v>
      </c>
      <c r="G27" s="7">
        <v>1.0671199149460018</v>
      </c>
      <c r="H27" s="7">
        <v>3.1356950170509492</v>
      </c>
      <c r="I27" s="7">
        <v>4.3859075756585399</v>
      </c>
      <c r="J27" s="7">
        <v>3.0944845509673695</v>
      </c>
      <c r="K27" s="7">
        <v>4.2129567361578122</v>
      </c>
      <c r="L27" s="7">
        <v>3.5038675532636723</v>
      </c>
      <c r="M27" s="7">
        <v>4.2243340427093266</v>
      </c>
      <c r="N27" s="7">
        <v>4.1373210910072915</v>
      </c>
      <c r="O27" s="7">
        <v>4.4643659827448712</v>
      </c>
      <c r="P27" s="7">
        <v>4.2411392405063291</v>
      </c>
      <c r="Q27" s="7">
        <v>5.6368009621166566</v>
      </c>
      <c r="R27" s="14" t="s">
        <v>21</v>
      </c>
    </row>
    <row r="28" spans="1:18" ht="14.4" x14ac:dyDescent="0.25">
      <c r="A28" s="62"/>
      <c r="B28" s="64" t="s">
        <v>54</v>
      </c>
      <c r="C28" s="55" t="s">
        <v>55</v>
      </c>
      <c r="D28" s="7">
        <v>1.9671339497493145</v>
      </c>
      <c r="E28" s="7">
        <v>0.98260351040937488</v>
      </c>
      <c r="F28" s="7">
        <v>0.78119322723639262</v>
      </c>
      <c r="G28" s="7">
        <v>0.4080167123645384</v>
      </c>
      <c r="H28" s="7">
        <v>2.6976128671043926</v>
      </c>
      <c r="I28" s="7">
        <v>2.9980172996056389</v>
      </c>
      <c r="J28" s="7">
        <v>1.547790932717297</v>
      </c>
      <c r="K28" s="7">
        <v>1.6812373907195697</v>
      </c>
      <c r="L28" s="7">
        <v>0.72601438458406842</v>
      </c>
      <c r="M28" s="7">
        <v>7.3383723490129888</v>
      </c>
      <c r="N28" s="7">
        <v>4.5638671347556032</v>
      </c>
      <c r="O28" s="7">
        <v>2.8383962879721598</v>
      </c>
      <c r="P28" s="7">
        <v>3.0560578661844486</v>
      </c>
      <c r="Q28" s="7">
        <v>2.3000601322910401</v>
      </c>
      <c r="R28" s="14" t="s">
        <v>21</v>
      </c>
    </row>
    <row r="29" spans="1:18" ht="28.8" x14ac:dyDescent="0.25">
      <c r="A29" s="62"/>
      <c r="B29" s="64"/>
      <c r="C29" s="12" t="s">
        <v>56</v>
      </c>
      <c r="D29" s="15">
        <v>23</v>
      </c>
      <c r="E29" s="15">
        <v>16</v>
      </c>
      <c r="F29" s="15">
        <v>11</v>
      </c>
      <c r="G29" s="15">
        <v>25</v>
      </c>
      <c r="H29" s="15">
        <v>24</v>
      </c>
      <c r="I29" s="15">
        <v>18</v>
      </c>
      <c r="J29" s="15">
        <v>19</v>
      </c>
      <c r="K29" s="15">
        <v>7</v>
      </c>
      <c r="L29" s="15">
        <v>16</v>
      </c>
      <c r="M29" s="15">
        <v>24</v>
      </c>
      <c r="N29" s="15">
        <v>28</v>
      </c>
      <c r="O29" s="15">
        <v>12</v>
      </c>
      <c r="P29" s="15">
        <v>23</v>
      </c>
      <c r="Q29" s="15">
        <v>18</v>
      </c>
      <c r="R29" s="14" t="s">
        <v>21</v>
      </c>
    </row>
  </sheetData>
  <mergeCells count="15">
    <mergeCell ref="A19:A25"/>
    <mergeCell ref="B19:B22"/>
    <mergeCell ref="B23:B25"/>
    <mergeCell ref="A26:A29"/>
    <mergeCell ref="B26:B27"/>
    <mergeCell ref="B28:B29"/>
    <mergeCell ref="A12:A18"/>
    <mergeCell ref="B12:B14"/>
    <mergeCell ref="B15:B16"/>
    <mergeCell ref="B17:B18"/>
    <mergeCell ref="A2:A11"/>
    <mergeCell ref="B2:B4"/>
    <mergeCell ref="B5:B7"/>
    <mergeCell ref="B8:B9"/>
    <mergeCell ref="B10:B1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FD89-D511-4C28-8E4C-F73D87B26109}">
  <dimension ref="A1:Q194"/>
  <sheetViews>
    <sheetView zoomScale="98" zoomScaleNormal="98" workbookViewId="0">
      <pane xSplit="1" ySplit="1" topLeftCell="B161" activePane="bottomRight" state="frozen"/>
      <selection pane="topRight" activeCell="B1" sqref="B1"/>
      <selection pane="bottomLeft" activeCell="A2" sqref="A2"/>
      <selection pane="bottomRight" activeCell="C119" sqref="C119"/>
    </sheetView>
  </sheetViews>
  <sheetFormatPr defaultRowHeight="13.8" x14ac:dyDescent="0.25"/>
  <cols>
    <col min="1" max="1" width="16.33203125" style="22" customWidth="1"/>
    <col min="2" max="2" width="11.88671875" style="16" bestFit="1" customWidth="1"/>
    <col min="3" max="4" width="8.88671875" style="16"/>
    <col min="5" max="5" width="13" style="16" bestFit="1" customWidth="1"/>
    <col min="6" max="16" width="8.88671875" style="16"/>
    <col min="17" max="17" width="13.6640625" style="16" customWidth="1"/>
    <col min="18" max="18" width="12.77734375" style="16" customWidth="1"/>
    <col min="19" max="19" width="23.6640625" style="16" customWidth="1"/>
    <col min="20" max="34" width="8.88671875" style="16"/>
    <col min="35" max="35" width="8.88671875" style="16" customWidth="1"/>
    <col min="36" max="36" width="20.21875" style="16" customWidth="1"/>
    <col min="37" max="16384" width="8.88671875" style="16"/>
  </cols>
  <sheetData>
    <row r="1" spans="1:17" ht="14.4" x14ac:dyDescent="0.25">
      <c r="A1" s="23" t="s">
        <v>57</v>
      </c>
      <c r="B1" s="2" t="s">
        <v>3</v>
      </c>
      <c r="C1" s="2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5" t="s">
        <v>17</v>
      </c>
    </row>
    <row r="2" spans="1:17" x14ac:dyDescent="0.25">
      <c r="A2" s="24">
        <v>2020</v>
      </c>
      <c r="B2" s="16">
        <v>12142.52</v>
      </c>
      <c r="C2" s="16">
        <v>3105.8</v>
      </c>
      <c r="D2" s="16">
        <v>2343.15</v>
      </c>
      <c r="E2" s="16">
        <v>3508.5</v>
      </c>
      <c r="F2" s="16">
        <v>2250.81</v>
      </c>
      <c r="G2" s="16">
        <v>4001.55</v>
      </c>
      <c r="H2" s="16">
        <v>3749.13</v>
      </c>
      <c r="I2" s="16">
        <v>556.67999999999995</v>
      </c>
      <c r="J2" s="16">
        <v>1853.48</v>
      </c>
      <c r="K2" s="16">
        <v>2503.0700000000002</v>
      </c>
      <c r="L2" s="16">
        <v>2107.6999999999998</v>
      </c>
      <c r="M2" s="16">
        <v>1671.87</v>
      </c>
      <c r="N2" s="16">
        <v>1679.94</v>
      </c>
      <c r="O2" s="16">
        <v>725.11</v>
      </c>
      <c r="P2" s="16" t="s">
        <v>58</v>
      </c>
      <c r="Q2" s="16" t="s">
        <v>88</v>
      </c>
    </row>
    <row r="3" spans="1:17" x14ac:dyDescent="0.25">
      <c r="A3" s="24">
        <v>2015</v>
      </c>
      <c r="B3" s="16">
        <v>8510.1299999999992</v>
      </c>
      <c r="C3" s="16">
        <v>2335.11</v>
      </c>
      <c r="D3" s="16">
        <v>1703.1</v>
      </c>
      <c r="E3" s="16">
        <v>2601.58</v>
      </c>
      <c r="F3" s="16">
        <v>1387</v>
      </c>
      <c r="G3" s="16">
        <v>2886.28</v>
      </c>
      <c r="H3" s="16">
        <v>2709.02</v>
      </c>
      <c r="I3" s="16">
        <v>447.7</v>
      </c>
      <c r="J3" s="16">
        <v>1354.41</v>
      </c>
      <c r="K3" s="16">
        <v>2012.07</v>
      </c>
      <c r="L3" s="16">
        <v>1418.18</v>
      </c>
      <c r="M3" s="16">
        <v>1273.25</v>
      </c>
      <c r="N3" s="16">
        <v>1291.6600000000001</v>
      </c>
      <c r="O3" s="16">
        <v>497.44</v>
      </c>
      <c r="Q3" s="16" t="s">
        <v>89</v>
      </c>
    </row>
    <row r="4" spans="1:17" x14ac:dyDescent="0.25">
      <c r="A4" s="24">
        <v>2010</v>
      </c>
      <c r="B4" s="16">
        <v>4547.0600000000004</v>
      </c>
      <c r="C4" s="16">
        <v>1275.48</v>
      </c>
      <c r="D4" s="16">
        <v>894.01</v>
      </c>
      <c r="E4" s="16">
        <v>1420.34</v>
      </c>
      <c r="F4" s="16">
        <v>727.29</v>
      </c>
      <c r="G4" s="16">
        <v>1539.36</v>
      </c>
      <c r="H4" s="16">
        <v>1494.57</v>
      </c>
      <c r="I4" s="16">
        <v>242.48</v>
      </c>
      <c r="J4" s="16">
        <v>712.28</v>
      </c>
      <c r="K4" s="16">
        <v>1081.76</v>
      </c>
      <c r="L4" s="16">
        <v>767.01</v>
      </c>
      <c r="M4" s="16">
        <v>674.92</v>
      </c>
      <c r="N4" s="16">
        <v>678.71</v>
      </c>
      <c r="O4" s="16">
        <v>303.54000000000002</v>
      </c>
    </row>
    <row r="6" spans="1:17" ht="14.4" x14ac:dyDescent="0.25">
      <c r="A6" s="25" t="s">
        <v>86</v>
      </c>
      <c r="B6" s="2" t="s">
        <v>3</v>
      </c>
      <c r="C6" s="2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5" t="s">
        <v>17</v>
      </c>
    </row>
    <row r="7" spans="1:17" x14ac:dyDescent="0.25">
      <c r="A7" s="26">
        <v>2020</v>
      </c>
      <c r="B7" s="16">
        <v>6979.79</v>
      </c>
      <c r="C7" s="16">
        <v>1412.63</v>
      </c>
      <c r="D7" s="16">
        <v>999.21</v>
      </c>
      <c r="E7" s="16">
        <v>1907.5</v>
      </c>
      <c r="F7" s="16">
        <v>1152.4100000000001</v>
      </c>
      <c r="G7" s="16">
        <v>1919.39</v>
      </c>
      <c r="H7" s="16">
        <v>1740.84</v>
      </c>
      <c r="I7" s="16">
        <v>387.29</v>
      </c>
      <c r="J7" s="16">
        <v>740.26</v>
      </c>
      <c r="K7" s="16">
        <v>1252.06</v>
      </c>
      <c r="L7" s="16">
        <v>1039.42</v>
      </c>
      <c r="M7" s="16">
        <v>933.52</v>
      </c>
      <c r="N7" s="16">
        <v>830.07</v>
      </c>
      <c r="O7" s="16">
        <v>409.18</v>
      </c>
      <c r="P7" s="16" t="s">
        <v>58</v>
      </c>
      <c r="Q7" s="16" t="s">
        <v>88</v>
      </c>
    </row>
    <row r="8" spans="1:17" x14ac:dyDescent="0.25">
      <c r="A8" s="24">
        <v>2015</v>
      </c>
      <c r="B8" s="16">
        <v>3834.77</v>
      </c>
      <c r="C8" s="16">
        <v>818.46</v>
      </c>
      <c r="D8" s="16">
        <v>628.67999999999995</v>
      </c>
      <c r="E8" s="16">
        <v>1044.71</v>
      </c>
      <c r="F8" s="16">
        <v>579.57000000000005</v>
      </c>
      <c r="G8" s="16">
        <v>1122.1199999999999</v>
      </c>
      <c r="H8" s="16">
        <v>1116.3399999999999</v>
      </c>
      <c r="I8" s="16">
        <v>293.98</v>
      </c>
      <c r="J8" s="16">
        <v>532.69000000000005</v>
      </c>
      <c r="K8" s="16">
        <v>715.85</v>
      </c>
      <c r="L8" s="16">
        <v>591.58000000000004</v>
      </c>
      <c r="M8" s="16">
        <v>556.20000000000005</v>
      </c>
      <c r="N8" s="16">
        <v>452.34</v>
      </c>
      <c r="O8" s="16">
        <v>262.87</v>
      </c>
      <c r="Q8" s="16" t="s">
        <v>89</v>
      </c>
    </row>
    <row r="9" spans="1:17" x14ac:dyDescent="0.25">
      <c r="A9" s="24">
        <v>2010</v>
      </c>
      <c r="B9" s="16">
        <v>1908.02</v>
      </c>
      <c r="C9" s="16">
        <v>414.77</v>
      </c>
      <c r="D9" s="16">
        <v>298.58999999999997</v>
      </c>
      <c r="E9" s="16">
        <v>510.19</v>
      </c>
      <c r="F9" s="16">
        <v>275.56</v>
      </c>
      <c r="G9" s="16">
        <v>489.6</v>
      </c>
      <c r="H9" s="16">
        <v>526.22</v>
      </c>
      <c r="I9" s="16">
        <v>151.18</v>
      </c>
      <c r="J9" s="16">
        <v>261.51</v>
      </c>
      <c r="K9" s="16">
        <v>360.59</v>
      </c>
      <c r="L9" s="16">
        <v>297.82</v>
      </c>
      <c r="M9" s="16">
        <v>288.58999999999997</v>
      </c>
      <c r="N9" s="16">
        <v>214.05</v>
      </c>
      <c r="O9" s="16">
        <v>132.9</v>
      </c>
    </row>
    <row r="11" spans="1:17" ht="14.4" x14ac:dyDescent="0.25">
      <c r="A11" s="25" t="s">
        <v>60</v>
      </c>
      <c r="B11" s="2" t="s">
        <v>3</v>
      </c>
      <c r="C11" s="2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5" t="s">
        <v>17</v>
      </c>
    </row>
    <row r="12" spans="1:17" x14ac:dyDescent="0.25">
      <c r="A12" s="26">
        <v>2020</v>
      </c>
      <c r="B12" s="16">
        <v>1006.08</v>
      </c>
      <c r="C12" s="16">
        <v>390.31</v>
      </c>
      <c r="D12" s="16">
        <v>272.55</v>
      </c>
      <c r="E12" s="16">
        <v>664.22</v>
      </c>
      <c r="F12" s="16">
        <v>656.15</v>
      </c>
      <c r="G12" s="16">
        <v>504.85</v>
      </c>
      <c r="H12" s="16">
        <v>527.59</v>
      </c>
      <c r="I12" s="16">
        <v>151.72</v>
      </c>
      <c r="J12" s="16">
        <v>385.04</v>
      </c>
      <c r="K12" s="16">
        <v>467.8</v>
      </c>
      <c r="L12" s="16">
        <v>529.62</v>
      </c>
      <c r="M12" s="16">
        <v>458.26</v>
      </c>
      <c r="N12" s="16">
        <v>382.76</v>
      </c>
      <c r="O12" s="16">
        <v>248.44</v>
      </c>
      <c r="P12" s="16" t="s">
        <v>59</v>
      </c>
      <c r="Q12" s="16" t="s">
        <v>87</v>
      </c>
    </row>
    <row r="13" spans="1:17" x14ac:dyDescent="0.25">
      <c r="A13" s="24">
        <v>2015</v>
      </c>
      <c r="B13" s="16">
        <v>743.18</v>
      </c>
      <c r="C13" s="16">
        <v>400.05</v>
      </c>
      <c r="D13" s="16">
        <v>282.37</v>
      </c>
      <c r="E13" s="16">
        <v>733.75</v>
      </c>
      <c r="F13" s="16">
        <v>726.17</v>
      </c>
      <c r="G13" s="16">
        <v>562.91999999999996</v>
      </c>
      <c r="H13" s="16">
        <v>584.39</v>
      </c>
      <c r="I13" s="16">
        <v>152.4</v>
      </c>
      <c r="J13" s="16">
        <v>441.02</v>
      </c>
      <c r="K13" s="16">
        <v>473.02</v>
      </c>
      <c r="L13" s="16">
        <v>542.97</v>
      </c>
      <c r="M13" s="16">
        <v>490.16</v>
      </c>
      <c r="N13" s="16">
        <v>387.18</v>
      </c>
      <c r="O13" s="16">
        <v>263.45</v>
      </c>
      <c r="Q13" s="16" t="s">
        <v>90</v>
      </c>
    </row>
    <row r="14" spans="1:17" x14ac:dyDescent="0.25">
      <c r="A14" s="24">
        <v>2010</v>
      </c>
      <c r="B14" s="16">
        <v>704.07</v>
      </c>
      <c r="C14" s="16">
        <v>385.71</v>
      </c>
      <c r="D14" s="16">
        <v>275.22000000000003</v>
      </c>
      <c r="E14" s="16">
        <v>714.84</v>
      </c>
      <c r="F14" s="16">
        <v>196.47</v>
      </c>
      <c r="G14" s="16">
        <v>152.99</v>
      </c>
      <c r="H14" s="16">
        <v>173.15</v>
      </c>
      <c r="I14" s="16">
        <v>44.61</v>
      </c>
      <c r="J14" s="16">
        <v>147.38</v>
      </c>
      <c r="K14" s="16">
        <v>136.27000000000001</v>
      </c>
      <c r="L14" s="16">
        <v>148.12</v>
      </c>
      <c r="M14" s="16">
        <v>137.93</v>
      </c>
      <c r="N14" s="16">
        <v>110.6</v>
      </c>
      <c r="O14" s="16">
        <v>66.52</v>
      </c>
    </row>
    <row r="16" spans="1:17" ht="14.4" x14ac:dyDescent="0.25">
      <c r="A16" s="25" t="s">
        <v>61</v>
      </c>
      <c r="B16" s="2" t="s">
        <v>3</v>
      </c>
      <c r="C16" s="2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9</v>
      </c>
      <c r="I16" s="3" t="s">
        <v>10</v>
      </c>
      <c r="J16" s="3" t="s">
        <v>11</v>
      </c>
      <c r="K16" s="4" t="s">
        <v>12</v>
      </c>
      <c r="L16" s="4" t="s">
        <v>13</v>
      </c>
      <c r="M16" s="4" t="s">
        <v>14</v>
      </c>
      <c r="N16" s="4" t="s">
        <v>15</v>
      </c>
      <c r="O16" s="4" t="s">
        <v>16</v>
      </c>
      <c r="P16" s="5" t="s">
        <v>17</v>
      </c>
    </row>
    <row r="17" spans="1:17" x14ac:dyDescent="0.25">
      <c r="A17" s="26">
        <v>2020</v>
      </c>
      <c r="B17" s="16">
        <v>1100.0899999999999</v>
      </c>
      <c r="C17" s="16">
        <v>204.6</v>
      </c>
      <c r="D17" s="16">
        <v>116.17</v>
      </c>
      <c r="E17" s="16">
        <v>173.47</v>
      </c>
      <c r="F17" s="16">
        <v>105.34</v>
      </c>
      <c r="G17" s="16">
        <v>152.72999999999999</v>
      </c>
      <c r="H17" s="16">
        <v>187.86</v>
      </c>
      <c r="I17" s="16">
        <v>32.130000000000003</v>
      </c>
      <c r="J17" s="16">
        <v>77.92</v>
      </c>
      <c r="K17" s="16">
        <v>143.41999999999999</v>
      </c>
      <c r="L17" s="16">
        <v>128.79</v>
      </c>
      <c r="M17" s="16">
        <v>99.57</v>
      </c>
      <c r="N17" s="16">
        <v>80.61</v>
      </c>
      <c r="O17" s="16">
        <v>64.47</v>
      </c>
      <c r="P17" s="16" t="s">
        <v>58</v>
      </c>
      <c r="Q17" s="16" t="s">
        <v>102</v>
      </c>
    </row>
    <row r="18" spans="1:17" x14ac:dyDescent="0.25">
      <c r="A18" s="24">
        <v>2015</v>
      </c>
      <c r="B18" s="16">
        <v>718.94680000000005</v>
      </c>
      <c r="C18" s="16">
        <v>191.3647</v>
      </c>
      <c r="D18" s="16">
        <v>117.38590000000001</v>
      </c>
      <c r="E18" s="16">
        <v>1946.4159999999999</v>
      </c>
      <c r="F18" s="16">
        <v>91.713499999999996</v>
      </c>
      <c r="G18" s="16">
        <v>127.9782</v>
      </c>
      <c r="H18" s="16">
        <v>148.64449999999999</v>
      </c>
      <c r="I18" s="16">
        <v>31.5761</v>
      </c>
      <c r="J18" s="16">
        <v>68.581800000000001</v>
      </c>
      <c r="K18" s="16">
        <v>162.65110000000001</v>
      </c>
      <c r="L18" s="16">
        <v>92.479900000000001</v>
      </c>
      <c r="M18" s="16">
        <v>73.560699999999997</v>
      </c>
      <c r="N18" s="16">
        <v>59.921799999999998</v>
      </c>
      <c r="O18" s="16">
        <v>46.124699999999997</v>
      </c>
      <c r="P18" s="16" t="s">
        <v>58</v>
      </c>
      <c r="Q18" s="16" t="s">
        <v>103</v>
      </c>
    </row>
    <row r="19" spans="1:17" x14ac:dyDescent="0.25">
      <c r="A19" s="24">
        <v>2010</v>
      </c>
      <c r="B19" s="16">
        <v>314.28359999999998</v>
      </c>
      <c r="C19" s="16">
        <v>78.038300000000007</v>
      </c>
      <c r="D19" s="16">
        <v>47.379600000000003</v>
      </c>
      <c r="E19" s="16">
        <v>75.892700000000005</v>
      </c>
      <c r="F19" s="16">
        <v>31.527799999999999</v>
      </c>
      <c r="G19" s="16">
        <v>51.899000000000001</v>
      </c>
      <c r="H19" s="16">
        <v>70.020499999999998</v>
      </c>
      <c r="I19" s="16">
        <v>14.3058</v>
      </c>
      <c r="J19" s="16">
        <v>24.495699999999999</v>
      </c>
      <c r="K19" s="16">
        <v>62.710700000000003</v>
      </c>
      <c r="L19" s="16">
        <v>33.005899999999997</v>
      </c>
      <c r="M19" s="16">
        <v>35.670900000000003</v>
      </c>
      <c r="N19" s="16">
        <v>30.007899999999999</v>
      </c>
      <c r="O19" s="16">
        <v>17.783100000000001</v>
      </c>
    </row>
    <row r="21" spans="1:17" ht="14.4" x14ac:dyDescent="0.25">
      <c r="A21" s="25" t="s">
        <v>64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4" t="s">
        <v>12</v>
      </c>
      <c r="L21" s="4" t="s">
        <v>13</v>
      </c>
      <c r="M21" s="4" t="s">
        <v>14</v>
      </c>
      <c r="N21" s="4" t="s">
        <v>15</v>
      </c>
      <c r="O21" s="4" t="s">
        <v>16</v>
      </c>
      <c r="P21" s="5" t="s">
        <v>17</v>
      </c>
    </row>
    <row r="22" spans="1:17" x14ac:dyDescent="0.25">
      <c r="A22" s="26">
        <v>2020</v>
      </c>
      <c r="B22" s="16">
        <v>231.05</v>
      </c>
      <c r="C22" s="16">
        <v>64.8</v>
      </c>
      <c r="D22" s="16">
        <v>38.630000000000003</v>
      </c>
      <c r="E22" s="16">
        <v>98.54</v>
      </c>
      <c r="F22" s="16">
        <v>108.65</v>
      </c>
      <c r="G22" s="16">
        <v>71.150000000000006</v>
      </c>
      <c r="H22" s="16">
        <v>81.5</v>
      </c>
      <c r="I22" s="16">
        <v>27.62</v>
      </c>
      <c r="J22" s="16">
        <v>59.25</v>
      </c>
      <c r="K22" s="16">
        <v>79.290000000000006</v>
      </c>
      <c r="L22" s="16">
        <v>96.45</v>
      </c>
      <c r="M22" s="16">
        <v>88.43</v>
      </c>
      <c r="N22" s="16">
        <v>62.41</v>
      </c>
      <c r="O22" s="16">
        <v>59.17</v>
      </c>
      <c r="P22" s="16" t="s">
        <v>58</v>
      </c>
      <c r="Q22" s="16" t="s">
        <v>101</v>
      </c>
    </row>
    <row r="23" spans="1:17" x14ac:dyDescent="0.25">
      <c r="A23" s="24">
        <v>2015</v>
      </c>
      <c r="B23" s="16">
        <v>144.4932</v>
      </c>
      <c r="C23" s="16">
        <v>44.216700000000003</v>
      </c>
      <c r="D23" s="16">
        <v>29.086099999999998</v>
      </c>
      <c r="E23" s="16">
        <v>75.733599999999996</v>
      </c>
      <c r="F23" s="16">
        <v>75.636200000000002</v>
      </c>
      <c r="G23" s="16">
        <v>52.764899999999997</v>
      </c>
      <c r="H23" s="16">
        <v>58.711399999999998</v>
      </c>
      <c r="I23" s="16">
        <v>19.6555</v>
      </c>
      <c r="J23" s="16">
        <v>44.284300000000002</v>
      </c>
      <c r="K23" s="16">
        <v>65.142399999999995</v>
      </c>
      <c r="L23" s="16">
        <v>62.319299999999998</v>
      </c>
      <c r="M23" s="16">
        <v>58.133499999999998</v>
      </c>
      <c r="N23" s="16">
        <v>36.6982</v>
      </c>
      <c r="O23" s="16">
        <v>41.655000000000001</v>
      </c>
      <c r="Q23" s="16" t="s">
        <v>104</v>
      </c>
    </row>
    <row r="24" spans="1:17" x14ac:dyDescent="0.25">
      <c r="A24" s="24">
        <v>2010</v>
      </c>
      <c r="B24" s="16">
        <v>53.933599999999998</v>
      </c>
      <c r="C24" s="16">
        <v>22.068300000000001</v>
      </c>
      <c r="D24" s="16">
        <v>14.8597</v>
      </c>
      <c r="E24" s="16">
        <v>29.662500000000001</v>
      </c>
      <c r="F24" s="16">
        <v>27.8553</v>
      </c>
      <c r="G24" s="16">
        <v>26.871300000000002</v>
      </c>
      <c r="H24" s="16">
        <v>29.663900000000002</v>
      </c>
      <c r="I24" s="16">
        <v>7.4999000000000002</v>
      </c>
      <c r="J24" s="16">
        <v>19.8474</v>
      </c>
      <c r="K24" s="16">
        <v>31.748000000000001</v>
      </c>
      <c r="L24" s="16">
        <v>30.064900000000002</v>
      </c>
      <c r="M24" s="16">
        <v>24.365400000000001</v>
      </c>
      <c r="N24" s="16">
        <v>16.311699999999998</v>
      </c>
      <c r="O24" s="16">
        <v>14.714399999999999</v>
      </c>
    </row>
    <row r="26" spans="1:17" ht="14.4" x14ac:dyDescent="0.25">
      <c r="A26" s="25" t="s">
        <v>66</v>
      </c>
      <c r="B26" s="2" t="s">
        <v>3</v>
      </c>
      <c r="C26" s="2" t="s">
        <v>4</v>
      </c>
      <c r="D26" s="3" t="s">
        <v>5</v>
      </c>
      <c r="E26" s="3" t="s">
        <v>6</v>
      </c>
      <c r="F26" s="3" t="s">
        <v>7</v>
      </c>
      <c r="G26" s="3" t="s">
        <v>8</v>
      </c>
      <c r="H26" s="3" t="s">
        <v>9</v>
      </c>
      <c r="I26" s="3" t="s">
        <v>10</v>
      </c>
      <c r="J26" s="3" t="s">
        <v>11</v>
      </c>
      <c r="K26" s="4" t="s">
        <v>12</v>
      </c>
      <c r="L26" s="4" t="s">
        <v>13</v>
      </c>
      <c r="M26" s="4" t="s">
        <v>14</v>
      </c>
      <c r="N26" s="4" t="s">
        <v>15</v>
      </c>
      <c r="O26" s="4" t="s">
        <v>16</v>
      </c>
      <c r="P26" s="5" t="s">
        <v>17</v>
      </c>
    </row>
    <row r="27" spans="1:17" x14ac:dyDescent="0.25">
      <c r="A27" s="26">
        <v>2020</v>
      </c>
      <c r="B27" s="16">
        <v>1501.23</v>
      </c>
      <c r="C27" s="16">
        <v>469.81</v>
      </c>
      <c r="D27" s="16">
        <v>293.39999999999998</v>
      </c>
      <c r="E27" s="16">
        <v>577.51</v>
      </c>
      <c r="F27" s="16">
        <v>590.23</v>
      </c>
      <c r="G27" s="16">
        <v>543.6</v>
      </c>
      <c r="H27" s="16">
        <v>613.98</v>
      </c>
      <c r="I27" s="16">
        <v>197.92</v>
      </c>
      <c r="J27" s="16">
        <v>385.23</v>
      </c>
      <c r="K27" s="16">
        <v>464.45</v>
      </c>
      <c r="L27" s="16">
        <v>501.24</v>
      </c>
      <c r="M27" s="16">
        <v>481.72</v>
      </c>
      <c r="N27" s="16">
        <v>329.52</v>
      </c>
      <c r="O27" s="16">
        <v>357.57</v>
      </c>
      <c r="P27" s="16" t="s">
        <v>58</v>
      </c>
      <c r="Q27" s="16" t="s">
        <v>101</v>
      </c>
    </row>
    <row r="28" spans="1:17" x14ac:dyDescent="0.25">
      <c r="A28" s="24">
        <v>2015</v>
      </c>
      <c r="B28" s="16">
        <v>924.99919999999997</v>
      </c>
      <c r="C28" s="16">
        <v>350.10599999999999</v>
      </c>
      <c r="D28" s="16">
        <v>231.1446</v>
      </c>
      <c r="E28" s="16">
        <v>491.87830000000002</v>
      </c>
      <c r="F28" s="16">
        <v>432.13310000000001</v>
      </c>
      <c r="G28" s="16">
        <v>375.8048</v>
      </c>
      <c r="H28" s="16">
        <v>426.52260000000001</v>
      </c>
      <c r="I28" s="16">
        <v>133.9795</v>
      </c>
      <c r="J28" s="16">
        <v>275.01280000000003</v>
      </c>
      <c r="K28" s="16">
        <v>378.81779999999998</v>
      </c>
      <c r="L28" s="16">
        <v>353.23570000000001</v>
      </c>
      <c r="M28" s="16">
        <v>339.93169999999998</v>
      </c>
      <c r="N28" s="16">
        <v>237.77209999999999</v>
      </c>
      <c r="O28" s="16">
        <v>246.28970000000001</v>
      </c>
      <c r="Q28" s="16" t="s">
        <v>104</v>
      </c>
    </row>
    <row r="29" spans="1:17" x14ac:dyDescent="0.25">
      <c r="A29" s="24">
        <v>2010</v>
      </c>
      <c r="B29" s="16">
        <v>403.3349</v>
      </c>
      <c r="C29" s="16">
        <v>156.97819999999999</v>
      </c>
      <c r="D29" s="16">
        <v>106.8079</v>
      </c>
      <c r="E29" s="16">
        <v>209.33410000000001</v>
      </c>
      <c r="F29" s="16">
        <v>161.61369999999999</v>
      </c>
      <c r="G29" s="16">
        <v>165.3383</v>
      </c>
      <c r="H29" s="16">
        <v>177.30109999999999</v>
      </c>
      <c r="I29" s="16">
        <v>55.089399999999998</v>
      </c>
      <c r="J29" s="16">
        <v>116.75109999999999</v>
      </c>
      <c r="K29" s="16">
        <v>161.1473</v>
      </c>
      <c r="L29" s="16">
        <v>144.38929999999999</v>
      </c>
      <c r="M29" s="16">
        <v>145.55070000000001</v>
      </c>
      <c r="N29" s="16">
        <v>106.6631</v>
      </c>
      <c r="O29" s="16">
        <v>104.1096</v>
      </c>
    </row>
    <row r="31" spans="1:17" ht="27.6" x14ac:dyDescent="0.25">
      <c r="A31" s="25" t="s">
        <v>67</v>
      </c>
      <c r="B31" s="2" t="s">
        <v>3</v>
      </c>
      <c r="C31" s="2" t="s">
        <v>4</v>
      </c>
      <c r="D31" s="3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3" t="s">
        <v>10</v>
      </c>
      <c r="J31" s="3" t="s">
        <v>11</v>
      </c>
      <c r="K31" s="4" t="s">
        <v>12</v>
      </c>
      <c r="L31" s="4" t="s">
        <v>13</v>
      </c>
      <c r="M31" s="4" t="s">
        <v>14</v>
      </c>
      <c r="N31" s="4" t="s">
        <v>15</v>
      </c>
      <c r="O31" s="4" t="s">
        <v>16</v>
      </c>
      <c r="P31" s="5" t="s">
        <v>17</v>
      </c>
    </row>
    <row r="32" spans="1:17" x14ac:dyDescent="0.25">
      <c r="A32" s="26">
        <v>2020</v>
      </c>
      <c r="B32" s="16">
        <v>126.73</v>
      </c>
      <c r="C32" s="16">
        <v>47.74</v>
      </c>
      <c r="D32" s="16">
        <v>37.36</v>
      </c>
      <c r="E32" s="16">
        <v>89.86</v>
      </c>
      <c r="F32" s="16">
        <v>79.75</v>
      </c>
      <c r="G32" s="16">
        <v>67.94</v>
      </c>
      <c r="H32" s="16">
        <v>85.7</v>
      </c>
      <c r="I32" s="16">
        <v>24.02</v>
      </c>
      <c r="J32" s="16">
        <v>54.75</v>
      </c>
      <c r="K32" s="16">
        <v>63.05</v>
      </c>
      <c r="L32" s="16">
        <v>73.73</v>
      </c>
      <c r="M32" s="16">
        <v>67.02</v>
      </c>
      <c r="N32" s="16">
        <v>45.68</v>
      </c>
      <c r="O32" s="16">
        <v>44.08</v>
      </c>
      <c r="P32" s="16" t="s">
        <v>58</v>
      </c>
      <c r="Q32" s="16" t="s">
        <v>101</v>
      </c>
    </row>
    <row r="33" spans="1:17" x14ac:dyDescent="0.25">
      <c r="A33" s="24">
        <v>2015</v>
      </c>
      <c r="B33" s="16">
        <v>67.941800000000001</v>
      </c>
      <c r="C33" s="16">
        <v>45.835099999999997</v>
      </c>
      <c r="D33" s="16">
        <v>36.823399999999999</v>
      </c>
      <c r="E33" s="16">
        <v>75.343500000000006</v>
      </c>
      <c r="F33" s="16">
        <v>72.628</v>
      </c>
      <c r="G33" s="16">
        <v>70.233199999999997</v>
      </c>
      <c r="H33" s="16">
        <v>70.488900000000001</v>
      </c>
      <c r="I33" s="16">
        <v>17.372399999999999</v>
      </c>
      <c r="J33" s="16">
        <v>48.432099999999998</v>
      </c>
      <c r="K33" s="16">
        <v>50.517499999999998</v>
      </c>
      <c r="L33" s="16">
        <v>56.088700000000003</v>
      </c>
      <c r="M33" s="16">
        <v>57.291699999999999</v>
      </c>
      <c r="N33" s="16">
        <v>38.339399999999998</v>
      </c>
      <c r="O33" s="16">
        <v>31.633299999999998</v>
      </c>
      <c r="Q33" s="16" t="s">
        <v>104</v>
      </c>
    </row>
    <row r="34" spans="1:17" x14ac:dyDescent="0.25">
      <c r="A34" s="24">
        <v>2010</v>
      </c>
      <c r="B34" s="16">
        <v>42.448</v>
      </c>
      <c r="C34" s="16">
        <v>24.7651</v>
      </c>
      <c r="D34" s="16">
        <v>23.400600000000001</v>
      </c>
      <c r="E34" s="16">
        <v>37.683500000000002</v>
      </c>
      <c r="F34" s="16">
        <v>28.9619</v>
      </c>
      <c r="G34" s="16">
        <v>29.950600000000001</v>
      </c>
      <c r="H34" s="16">
        <v>37.431399999999996</v>
      </c>
      <c r="I34" s="16">
        <v>8.3018999999999998</v>
      </c>
      <c r="J34" s="16">
        <v>24.9541</v>
      </c>
      <c r="K34" s="16">
        <v>24.0794</v>
      </c>
      <c r="L34" s="16">
        <v>25.8124</v>
      </c>
      <c r="M34" s="16">
        <v>26.9542</v>
      </c>
      <c r="N34" s="16">
        <v>16.837499999999999</v>
      </c>
      <c r="O34" s="16">
        <v>17.0122</v>
      </c>
    </row>
    <row r="36" spans="1:17" ht="27.6" x14ac:dyDescent="0.25">
      <c r="A36" s="25" t="s">
        <v>68</v>
      </c>
      <c r="B36" s="2" t="s">
        <v>3</v>
      </c>
      <c r="C36" s="2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  <c r="K36" s="4" t="s">
        <v>12</v>
      </c>
      <c r="L36" s="4" t="s">
        <v>13</v>
      </c>
      <c r="M36" s="4" t="s">
        <v>14</v>
      </c>
      <c r="N36" s="4" t="s">
        <v>15</v>
      </c>
      <c r="O36" s="4" t="s">
        <v>16</v>
      </c>
      <c r="P36" s="5" t="s">
        <v>17</v>
      </c>
    </row>
    <row r="37" spans="1:17" x14ac:dyDescent="0.25">
      <c r="A37" s="26">
        <v>2020</v>
      </c>
      <c r="B37" s="16">
        <v>3509.1</v>
      </c>
      <c r="C37" s="16">
        <v>873.85</v>
      </c>
      <c r="D37" s="16">
        <v>846.17</v>
      </c>
      <c r="E37" s="16">
        <v>591.80999999999995</v>
      </c>
      <c r="F37" s="16">
        <v>446.95</v>
      </c>
      <c r="G37" s="16">
        <v>945.84</v>
      </c>
      <c r="H37" s="16">
        <v>479.37</v>
      </c>
      <c r="I37" s="16">
        <v>23.12</v>
      </c>
      <c r="J37" s="16">
        <v>429.11</v>
      </c>
      <c r="K37" s="16">
        <v>605.76</v>
      </c>
      <c r="L37" s="16">
        <v>369.41</v>
      </c>
      <c r="M37" s="16">
        <v>284.02999999999997</v>
      </c>
      <c r="N37" s="16">
        <v>347.11</v>
      </c>
      <c r="O37" s="16">
        <v>48.67</v>
      </c>
      <c r="P37" s="16" t="s">
        <v>58</v>
      </c>
      <c r="Q37" s="16" t="s">
        <v>100</v>
      </c>
    </row>
    <row r="38" spans="1:17" x14ac:dyDescent="0.25">
      <c r="A38" s="24">
        <v>2015</v>
      </c>
      <c r="B38" s="16">
        <v>2729.9992000000002</v>
      </c>
      <c r="C38" s="16">
        <v>525.94159999999999</v>
      </c>
      <c r="D38" s="16">
        <v>5365.7659999999996</v>
      </c>
      <c r="E38" s="16">
        <v>321.86599999999999</v>
      </c>
      <c r="F38" s="16">
        <v>232.5274</v>
      </c>
      <c r="G38" s="16">
        <v>536.63639999999998</v>
      </c>
      <c r="H38" s="16">
        <v>217.74019999999999</v>
      </c>
      <c r="I38" s="16">
        <v>7.5453000000000001</v>
      </c>
      <c r="J38" s="16">
        <v>231.44569999999999</v>
      </c>
      <c r="K38" s="16">
        <v>457.87580000000003</v>
      </c>
      <c r="L38" s="16">
        <v>101.128</v>
      </c>
      <c r="M38" s="16">
        <v>62.187600000000003</v>
      </c>
      <c r="N38" s="16">
        <v>144.34610000000001</v>
      </c>
      <c r="O38" s="16">
        <v>23.0015</v>
      </c>
      <c r="Q38" s="16" t="s">
        <v>105</v>
      </c>
    </row>
    <row r="39" spans="1:17" x14ac:dyDescent="0.25">
      <c r="A39" s="24">
        <v>2010</v>
      </c>
      <c r="B39" s="16">
        <v>693.83040000000005</v>
      </c>
      <c r="C39" s="16">
        <v>272.51690000000002</v>
      </c>
      <c r="D39" s="16">
        <v>201.79429999999999</v>
      </c>
      <c r="E39" s="16">
        <v>146.22880000000001</v>
      </c>
      <c r="F39" s="16">
        <v>52.5565</v>
      </c>
      <c r="G39" s="16">
        <v>181.85159999999999</v>
      </c>
      <c r="H39" s="16">
        <v>95.806200000000004</v>
      </c>
      <c r="I39" s="16">
        <v>5.4432</v>
      </c>
      <c r="J39" s="16">
        <v>50.771700000000003</v>
      </c>
      <c r="K39" s="16">
        <v>78.3733</v>
      </c>
      <c r="L39" s="16">
        <v>19.553899999999999</v>
      </c>
      <c r="M39" s="16">
        <v>28.7272</v>
      </c>
      <c r="N39" s="16">
        <v>110.24630000000001</v>
      </c>
      <c r="O39" s="16">
        <v>13.3833</v>
      </c>
    </row>
    <row r="41" spans="1:17" ht="27.6" x14ac:dyDescent="0.25">
      <c r="A41" s="25" t="s">
        <v>70</v>
      </c>
      <c r="B41" s="2" t="s">
        <v>3</v>
      </c>
      <c r="C41" s="2" t="s">
        <v>4</v>
      </c>
      <c r="D41" s="3" t="s">
        <v>5</v>
      </c>
      <c r="E41" s="3" t="s">
        <v>6</v>
      </c>
      <c r="F41" s="3" t="s">
        <v>7</v>
      </c>
      <c r="G41" s="3" t="s">
        <v>8</v>
      </c>
      <c r="H41" s="3" t="s">
        <v>9</v>
      </c>
      <c r="I41" s="3" t="s">
        <v>10</v>
      </c>
      <c r="J41" s="3" t="s">
        <v>11</v>
      </c>
      <c r="K41" s="4" t="s">
        <v>12</v>
      </c>
      <c r="L41" s="4" t="s">
        <v>13</v>
      </c>
      <c r="M41" s="4" t="s">
        <v>14</v>
      </c>
      <c r="N41" s="4" t="s">
        <v>15</v>
      </c>
      <c r="O41" s="4" t="s">
        <v>16</v>
      </c>
      <c r="P41" s="5" t="s">
        <v>17</v>
      </c>
    </row>
    <row r="42" spans="1:17" x14ac:dyDescent="0.25">
      <c r="A42" s="22">
        <v>2020</v>
      </c>
      <c r="B42" s="16">
        <v>3575208</v>
      </c>
      <c r="C42" s="16">
        <v>1015382</v>
      </c>
      <c r="D42" s="16">
        <v>591689</v>
      </c>
      <c r="E42" s="16">
        <v>634314</v>
      </c>
      <c r="F42" s="16">
        <v>280303</v>
      </c>
      <c r="G42" s="16">
        <v>626289</v>
      </c>
      <c r="H42" s="16">
        <v>564606</v>
      </c>
      <c r="I42" s="16">
        <v>39399</v>
      </c>
      <c r="J42" s="16">
        <v>349381</v>
      </c>
      <c r="K42" s="16">
        <v>304091</v>
      </c>
      <c r="L42" s="16">
        <v>342774</v>
      </c>
      <c r="M42" s="16">
        <v>311237</v>
      </c>
      <c r="N42" s="16">
        <v>301489</v>
      </c>
      <c r="O42" s="16">
        <v>50837</v>
      </c>
      <c r="P42" s="16" t="s">
        <v>71</v>
      </c>
      <c r="Q42" s="16" t="s">
        <v>99</v>
      </c>
    </row>
    <row r="43" spans="1:17" x14ac:dyDescent="0.25">
      <c r="A43" s="22">
        <v>2015</v>
      </c>
      <c r="B43" s="16">
        <v>1883174</v>
      </c>
      <c r="C43" s="16">
        <v>445873</v>
      </c>
      <c r="D43" s="16">
        <v>205314</v>
      </c>
      <c r="E43" s="16">
        <v>195360</v>
      </c>
      <c r="F43" s="16">
        <v>102510</v>
      </c>
      <c r="G43" s="16">
        <v>483160</v>
      </c>
      <c r="H43" s="16">
        <v>309563</v>
      </c>
      <c r="I43" s="16">
        <v>5929</v>
      </c>
      <c r="J43" s="16">
        <v>127792</v>
      </c>
      <c r="K43" s="16">
        <v>154233</v>
      </c>
      <c r="L43" s="16">
        <v>43787</v>
      </c>
      <c r="M43" s="16">
        <v>45154</v>
      </c>
      <c r="N43" s="16">
        <v>115365</v>
      </c>
      <c r="O43" s="16">
        <v>9478</v>
      </c>
      <c r="Q43" s="16" t="s">
        <v>99</v>
      </c>
    </row>
    <row r="44" spans="1:17" x14ac:dyDescent="0.25">
      <c r="A44" s="22">
        <v>2010</v>
      </c>
      <c r="B44" s="16">
        <v>609493</v>
      </c>
      <c r="C44" s="16">
        <v>335315</v>
      </c>
      <c r="D44" s="16">
        <v>195179</v>
      </c>
      <c r="E44" s="16">
        <v>109582</v>
      </c>
      <c r="F44" s="16">
        <v>18591</v>
      </c>
      <c r="G44" s="16">
        <v>140341</v>
      </c>
      <c r="H44" s="16">
        <v>162565</v>
      </c>
      <c r="I44" s="16">
        <v>1922</v>
      </c>
      <c r="J44" s="16">
        <v>29149</v>
      </c>
      <c r="K44" s="16">
        <v>38223</v>
      </c>
      <c r="L44" s="16">
        <v>29468</v>
      </c>
      <c r="M44" s="16">
        <v>16159</v>
      </c>
      <c r="N44" s="16">
        <v>97182</v>
      </c>
      <c r="O44" s="16">
        <v>4353</v>
      </c>
    </row>
    <row r="46" spans="1:17" ht="14.4" x14ac:dyDescent="0.25">
      <c r="A46" s="25" t="s">
        <v>72</v>
      </c>
      <c r="B46" s="2" t="s">
        <v>3</v>
      </c>
      <c r="C46" s="2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4" t="s">
        <v>12</v>
      </c>
      <c r="L46" s="4" t="s">
        <v>13</v>
      </c>
      <c r="M46" s="4" t="s">
        <v>14</v>
      </c>
      <c r="N46" s="4" t="s">
        <v>15</v>
      </c>
      <c r="O46" s="4" t="s">
        <v>16</v>
      </c>
      <c r="P46" s="5" t="s">
        <v>17</v>
      </c>
    </row>
    <row r="47" spans="1:17" x14ac:dyDescent="0.25">
      <c r="A47" s="22">
        <v>2020</v>
      </c>
      <c r="B47" s="16">
        <f>37908+38682+39040</f>
        <v>115630</v>
      </c>
      <c r="C47" s="16">
        <f>4601+16449+15505</f>
        <v>36555</v>
      </c>
      <c r="D47" s="16">
        <f>8064+10460+9515</f>
        <v>28039</v>
      </c>
      <c r="E47" s="16">
        <f>7258+34434+32316</f>
        <v>74008</v>
      </c>
      <c r="F47" s="16">
        <f>2237+32802+31816</f>
        <v>66855</v>
      </c>
      <c r="G47" s="16">
        <f>2697+23053+20368</f>
        <v>46118</v>
      </c>
      <c r="H47" s="16">
        <f>3211+22311+18421</f>
        <v>43943</v>
      </c>
      <c r="I47" s="16">
        <f>867+7002+6289</f>
        <v>14158</v>
      </c>
      <c r="J47" s="16">
        <f>2581+17042+15655</f>
        <v>35278</v>
      </c>
      <c r="K47" s="16">
        <f>1823+25711+26568</f>
        <v>54102</v>
      </c>
      <c r="L47" s="16">
        <f>2320+28854+30052</f>
        <v>61226</v>
      </c>
      <c r="M47" s="16">
        <f>1952+21517+22235</f>
        <v>45704</v>
      </c>
      <c r="N47" s="16">
        <f>2230+19852+18644</f>
        <v>40726</v>
      </c>
      <c r="O47" s="16">
        <f>1849+13151+13609</f>
        <v>28609</v>
      </c>
      <c r="P47" s="16" t="s">
        <v>73</v>
      </c>
      <c r="Q47" s="16" t="s">
        <v>98</v>
      </c>
    </row>
    <row r="48" spans="1:17" x14ac:dyDescent="0.25">
      <c r="A48" s="22">
        <v>2015</v>
      </c>
      <c r="B48" s="16">
        <f>32497+28156+24480</f>
        <v>85133</v>
      </c>
      <c r="C48" s="16">
        <f>4192+14513+12556</f>
        <v>31261</v>
      </c>
      <c r="D48" s="16">
        <f>7006+10705+8329</f>
        <v>26040</v>
      </c>
      <c r="E48" s="16">
        <f>6235+28447+27397</f>
        <v>62079</v>
      </c>
      <c r="F48" s="16">
        <f>1574+27691+27725</f>
        <v>56990</v>
      </c>
      <c r="G48" s="16">
        <f>2278+21402+18589</f>
        <v>42269</v>
      </c>
      <c r="H48" s="16">
        <f>2482+22604+16766</f>
        <v>41852</v>
      </c>
      <c r="I48" s="16">
        <f>740+5935+5517</f>
        <v>12192</v>
      </c>
      <c r="J48" s="16">
        <f>1933+15162+13756</f>
        <v>30851</v>
      </c>
      <c r="K48" s="16">
        <f>1447+18481+21867</f>
        <v>41795</v>
      </c>
      <c r="L48" s="16">
        <f>1575+22322+23837</f>
        <v>47734</v>
      </c>
      <c r="M48" s="16">
        <f>1590+19925+20190</f>
        <v>41705</v>
      </c>
      <c r="N48" s="16">
        <f>1512+17028+15261</f>
        <v>33801</v>
      </c>
      <c r="O48" s="16">
        <f>1554+11930+12845</f>
        <v>26329</v>
      </c>
      <c r="Q48" s="16" t="s">
        <v>106</v>
      </c>
    </row>
    <row r="49" spans="1:17" x14ac:dyDescent="0.25">
      <c r="A49" s="22">
        <v>2010</v>
      </c>
      <c r="B49" s="16">
        <f>30035+24638+21015</f>
        <v>75688</v>
      </c>
      <c r="C49" s="16">
        <f>3573+14122+12273</f>
        <v>29968</v>
      </c>
      <c r="D49" s="16">
        <f>6231+11265+9091</f>
        <v>26587</v>
      </c>
      <c r="E49" s="16">
        <f>5388+28293+28071</f>
        <v>61752</v>
      </c>
      <c r="F49" s="16">
        <f>1401+26297+28071</f>
        <v>55769</v>
      </c>
      <c r="G49" s="16">
        <f>1964+23581+19235</f>
        <v>44780</v>
      </c>
      <c r="H49" s="16">
        <f>1905+24795+18172</f>
        <v>44872</v>
      </c>
      <c r="I49" s="16">
        <f>685+5788+5588</f>
        <v>12061</v>
      </c>
      <c r="J49" s="16">
        <f>1684+19886+16742</f>
        <v>38312</v>
      </c>
      <c r="K49" s="16">
        <f>1048+17100+20141</f>
        <v>38289</v>
      </c>
      <c r="L49" s="16">
        <f>1609+24723+25229</f>
        <v>51561</v>
      </c>
      <c r="M49" s="16">
        <f>1279+18755+20036</f>
        <v>40070</v>
      </c>
      <c r="N49" s="16">
        <f>1432+17913+15637</f>
        <v>34982</v>
      </c>
      <c r="O49" s="16">
        <f>1323+11342+12593</f>
        <v>25258</v>
      </c>
    </row>
    <row r="51" spans="1:17" ht="14.4" x14ac:dyDescent="0.25">
      <c r="A51" s="25" t="s">
        <v>74</v>
      </c>
      <c r="B51" s="2" t="s">
        <v>3</v>
      </c>
      <c r="C51" s="2" t="s">
        <v>4</v>
      </c>
      <c r="D51" s="3" t="s">
        <v>5</v>
      </c>
      <c r="E51" s="3" t="s">
        <v>6</v>
      </c>
      <c r="F51" s="3" t="s">
        <v>7</v>
      </c>
      <c r="G51" s="3" t="s">
        <v>8</v>
      </c>
      <c r="H51" s="3" t="s">
        <v>9</v>
      </c>
      <c r="I51" s="3" t="s">
        <v>10</v>
      </c>
      <c r="J51" s="3" t="s">
        <v>11</v>
      </c>
      <c r="K51" s="4" t="s">
        <v>12</v>
      </c>
      <c r="L51" s="4" t="s">
        <v>13</v>
      </c>
      <c r="M51" s="4" t="s">
        <v>14</v>
      </c>
      <c r="N51" s="4" t="s">
        <v>15</v>
      </c>
      <c r="O51" s="4" t="s">
        <v>16</v>
      </c>
      <c r="P51" s="5" t="s">
        <v>17</v>
      </c>
    </row>
    <row r="52" spans="1:17" x14ac:dyDescent="0.25">
      <c r="A52" s="22">
        <v>2020</v>
      </c>
      <c r="B52" s="16">
        <f>697407+556163+710213</f>
        <v>1963783</v>
      </c>
      <c r="C52" s="16">
        <f>110707+223732+303887</f>
        <v>638326</v>
      </c>
      <c r="D52" s="16">
        <f>153570+132406+167254</f>
        <v>453230</v>
      </c>
      <c r="E52" s="16">
        <f>138823+506324+572578</f>
        <v>1217725</v>
      </c>
      <c r="F52" s="16">
        <f>40630+536895+587794</f>
        <v>1165319</v>
      </c>
      <c r="G52" s="16">
        <f>57895+309051+361607</f>
        <v>728553</v>
      </c>
      <c r="H52" s="16">
        <f>62795+273417+311082</f>
        <v>647294</v>
      </c>
      <c r="I52" s="16">
        <f>18428+97749+111865</f>
        <v>228042</v>
      </c>
      <c r="J52" s="16">
        <f>48435+214387+267826</f>
        <v>530648</v>
      </c>
      <c r="K52" s="16">
        <f>32711+402061+463087</f>
        <v>897859</v>
      </c>
      <c r="L52" s="16">
        <f>37389+441479+498656</f>
        <v>977524</v>
      </c>
      <c r="M52" s="16">
        <f>39317+310954+388100</f>
        <v>738371</v>
      </c>
      <c r="N52" s="16">
        <f>40292+289817+364556</f>
        <v>694665</v>
      </c>
      <c r="O52" s="16">
        <f>31933+181615+234008</f>
        <v>447556</v>
      </c>
      <c r="P52" s="16" t="s">
        <v>73</v>
      </c>
      <c r="Q52" s="16" t="s">
        <v>97</v>
      </c>
    </row>
    <row r="53" spans="1:17" x14ac:dyDescent="0.25">
      <c r="A53" s="22">
        <v>2015</v>
      </c>
      <c r="B53" s="16">
        <f>569400+460992+509396</f>
        <v>1539788</v>
      </c>
      <c r="C53" s="16">
        <f>82761+199280+253117</f>
        <v>535158</v>
      </c>
      <c r="D53" s="16">
        <f>127807+144689+142563</f>
        <v>415059</v>
      </c>
      <c r="E53" s="16">
        <f>109023+489695+561517</f>
        <v>1160235</v>
      </c>
      <c r="F53" s="16">
        <f>28230+477558+613713</f>
        <v>1119501</v>
      </c>
      <c r="G53" s="16">
        <f>43666+297062+342114</f>
        <v>682842</v>
      </c>
      <c r="H53" s="16">
        <f>44724+255099+286008</f>
        <v>585831</v>
      </c>
      <c r="I53" s="16">
        <f>12608+88604+111109</f>
        <v>212321</v>
      </c>
      <c r="J53" s="16">
        <f>32255+204245+240346</f>
        <v>476846</v>
      </c>
      <c r="K53" s="16">
        <f>24460+310166+468873</f>
        <v>803499</v>
      </c>
      <c r="L53" s="16">
        <f>25900+338263+496638</f>
        <v>860801</v>
      </c>
      <c r="M53" s="16">
        <f>27838+262007+339228</f>
        <v>629073</v>
      </c>
      <c r="N53" s="16">
        <f>25710+250495+320783</f>
        <v>596988</v>
      </c>
      <c r="O53" s="16">
        <f>25429+168385+203193</f>
        <v>397007</v>
      </c>
      <c r="Q53" s="16" t="s">
        <v>107</v>
      </c>
    </row>
    <row r="54" spans="1:17" x14ac:dyDescent="0.25">
      <c r="A54" s="22">
        <v>2010</v>
      </c>
      <c r="B54" s="16">
        <f>511724+421136+413498</f>
        <v>1346358</v>
      </c>
      <c r="C54" s="16">
        <f>67254+192989+214705</f>
        <v>474948</v>
      </c>
      <c r="D54" s="16">
        <f>111124+178690+152612</f>
        <v>442426</v>
      </c>
      <c r="E54" s="16">
        <f>94489+464242+617830</f>
        <v>1176561</v>
      </c>
      <c r="F54" s="16">
        <f>25929+430954+613544</f>
        <v>1070427</v>
      </c>
      <c r="G54" s="16">
        <f>36849+333742+356549</f>
        <v>727140</v>
      </c>
      <c r="H54" s="16">
        <f>36345+330663+275193</f>
        <v>642201</v>
      </c>
      <c r="I54" s="16">
        <f>12569+82480+102798</f>
        <v>197847</v>
      </c>
      <c r="J54" s="16">
        <f>28581+226049+246535</f>
        <v>501165</v>
      </c>
      <c r="K54" s="16">
        <f>20407+243275+440037</f>
        <v>703719</v>
      </c>
      <c r="L54" s="16">
        <f>25101+333320+482913</f>
        <v>841334</v>
      </c>
      <c r="M54" s="16">
        <f>27819+243598+319103</f>
        <v>590520</v>
      </c>
      <c r="N54" s="16">
        <f>25669+271281+320217</f>
        <v>617167</v>
      </c>
      <c r="O54" s="16">
        <f>20450+180620+236067</f>
        <v>437137</v>
      </c>
    </row>
    <row r="56" spans="1:17" ht="14.4" x14ac:dyDescent="0.25">
      <c r="A56" s="25" t="s">
        <v>85</v>
      </c>
      <c r="B56" s="2" t="s">
        <v>3</v>
      </c>
      <c r="C56" s="2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  <c r="K56" s="4" t="s">
        <v>12</v>
      </c>
      <c r="L56" s="4" t="s">
        <v>13</v>
      </c>
      <c r="M56" s="4" t="s">
        <v>14</v>
      </c>
      <c r="N56" s="4" t="s">
        <v>15</v>
      </c>
      <c r="O56" s="4" t="s">
        <v>16</v>
      </c>
      <c r="P56" s="5" t="s">
        <v>17</v>
      </c>
    </row>
    <row r="57" spans="1:17" x14ac:dyDescent="0.25">
      <c r="A57" s="27">
        <v>2020</v>
      </c>
      <c r="B57" s="16">
        <v>177151</v>
      </c>
      <c r="C57" s="16">
        <v>27721</v>
      </c>
      <c r="D57" s="16">
        <v>39915</v>
      </c>
      <c r="E57" s="16">
        <v>33426</v>
      </c>
      <c r="F57" s="16">
        <v>8824</v>
      </c>
      <c r="G57" s="16">
        <v>15176</v>
      </c>
      <c r="H57" s="16">
        <v>15328</v>
      </c>
      <c r="I57" s="16">
        <v>4304</v>
      </c>
      <c r="J57" s="16">
        <v>11811</v>
      </c>
      <c r="K57" s="16">
        <v>9000</v>
      </c>
      <c r="L57" s="16">
        <v>8608</v>
      </c>
      <c r="M57" s="16">
        <v>7799</v>
      </c>
      <c r="N57" s="16">
        <v>8743</v>
      </c>
      <c r="O57" s="16">
        <v>8237</v>
      </c>
      <c r="P57" s="16" t="s">
        <v>73</v>
      </c>
      <c r="Q57" s="16" t="s">
        <v>92</v>
      </c>
    </row>
    <row r="58" spans="1:17" x14ac:dyDescent="0.25">
      <c r="A58" s="28">
        <v>2015</v>
      </c>
      <c r="B58" s="16">
        <v>143705</v>
      </c>
      <c r="C58" s="16">
        <v>21194</v>
      </c>
      <c r="D58" s="16">
        <v>32905</v>
      </c>
      <c r="E58" s="16">
        <v>27340</v>
      </c>
      <c r="F58" s="16">
        <v>7311</v>
      </c>
      <c r="G58" s="16">
        <v>12153</v>
      </c>
      <c r="H58" s="16">
        <v>10929</v>
      </c>
      <c r="I58" s="16">
        <v>3368</v>
      </c>
      <c r="J58" s="16">
        <v>8444</v>
      </c>
      <c r="K58" s="16">
        <v>6084</v>
      </c>
      <c r="L58" s="16">
        <v>6630</v>
      </c>
      <c r="M58" s="16">
        <v>7384</v>
      </c>
      <c r="N58" s="16">
        <v>6050</v>
      </c>
      <c r="O58" s="16">
        <v>6664</v>
      </c>
      <c r="Q58" s="16" t="s">
        <v>108</v>
      </c>
    </row>
    <row r="59" spans="1:17" x14ac:dyDescent="0.25">
      <c r="A59" s="28">
        <v>2010</v>
      </c>
      <c r="B59" s="16">
        <v>141567</v>
      </c>
      <c r="C59" s="16">
        <v>18128</v>
      </c>
      <c r="D59" s="16">
        <v>27779</v>
      </c>
      <c r="E59" s="16">
        <v>21888</v>
      </c>
      <c r="F59" s="16">
        <v>5758</v>
      </c>
      <c r="G59" s="16">
        <v>9848</v>
      </c>
      <c r="H59" s="16">
        <v>9542</v>
      </c>
      <c r="I59" s="16">
        <v>3128</v>
      </c>
      <c r="J59" s="16">
        <v>7128</v>
      </c>
      <c r="K59" s="16">
        <v>5135</v>
      </c>
      <c r="L59" s="16">
        <v>6751</v>
      </c>
      <c r="M59" s="16">
        <v>7164</v>
      </c>
      <c r="N59" s="16">
        <v>6352</v>
      </c>
      <c r="O59" s="16">
        <v>5117</v>
      </c>
    </row>
    <row r="61" spans="1:17" ht="27.6" x14ac:dyDescent="0.25">
      <c r="A61" s="25" t="s">
        <v>75</v>
      </c>
      <c r="B61" s="2" t="s">
        <v>3</v>
      </c>
      <c r="C61" s="2" t="s">
        <v>4</v>
      </c>
      <c r="D61" s="3" t="s">
        <v>5</v>
      </c>
      <c r="E61" s="3" t="s">
        <v>6</v>
      </c>
      <c r="F61" s="3" t="s">
        <v>7</v>
      </c>
      <c r="G61" s="3" t="s">
        <v>8</v>
      </c>
      <c r="H61" s="3" t="s">
        <v>9</v>
      </c>
      <c r="I61" s="3" t="s">
        <v>10</v>
      </c>
      <c r="J61" s="3" t="s">
        <v>11</v>
      </c>
      <c r="K61" s="4" t="s">
        <v>12</v>
      </c>
      <c r="L61" s="4" t="s">
        <v>13</v>
      </c>
      <c r="M61" s="4" t="s">
        <v>14</v>
      </c>
      <c r="N61" s="4" t="s">
        <v>15</v>
      </c>
      <c r="O61" s="4" t="s">
        <v>16</v>
      </c>
      <c r="P61" s="5" t="s">
        <v>17</v>
      </c>
    </row>
    <row r="62" spans="1:17" x14ac:dyDescent="0.25">
      <c r="A62" s="22">
        <v>2020</v>
      </c>
      <c r="B62" s="16">
        <f>12+11</f>
        <v>23</v>
      </c>
      <c r="C62" s="16">
        <v>18</v>
      </c>
      <c r="D62" s="16">
        <v>13</v>
      </c>
      <c r="E62" s="16">
        <v>28</v>
      </c>
      <c r="F62" s="16">
        <v>27</v>
      </c>
      <c r="G62" s="16">
        <v>22</v>
      </c>
      <c r="H62" s="16">
        <v>19</v>
      </c>
      <c r="I62" s="16">
        <v>9</v>
      </c>
      <c r="J62" s="16">
        <v>16</v>
      </c>
      <c r="K62" s="16">
        <v>26</v>
      </c>
      <c r="L62" s="16">
        <v>24</v>
      </c>
      <c r="M62" s="16">
        <v>30</v>
      </c>
      <c r="N62" s="16">
        <v>14</v>
      </c>
      <c r="O62" s="16">
        <v>20</v>
      </c>
      <c r="P62" s="16" t="s">
        <v>73</v>
      </c>
      <c r="Q62" s="16" t="s">
        <v>96</v>
      </c>
    </row>
    <row r="63" spans="1:17" x14ac:dyDescent="0.25">
      <c r="A63" s="22">
        <v>2015</v>
      </c>
      <c r="B63" s="16">
        <v>23</v>
      </c>
      <c r="C63" s="16">
        <v>17</v>
      </c>
      <c r="D63" s="16">
        <v>12</v>
      </c>
      <c r="E63" s="16">
        <v>27</v>
      </c>
      <c r="F63" s="16">
        <v>27</v>
      </c>
      <c r="G63" s="16">
        <v>22</v>
      </c>
      <c r="H63" s="16">
        <v>19</v>
      </c>
      <c r="I63" s="16">
        <v>9</v>
      </c>
      <c r="J63" s="16">
        <v>16</v>
      </c>
      <c r="K63" s="16">
        <v>23</v>
      </c>
      <c r="L63" s="16">
        <v>24</v>
      </c>
      <c r="M63" s="16">
        <v>30</v>
      </c>
      <c r="N63" s="16">
        <v>12</v>
      </c>
      <c r="O63" s="16">
        <v>19</v>
      </c>
    </row>
    <row r="64" spans="1:17" x14ac:dyDescent="0.25">
      <c r="A64" s="22">
        <v>2010</v>
      </c>
      <c r="B64" s="16">
        <v>23</v>
      </c>
      <c r="C64" s="16">
        <v>16</v>
      </c>
      <c r="D64" s="16">
        <v>11</v>
      </c>
      <c r="E64" s="16">
        <v>25</v>
      </c>
      <c r="F64" s="16">
        <v>24</v>
      </c>
      <c r="G64" s="16">
        <v>18</v>
      </c>
      <c r="H64" s="16">
        <v>19</v>
      </c>
      <c r="I64" s="16">
        <v>7</v>
      </c>
      <c r="J64" s="16">
        <v>16</v>
      </c>
      <c r="K64" s="16">
        <v>24</v>
      </c>
      <c r="L64" s="16">
        <v>28</v>
      </c>
      <c r="M64" s="16">
        <v>12</v>
      </c>
      <c r="N64" s="16">
        <v>23</v>
      </c>
      <c r="O64" s="16">
        <v>18</v>
      </c>
    </row>
    <row r="65" spans="1:17" x14ac:dyDescent="0.25">
      <c r="A65" s="25"/>
    </row>
    <row r="66" spans="1:17" ht="14.4" x14ac:dyDescent="0.25">
      <c r="A66" s="25" t="s">
        <v>76</v>
      </c>
      <c r="B66" s="2" t="s">
        <v>3</v>
      </c>
      <c r="C66" s="2" t="s">
        <v>4</v>
      </c>
      <c r="D66" s="3" t="s">
        <v>5</v>
      </c>
      <c r="E66" s="3" t="s">
        <v>6</v>
      </c>
      <c r="F66" s="3" t="s">
        <v>7</v>
      </c>
      <c r="G66" s="3" t="s">
        <v>8</v>
      </c>
      <c r="H66" s="3" t="s">
        <v>9</v>
      </c>
      <c r="I66" s="3" t="s">
        <v>10</v>
      </c>
      <c r="J66" s="3" t="s">
        <v>11</v>
      </c>
      <c r="K66" s="4" t="s">
        <v>12</v>
      </c>
      <c r="L66" s="4" t="s">
        <v>13</v>
      </c>
      <c r="M66" s="4" t="s">
        <v>14</v>
      </c>
      <c r="N66" s="4" t="s">
        <v>15</v>
      </c>
      <c r="O66" s="4" t="s">
        <v>16</v>
      </c>
      <c r="P66" s="5" t="s">
        <v>17</v>
      </c>
    </row>
    <row r="67" spans="1:17" x14ac:dyDescent="0.25">
      <c r="A67" s="22">
        <v>2020</v>
      </c>
      <c r="B67" s="16">
        <v>32785</v>
      </c>
      <c r="C67" s="16">
        <v>11042</v>
      </c>
      <c r="D67" s="16">
        <v>8368</v>
      </c>
      <c r="E67" s="16">
        <v>18489</v>
      </c>
      <c r="F67" s="16">
        <v>16070</v>
      </c>
      <c r="G67" s="16">
        <v>13704</v>
      </c>
      <c r="H67" s="16">
        <v>17822</v>
      </c>
      <c r="I67" s="16">
        <v>4009</v>
      </c>
      <c r="J67" s="16">
        <v>11100</v>
      </c>
      <c r="K67" s="16">
        <v>12762</v>
      </c>
      <c r="L67" s="16">
        <v>14436</v>
      </c>
      <c r="M67" s="16">
        <v>12968</v>
      </c>
      <c r="N67" s="16">
        <v>10351</v>
      </c>
      <c r="O67" s="16">
        <v>6535</v>
      </c>
      <c r="P67" s="16" t="s">
        <v>73</v>
      </c>
      <c r="Q67" s="16" t="s">
        <v>95</v>
      </c>
    </row>
    <row r="68" spans="1:17" x14ac:dyDescent="0.25">
      <c r="A68" s="22">
        <v>2015</v>
      </c>
      <c r="B68" s="16">
        <v>25209</v>
      </c>
      <c r="C68" s="16">
        <v>8199</v>
      </c>
      <c r="D68" s="16">
        <v>6218</v>
      </c>
      <c r="E68" s="16">
        <v>15894</v>
      </c>
      <c r="F68" s="16">
        <v>10896</v>
      </c>
      <c r="G68" s="16">
        <v>12352</v>
      </c>
      <c r="H68" s="16">
        <v>11890</v>
      </c>
      <c r="I68" s="16">
        <v>2962</v>
      </c>
      <c r="J68" s="16">
        <v>9111</v>
      </c>
      <c r="K68" s="16">
        <v>9218</v>
      </c>
      <c r="L68" s="16">
        <v>9820</v>
      </c>
      <c r="M68" s="16">
        <v>9104</v>
      </c>
      <c r="N68" s="16">
        <v>7355</v>
      </c>
      <c r="O68" s="16">
        <v>4817</v>
      </c>
    </row>
    <row r="69" spans="1:17" x14ac:dyDescent="0.25">
      <c r="A69" s="22">
        <v>2010</v>
      </c>
      <c r="B69" s="16">
        <v>18254</v>
      </c>
      <c r="C69" s="16">
        <v>7751</v>
      </c>
      <c r="D69" s="16">
        <v>5527</v>
      </c>
      <c r="E69" s="16">
        <v>10335</v>
      </c>
      <c r="F69" s="16">
        <v>7651</v>
      </c>
      <c r="G69" s="16">
        <v>6921</v>
      </c>
      <c r="H69" s="16">
        <v>8800</v>
      </c>
      <c r="I69" s="16">
        <v>2234</v>
      </c>
      <c r="J69" s="16">
        <v>5866</v>
      </c>
      <c r="K69" s="16">
        <v>7905</v>
      </c>
      <c r="L69" s="16">
        <v>6368</v>
      </c>
      <c r="M69" s="16">
        <v>6854</v>
      </c>
      <c r="N69" s="16">
        <v>5836</v>
      </c>
      <c r="O69" s="16">
        <v>3930</v>
      </c>
    </row>
    <row r="71" spans="1:17" ht="14.4" x14ac:dyDescent="0.25">
      <c r="A71" s="25" t="s">
        <v>77</v>
      </c>
      <c r="B71" s="2" t="s">
        <v>3</v>
      </c>
      <c r="C71" s="2" t="s">
        <v>4</v>
      </c>
      <c r="D71" s="3" t="s">
        <v>5</v>
      </c>
      <c r="E71" s="3" t="s">
        <v>6</v>
      </c>
      <c r="F71" s="3" t="s">
        <v>7</v>
      </c>
      <c r="G71" s="3" t="s">
        <v>8</v>
      </c>
      <c r="H71" s="3" t="s">
        <v>9</v>
      </c>
      <c r="I71" s="3" t="s">
        <v>10</v>
      </c>
      <c r="J71" s="3" t="s">
        <v>11</v>
      </c>
      <c r="K71" s="4" t="s">
        <v>12</v>
      </c>
      <c r="L71" s="4" t="s">
        <v>13</v>
      </c>
      <c r="M71" s="4" t="s">
        <v>14</v>
      </c>
      <c r="N71" s="4" t="s">
        <v>15</v>
      </c>
      <c r="O71" s="4" t="s">
        <v>16</v>
      </c>
      <c r="P71" s="5" t="s">
        <v>17</v>
      </c>
    </row>
    <row r="72" spans="1:17" x14ac:dyDescent="0.25">
      <c r="A72" s="22">
        <v>2020</v>
      </c>
      <c r="B72" s="16">
        <v>83180</v>
      </c>
      <c r="C72" s="16">
        <v>29780</v>
      </c>
      <c r="D72" s="16">
        <v>21228</v>
      </c>
      <c r="E72" s="16">
        <v>50118</v>
      </c>
      <c r="F72" s="16">
        <v>46062</v>
      </c>
      <c r="G72" s="16">
        <v>38481</v>
      </c>
      <c r="H72" s="16">
        <v>42776</v>
      </c>
      <c r="I72" s="16">
        <v>10401</v>
      </c>
      <c r="J72" s="16">
        <v>30117</v>
      </c>
      <c r="K72" s="16">
        <v>35762</v>
      </c>
      <c r="L72" s="16">
        <v>42042</v>
      </c>
      <c r="M72" s="16">
        <v>38704</v>
      </c>
      <c r="N72" s="16">
        <v>29216</v>
      </c>
      <c r="O72" s="16">
        <v>21964</v>
      </c>
      <c r="P72" s="16" t="s">
        <v>78</v>
      </c>
      <c r="Q72" s="16" t="s">
        <v>95</v>
      </c>
    </row>
    <row r="73" spans="1:17" x14ac:dyDescent="0.25">
      <c r="A73" s="22">
        <v>2015</v>
      </c>
      <c r="B73" s="16">
        <v>65536</v>
      </c>
      <c r="C73" s="16">
        <v>22060</v>
      </c>
      <c r="D73" s="16">
        <v>16605</v>
      </c>
      <c r="E73" s="16">
        <v>40659</v>
      </c>
      <c r="F73" s="16">
        <v>32998</v>
      </c>
      <c r="G73" s="16">
        <v>30027</v>
      </c>
      <c r="H73" s="16">
        <v>32220</v>
      </c>
      <c r="I73" s="16">
        <v>7964</v>
      </c>
      <c r="J73" s="16">
        <v>22450</v>
      </c>
      <c r="K73" s="16">
        <v>28811</v>
      </c>
      <c r="L73" s="16">
        <v>32572</v>
      </c>
      <c r="M73" s="16">
        <v>28186</v>
      </c>
      <c r="N73" s="16">
        <v>20515</v>
      </c>
      <c r="O73" s="16">
        <v>15847</v>
      </c>
    </row>
    <row r="74" spans="1:17" x14ac:dyDescent="0.25">
      <c r="A74" s="22">
        <v>2010</v>
      </c>
      <c r="B74" s="16">
        <v>42629</v>
      </c>
      <c r="C74" s="16">
        <v>16588</v>
      </c>
      <c r="D74" s="16">
        <v>11149</v>
      </c>
      <c r="E74" s="16">
        <v>21895</v>
      </c>
      <c r="F74" s="16">
        <v>18007</v>
      </c>
      <c r="G74" s="16">
        <v>14718</v>
      </c>
      <c r="H74" s="16">
        <v>18940</v>
      </c>
      <c r="I74" s="16">
        <v>5599</v>
      </c>
      <c r="J74" s="16">
        <v>11694</v>
      </c>
      <c r="K74" s="16">
        <v>17852</v>
      </c>
      <c r="L74" s="16">
        <v>15724</v>
      </c>
      <c r="M74" s="16">
        <v>17711</v>
      </c>
      <c r="N74" s="16">
        <v>10627</v>
      </c>
      <c r="O74" s="16">
        <v>10142</v>
      </c>
    </row>
    <row r="76" spans="1:17" ht="28.8" x14ac:dyDescent="0.25">
      <c r="A76" s="17" t="s">
        <v>34</v>
      </c>
      <c r="B76" s="2" t="s">
        <v>3</v>
      </c>
      <c r="C76" s="2" t="s">
        <v>4</v>
      </c>
      <c r="D76" s="3" t="s">
        <v>5</v>
      </c>
      <c r="E76" s="3" t="s">
        <v>6</v>
      </c>
      <c r="F76" s="3" t="s">
        <v>7</v>
      </c>
      <c r="G76" s="3" t="s">
        <v>8</v>
      </c>
      <c r="H76" s="3" t="s">
        <v>9</v>
      </c>
      <c r="I76" s="3" t="s">
        <v>10</v>
      </c>
      <c r="J76" s="3" t="s">
        <v>11</v>
      </c>
      <c r="K76" s="4" t="s">
        <v>12</v>
      </c>
      <c r="L76" s="4" t="s">
        <v>13</v>
      </c>
      <c r="M76" s="4" t="s">
        <v>14</v>
      </c>
      <c r="N76" s="4" t="s">
        <v>15</v>
      </c>
      <c r="O76" s="4" t="s">
        <v>16</v>
      </c>
      <c r="P76" s="5" t="s">
        <v>17</v>
      </c>
    </row>
    <row r="77" spans="1:17" x14ac:dyDescent="0.25">
      <c r="A77" s="22">
        <v>2020</v>
      </c>
      <c r="B77" s="16">
        <v>57971.199999999997</v>
      </c>
      <c r="C77" s="16">
        <v>48788.2</v>
      </c>
      <c r="D77" s="16">
        <v>41804</v>
      </c>
      <c r="E77" s="16">
        <v>38478.5</v>
      </c>
      <c r="F77" s="16">
        <v>30844.9</v>
      </c>
      <c r="G77" s="16">
        <v>36749.199999999997</v>
      </c>
      <c r="H77" s="16">
        <v>35469</v>
      </c>
      <c r="I77" s="16">
        <v>27884.2</v>
      </c>
      <c r="J77" s="16">
        <v>33274.400000000001</v>
      </c>
      <c r="K77" s="16">
        <v>36988.5</v>
      </c>
      <c r="L77" s="16">
        <v>32830</v>
      </c>
      <c r="M77" s="16">
        <v>30329.4</v>
      </c>
      <c r="N77" s="16">
        <v>32161.4</v>
      </c>
      <c r="O77" s="16">
        <v>27852.6</v>
      </c>
      <c r="P77" s="16" t="s">
        <v>79</v>
      </c>
      <c r="Q77" s="16" t="s">
        <v>94</v>
      </c>
    </row>
    <row r="78" spans="1:17" x14ac:dyDescent="0.25">
      <c r="A78" s="22">
        <v>2015</v>
      </c>
      <c r="B78" s="16">
        <v>39961</v>
      </c>
      <c r="C78" s="16">
        <v>33977</v>
      </c>
      <c r="D78" s="16">
        <v>29237</v>
      </c>
      <c r="E78" s="16">
        <v>26515</v>
      </c>
      <c r="F78" s="16">
        <v>21070</v>
      </c>
      <c r="G78" s="16">
        <v>25202</v>
      </c>
      <c r="H78" s="16">
        <v>24513</v>
      </c>
      <c r="I78" s="16">
        <v>19473</v>
      </c>
      <c r="J78" s="16">
        <v>22571</v>
      </c>
      <c r="K78" s="16">
        <v>25534</v>
      </c>
      <c r="L78" s="16">
        <v>21938</v>
      </c>
      <c r="M78" s="16">
        <v>20693</v>
      </c>
      <c r="N78" s="16">
        <v>21838</v>
      </c>
      <c r="O78" s="16">
        <v>19267</v>
      </c>
    </row>
    <row r="79" spans="1:17" x14ac:dyDescent="0.25">
      <c r="A79" s="22">
        <v>2010</v>
      </c>
      <c r="B79" s="16">
        <v>22814</v>
      </c>
      <c r="C79" s="16">
        <v>19643</v>
      </c>
      <c r="D79" s="16">
        <v>18059</v>
      </c>
      <c r="E79" s="16">
        <v>15635</v>
      </c>
      <c r="F79" s="16">
        <v>11698</v>
      </c>
      <c r="G79" s="16">
        <v>17312</v>
      </c>
      <c r="H79" s="16">
        <v>15502</v>
      </c>
      <c r="I79" s="16">
        <v>12705</v>
      </c>
      <c r="J79" s="16">
        <v>15398</v>
      </c>
      <c r="K79" s="16">
        <v>15342</v>
      </c>
      <c r="L79" s="16">
        <v>15041</v>
      </c>
      <c r="M79" s="16">
        <v>12523</v>
      </c>
      <c r="N79" s="16">
        <v>15025</v>
      </c>
      <c r="O79" s="16">
        <v>12115</v>
      </c>
    </row>
    <row r="81" spans="1:17" ht="28.8" x14ac:dyDescent="0.25">
      <c r="A81" s="17" t="s">
        <v>80</v>
      </c>
      <c r="B81" s="2" t="s">
        <v>3</v>
      </c>
      <c r="C81" s="2" t="s">
        <v>4</v>
      </c>
      <c r="D81" s="3" t="s">
        <v>5</v>
      </c>
      <c r="E81" s="3" t="s">
        <v>6</v>
      </c>
      <c r="F81" s="3" t="s">
        <v>7</v>
      </c>
      <c r="G81" s="3" t="s">
        <v>8</v>
      </c>
      <c r="H81" s="3" t="s">
        <v>9</v>
      </c>
      <c r="I81" s="3" t="s">
        <v>10</v>
      </c>
      <c r="J81" s="3" t="s">
        <v>11</v>
      </c>
      <c r="K81" s="4" t="s">
        <v>12</v>
      </c>
      <c r="L81" s="4" t="s">
        <v>13</v>
      </c>
      <c r="M81" s="4" t="s">
        <v>14</v>
      </c>
      <c r="N81" s="4" t="s">
        <v>15</v>
      </c>
      <c r="O81" s="4" t="s">
        <v>16</v>
      </c>
      <c r="P81" s="5" t="s">
        <v>17</v>
      </c>
      <c r="Q81" s="16" t="s">
        <v>93</v>
      </c>
    </row>
    <row r="82" spans="1:17" x14ac:dyDescent="0.25">
      <c r="A82" s="22">
        <v>2020</v>
      </c>
      <c r="B82" s="16">
        <v>-2.77</v>
      </c>
      <c r="C82" s="16">
        <v>-2.4</v>
      </c>
      <c r="D82" s="16">
        <v>-1.52</v>
      </c>
      <c r="E82" s="16">
        <v>-3.63</v>
      </c>
      <c r="F82" s="16">
        <v>-4.68</v>
      </c>
      <c r="G82" s="16">
        <v>-3.34</v>
      </c>
      <c r="H82" s="16">
        <v>-1.04</v>
      </c>
      <c r="I82" s="16">
        <v>-3.07</v>
      </c>
      <c r="J82" s="16">
        <v>-1.06</v>
      </c>
      <c r="K82" s="16">
        <v>-0.46</v>
      </c>
      <c r="L82" s="16">
        <v>-1.9</v>
      </c>
      <c r="M82" s="16">
        <v>-1.8</v>
      </c>
      <c r="N82" s="16">
        <v>-2.52</v>
      </c>
      <c r="O82" s="16">
        <v>-0.22</v>
      </c>
      <c r="P82" s="16" t="s">
        <v>81</v>
      </c>
    </row>
    <row r="83" spans="1:17" x14ac:dyDescent="0.25">
      <c r="A83" s="22">
        <v>2015</v>
      </c>
      <c r="B83" s="16">
        <v>-6</v>
      </c>
      <c r="C83" s="16">
        <v>-8</v>
      </c>
      <c r="D83" s="16">
        <v>-7</v>
      </c>
      <c r="E83" s="16">
        <v>-9</v>
      </c>
      <c r="F83" s="16">
        <v>-7</v>
      </c>
      <c r="G83" s="16">
        <v>-7</v>
      </c>
      <c r="H83" s="16">
        <v>-8</v>
      </c>
      <c r="I83" s="16">
        <v>1</v>
      </c>
      <c r="J83" s="16">
        <v>-6</v>
      </c>
      <c r="K83" s="16">
        <v>-7</v>
      </c>
      <c r="L83" s="16">
        <v>-7</v>
      </c>
      <c r="M83" s="16">
        <v>-5</v>
      </c>
      <c r="N83" s="16">
        <v>-7</v>
      </c>
      <c r="O83" s="16">
        <v>-7</v>
      </c>
    </row>
    <row r="84" spans="1:17" x14ac:dyDescent="0.25">
      <c r="A84" s="22">
        <v>2010</v>
      </c>
      <c r="B84" s="16">
        <v>-2.29</v>
      </c>
      <c r="C84" s="16">
        <v>-3.27</v>
      </c>
      <c r="D84" s="16">
        <v>-2.88</v>
      </c>
      <c r="E84" s="16">
        <v>-5.09</v>
      </c>
      <c r="F84" s="16">
        <v>-5.3</v>
      </c>
      <c r="G84" s="16">
        <v>-2.84</v>
      </c>
      <c r="H84" s="16">
        <v>-2.72</v>
      </c>
      <c r="I84" s="16">
        <v>-4.5999999999999996</v>
      </c>
      <c r="J84" s="16">
        <v>-4.0199999999999996</v>
      </c>
      <c r="K84" s="16">
        <v>-4.42</v>
      </c>
      <c r="L84" s="16">
        <v>-4.38</v>
      </c>
      <c r="M84" s="16">
        <v>-3.15</v>
      </c>
      <c r="N84" s="16">
        <v>-4.47</v>
      </c>
      <c r="O84" s="16">
        <v>-2.1800000000000002</v>
      </c>
    </row>
    <row r="85" spans="1:17" x14ac:dyDescent="0.25">
      <c r="B85" s="45">
        <v>0.82599999999999996</v>
      </c>
      <c r="C85" s="45">
        <v>1.272</v>
      </c>
      <c r="D85" s="45">
        <v>1.669</v>
      </c>
      <c r="E85" s="45">
        <v>1.103</v>
      </c>
      <c r="F85" s="45">
        <v>1.169</v>
      </c>
      <c r="G85" s="45">
        <v>1.2549999999999999</v>
      </c>
      <c r="H85" s="45">
        <v>0.91200000000000003</v>
      </c>
      <c r="I85" s="45">
        <v>0.85899999999999999</v>
      </c>
      <c r="J85" s="45">
        <v>1.054</v>
      </c>
      <c r="K85" s="45">
        <v>1.393</v>
      </c>
      <c r="L85" s="45">
        <v>1.177</v>
      </c>
      <c r="M85" s="45">
        <v>1.145</v>
      </c>
      <c r="N85" s="45">
        <v>2.306</v>
      </c>
      <c r="O85" s="45">
        <v>1.206</v>
      </c>
    </row>
    <row r="87" spans="1:17" ht="41.4" x14ac:dyDescent="0.25">
      <c r="A87" s="29" t="s">
        <v>83</v>
      </c>
      <c r="B87" s="2" t="s">
        <v>3</v>
      </c>
      <c r="C87" s="2" t="s">
        <v>4</v>
      </c>
      <c r="D87" s="3" t="s">
        <v>5</v>
      </c>
      <c r="E87" s="3" t="s">
        <v>6</v>
      </c>
      <c r="F87" s="3" t="s">
        <v>7</v>
      </c>
      <c r="G87" s="3" t="s">
        <v>8</v>
      </c>
      <c r="H87" s="3" t="s">
        <v>9</v>
      </c>
      <c r="I87" s="3" t="s">
        <v>10</v>
      </c>
      <c r="J87" s="3" t="s">
        <v>11</v>
      </c>
      <c r="K87" s="4" t="s">
        <v>12</v>
      </c>
      <c r="L87" s="4" t="s">
        <v>13</v>
      </c>
      <c r="M87" s="4" t="s">
        <v>14</v>
      </c>
      <c r="N87" s="4" t="s">
        <v>15</v>
      </c>
      <c r="O87" s="4" t="s">
        <v>16</v>
      </c>
      <c r="P87" s="5" t="s">
        <v>17</v>
      </c>
    </row>
    <row r="88" spans="1:17" x14ac:dyDescent="0.25">
      <c r="A88" s="27">
        <v>2020</v>
      </c>
      <c r="B88" s="19">
        <v>118751</v>
      </c>
      <c r="C88" s="16">
        <v>53549</v>
      </c>
      <c r="D88" s="16">
        <v>32605</v>
      </c>
      <c r="E88" s="16">
        <v>76605</v>
      </c>
      <c r="F88" s="16">
        <v>67902</v>
      </c>
      <c r="G88" s="16">
        <v>66319</v>
      </c>
      <c r="H88" s="16">
        <v>66515</v>
      </c>
      <c r="I88" s="16">
        <v>32075</v>
      </c>
      <c r="J88" s="16">
        <v>44010</v>
      </c>
      <c r="K88" s="16">
        <v>55192</v>
      </c>
      <c r="L88" s="16">
        <v>67389</v>
      </c>
      <c r="M88" s="16">
        <v>66452</v>
      </c>
      <c r="N88" s="16">
        <v>43711</v>
      </c>
      <c r="O88" s="16">
        <v>34827</v>
      </c>
    </row>
    <row r="89" spans="1:17" x14ac:dyDescent="0.25">
      <c r="A89" s="28">
        <v>2015</v>
      </c>
      <c r="B89" s="19">
        <v>80241</v>
      </c>
      <c r="C89" s="16">
        <v>48480</v>
      </c>
      <c r="D89" s="16">
        <v>26509</v>
      </c>
      <c r="E89" s="16">
        <v>76433</v>
      </c>
      <c r="F89" s="16">
        <v>64653</v>
      </c>
      <c r="G89" s="16">
        <v>67408</v>
      </c>
      <c r="H89" s="16">
        <v>56608</v>
      </c>
      <c r="I89" s="16">
        <v>21617</v>
      </c>
      <c r="J89" s="16">
        <v>39607</v>
      </c>
      <c r="K89" s="16">
        <v>53317</v>
      </c>
      <c r="L89" s="16">
        <v>67321</v>
      </c>
      <c r="M89" s="16">
        <v>61332</v>
      </c>
      <c r="N89" s="16">
        <v>43807</v>
      </c>
      <c r="O89" s="16">
        <v>37584</v>
      </c>
      <c r="Q89" s="16" t="s">
        <v>91</v>
      </c>
    </row>
    <row r="90" spans="1:17" ht="15.6" x14ac:dyDescent="0.25">
      <c r="A90" s="28">
        <v>2010</v>
      </c>
      <c r="B90" s="18">
        <v>79549</v>
      </c>
      <c r="C90" s="16">
        <v>37312</v>
      </c>
      <c r="D90" s="16">
        <v>28855</v>
      </c>
      <c r="E90" s="16">
        <v>76282</v>
      </c>
      <c r="F90" s="16">
        <v>61607</v>
      </c>
      <c r="G90" s="16">
        <v>67100</v>
      </c>
      <c r="H90" s="16">
        <v>53581</v>
      </c>
      <c r="I90" s="16">
        <v>18794</v>
      </c>
      <c r="J90" s="16">
        <v>51640</v>
      </c>
      <c r="K90" s="16">
        <v>57565</v>
      </c>
      <c r="L90" s="16">
        <v>61282</v>
      </c>
      <c r="M90" s="16">
        <v>61577</v>
      </c>
      <c r="N90" s="16">
        <v>46907</v>
      </c>
      <c r="O90" s="16">
        <v>37496</v>
      </c>
    </row>
    <row r="91" spans="1:17" x14ac:dyDescent="0.25">
      <c r="A91" s="30"/>
      <c r="B91" s="21"/>
    </row>
    <row r="92" spans="1:17" ht="27.6" x14ac:dyDescent="0.25">
      <c r="A92" s="25" t="s">
        <v>110</v>
      </c>
      <c r="B92" s="31" t="s">
        <v>3</v>
      </c>
      <c r="C92" s="31" t="s">
        <v>4</v>
      </c>
      <c r="D92" s="32" t="s">
        <v>5</v>
      </c>
      <c r="E92" s="32" t="s">
        <v>6</v>
      </c>
      <c r="F92" s="32" t="s">
        <v>7</v>
      </c>
      <c r="G92" s="32" t="s">
        <v>8</v>
      </c>
      <c r="H92" s="32" t="s">
        <v>9</v>
      </c>
      <c r="I92" s="32" t="s">
        <v>10</v>
      </c>
      <c r="J92" s="32" t="s">
        <v>11</v>
      </c>
      <c r="K92" s="33" t="s">
        <v>12</v>
      </c>
      <c r="L92" s="33" t="s">
        <v>13</v>
      </c>
      <c r="M92" s="33" t="s">
        <v>14</v>
      </c>
      <c r="N92" s="33" t="s">
        <v>15</v>
      </c>
      <c r="O92" s="33" t="s">
        <v>16</v>
      </c>
      <c r="P92" s="34" t="s">
        <v>17</v>
      </c>
    </row>
    <row r="93" spans="1:17" x14ac:dyDescent="0.25">
      <c r="A93" s="24">
        <v>2020</v>
      </c>
      <c r="B93" s="16">
        <v>6979.79</v>
      </c>
      <c r="C93" s="16">
        <v>1412.63</v>
      </c>
      <c r="D93" s="16">
        <v>999.21</v>
      </c>
      <c r="E93" s="16">
        <v>1907.5</v>
      </c>
      <c r="F93" s="16">
        <v>1152.4100000000001</v>
      </c>
      <c r="G93" s="16">
        <v>1919.39</v>
      </c>
      <c r="H93" s="16">
        <v>1740.84</v>
      </c>
      <c r="I93" s="16">
        <v>387.29</v>
      </c>
      <c r="J93" s="16">
        <v>740.26</v>
      </c>
      <c r="K93" s="16">
        <v>1252.06</v>
      </c>
      <c r="L93" s="16">
        <v>1039.42</v>
      </c>
      <c r="M93" s="16">
        <v>933.52</v>
      </c>
      <c r="N93" s="16">
        <v>830.07</v>
      </c>
      <c r="O93" s="16">
        <v>409.18</v>
      </c>
      <c r="P93" s="16" t="s">
        <v>58</v>
      </c>
    </row>
    <row r="94" spans="1:17" x14ac:dyDescent="0.25">
      <c r="A94" s="24">
        <v>2015</v>
      </c>
      <c r="B94" s="16">
        <v>3834.77</v>
      </c>
      <c r="C94" s="16">
        <v>818.46</v>
      </c>
      <c r="D94" s="16">
        <v>628.67999999999995</v>
      </c>
      <c r="E94" s="16">
        <v>1044.71</v>
      </c>
      <c r="F94" s="16">
        <v>579.57000000000005</v>
      </c>
      <c r="G94" s="16">
        <v>1122.1199999999999</v>
      </c>
      <c r="H94" s="16">
        <v>1116.3399999999999</v>
      </c>
      <c r="I94" s="16">
        <v>293.98</v>
      </c>
      <c r="J94" s="16">
        <v>532.69000000000005</v>
      </c>
      <c r="K94" s="16">
        <v>715.85</v>
      </c>
      <c r="L94" s="16">
        <v>591.58000000000004</v>
      </c>
      <c r="M94" s="16">
        <v>556.20000000000005</v>
      </c>
      <c r="N94" s="16">
        <v>452.34</v>
      </c>
      <c r="O94" s="16">
        <v>262.87</v>
      </c>
    </row>
    <row r="95" spans="1:17" x14ac:dyDescent="0.25">
      <c r="A95" s="24">
        <v>2010</v>
      </c>
      <c r="B95" s="16">
        <v>1908.02</v>
      </c>
      <c r="C95" s="16">
        <v>414.77</v>
      </c>
      <c r="D95" s="16">
        <v>298.58999999999997</v>
      </c>
      <c r="E95" s="16">
        <v>510.19</v>
      </c>
      <c r="F95" s="16">
        <v>275.56</v>
      </c>
      <c r="G95" s="16">
        <v>489.6</v>
      </c>
      <c r="H95" s="16">
        <v>526.22</v>
      </c>
      <c r="I95" s="16">
        <v>151.18</v>
      </c>
      <c r="J95" s="16">
        <v>261.51</v>
      </c>
      <c r="K95" s="16">
        <v>360.59</v>
      </c>
      <c r="L95" s="16">
        <v>297.82</v>
      </c>
      <c r="M95" s="16">
        <v>288.58999999999997</v>
      </c>
      <c r="N95" s="16">
        <v>214.05</v>
      </c>
      <c r="O95" s="16">
        <v>132.9</v>
      </c>
    </row>
    <row r="97" spans="1:17" ht="14.4" x14ac:dyDescent="0.25">
      <c r="A97" s="25" t="s">
        <v>114</v>
      </c>
      <c r="B97" s="31" t="s">
        <v>3</v>
      </c>
      <c r="C97" s="31" t="s">
        <v>4</v>
      </c>
      <c r="D97" s="32" t="s">
        <v>5</v>
      </c>
      <c r="E97" s="32" t="s">
        <v>6</v>
      </c>
      <c r="F97" s="32" t="s">
        <v>7</v>
      </c>
      <c r="G97" s="32" t="s">
        <v>8</v>
      </c>
      <c r="H97" s="32" t="s">
        <v>9</v>
      </c>
      <c r="I97" s="32" t="s">
        <v>10</v>
      </c>
      <c r="J97" s="32" t="s">
        <v>11</v>
      </c>
      <c r="K97" s="33" t="s">
        <v>12</v>
      </c>
      <c r="L97" s="33" t="s">
        <v>13</v>
      </c>
      <c r="M97" s="33" t="s">
        <v>14</v>
      </c>
      <c r="N97" s="33" t="s">
        <v>15</v>
      </c>
      <c r="O97" s="33" t="s">
        <v>16</v>
      </c>
      <c r="P97" s="34" t="s">
        <v>17</v>
      </c>
    </row>
    <row r="98" spans="1:17" x14ac:dyDescent="0.25">
      <c r="A98" s="24">
        <v>2020</v>
      </c>
      <c r="B98" s="16">
        <v>25.946666666666701</v>
      </c>
      <c r="C98" s="16">
        <v>4.32</v>
      </c>
      <c r="D98" s="16">
        <v>2.9366666666666661</v>
      </c>
      <c r="E98" s="16">
        <v>7.9366666666666701</v>
      </c>
      <c r="F98" s="16">
        <v>6.163333333333334</v>
      </c>
      <c r="G98" s="16">
        <v>6.8466666666666667</v>
      </c>
      <c r="H98" s="16">
        <v>6.2600000000000007</v>
      </c>
      <c r="I98" s="16">
        <v>5.85</v>
      </c>
      <c r="J98" s="16">
        <v>4.01</v>
      </c>
      <c r="K98" s="16">
        <v>5.3599999999999994</v>
      </c>
      <c r="L98" s="16">
        <v>9.16</v>
      </c>
      <c r="M98" s="16">
        <v>4.01</v>
      </c>
      <c r="N98" s="16">
        <v>4.88</v>
      </c>
      <c r="O98" s="16">
        <v>1.3566666666666667</v>
      </c>
    </row>
    <row r="99" spans="1:17" x14ac:dyDescent="0.25">
      <c r="A99" s="24">
        <v>2015</v>
      </c>
      <c r="B99" s="16">
        <v>20.45</v>
      </c>
      <c r="C99" s="16">
        <v>4.7699999999999996</v>
      </c>
      <c r="D99" s="16">
        <v>2.44</v>
      </c>
      <c r="E99" s="16">
        <v>7.0633333333333335</v>
      </c>
      <c r="F99" s="16">
        <v>6.2850000000000001</v>
      </c>
      <c r="G99" s="16">
        <v>5.0200000000000005</v>
      </c>
      <c r="H99" s="16">
        <v>3.3400000000000003</v>
      </c>
      <c r="I99" s="16">
        <v>2.21</v>
      </c>
      <c r="J99" s="16">
        <v>3.6050000000000004</v>
      </c>
      <c r="K99" s="16">
        <v>5.33</v>
      </c>
      <c r="L99" s="16">
        <v>8.31</v>
      </c>
      <c r="M99" s="16">
        <v>4.0199999999999996</v>
      </c>
      <c r="N99" s="16">
        <v>4.22</v>
      </c>
      <c r="O99" s="16">
        <v>1.7466666666666668</v>
      </c>
    </row>
    <row r="100" spans="1:17" x14ac:dyDescent="0.25">
      <c r="A100" s="24">
        <v>2010</v>
      </c>
      <c r="B100" s="16">
        <v>13.85</v>
      </c>
      <c r="C100" s="16">
        <v>3.79</v>
      </c>
      <c r="D100" s="16">
        <v>2.15</v>
      </c>
      <c r="E100" s="16">
        <v>2.9166666666666701</v>
      </c>
      <c r="F100" s="16">
        <v>5.3</v>
      </c>
      <c r="G100" s="16">
        <v>4.5866666666666669</v>
      </c>
      <c r="H100" s="16">
        <v>2.6799999999999997</v>
      </c>
      <c r="I100" s="16">
        <v>0.75</v>
      </c>
      <c r="J100" s="16">
        <v>1.07</v>
      </c>
      <c r="K100" s="16">
        <v>10</v>
      </c>
      <c r="L100" s="16">
        <v>6.76</v>
      </c>
      <c r="M100" s="16">
        <v>3.915</v>
      </c>
      <c r="N100" s="16">
        <v>3.38</v>
      </c>
      <c r="O100" s="16">
        <v>1.53</v>
      </c>
    </row>
    <row r="101" spans="1:17" x14ac:dyDescent="0.25">
      <c r="A101" s="24"/>
    </row>
    <row r="102" spans="1:17" ht="14.4" x14ac:dyDescent="0.25">
      <c r="A102" s="20" t="s">
        <v>35</v>
      </c>
      <c r="B102" s="31" t="s">
        <v>3</v>
      </c>
      <c r="C102" s="31" t="s">
        <v>4</v>
      </c>
      <c r="D102" s="32" t="s">
        <v>5</v>
      </c>
      <c r="E102" s="32" t="s">
        <v>6</v>
      </c>
      <c r="F102" s="32" t="s">
        <v>7</v>
      </c>
      <c r="G102" s="32" t="s">
        <v>8</v>
      </c>
      <c r="H102" s="32" t="s">
        <v>9</v>
      </c>
      <c r="I102" s="32" t="s">
        <v>10</v>
      </c>
      <c r="J102" s="32" t="s">
        <v>11</v>
      </c>
      <c r="K102" s="33" t="s">
        <v>12</v>
      </c>
      <c r="L102" s="33" t="s">
        <v>13</v>
      </c>
      <c r="M102" s="33" t="s">
        <v>14</v>
      </c>
      <c r="N102" s="33" t="s">
        <v>15</v>
      </c>
      <c r="O102" s="33" t="s">
        <v>16</v>
      </c>
      <c r="P102" s="34" t="s">
        <v>17</v>
      </c>
    </row>
    <row r="103" spans="1:17" x14ac:dyDescent="0.25">
      <c r="A103" s="22">
        <v>2020</v>
      </c>
      <c r="B103" s="16">
        <v>3.27</v>
      </c>
      <c r="C103" s="16">
        <v>2.5</v>
      </c>
      <c r="D103" s="16">
        <v>3.1</v>
      </c>
      <c r="E103" s="16">
        <v>3.49</v>
      </c>
      <c r="F103" s="16">
        <v>3.2</v>
      </c>
      <c r="G103" s="16">
        <v>1.89</v>
      </c>
      <c r="H103" s="16">
        <v>3.11</v>
      </c>
      <c r="I103" s="16">
        <v>3.6</v>
      </c>
      <c r="J103" s="16">
        <v>2.2000000000000002</v>
      </c>
      <c r="K103" s="16">
        <v>2.61</v>
      </c>
      <c r="L103" s="16">
        <v>2.0499999999999998</v>
      </c>
      <c r="M103" s="16">
        <v>2.4</v>
      </c>
      <c r="N103" s="16">
        <v>2.2999999999999998</v>
      </c>
      <c r="O103" s="16">
        <v>2.84</v>
      </c>
      <c r="Q103" s="16" t="s">
        <v>109</v>
      </c>
    </row>
    <row r="104" spans="1:17" x14ac:dyDescent="0.25">
      <c r="A104" s="22">
        <v>2015</v>
      </c>
      <c r="B104" s="16">
        <v>2.6</v>
      </c>
      <c r="C104" s="16">
        <v>2.72</v>
      </c>
      <c r="D104" s="16">
        <v>4.2</v>
      </c>
      <c r="E104" s="16">
        <v>3.58</v>
      </c>
      <c r="F104" s="16">
        <v>3.7</v>
      </c>
      <c r="G104" s="16">
        <v>2.8</v>
      </c>
      <c r="H104" s="16">
        <v>2.58</v>
      </c>
      <c r="I104" s="16">
        <v>3.29</v>
      </c>
      <c r="J104" s="16">
        <v>3.3</v>
      </c>
      <c r="K104" s="16">
        <v>3.59</v>
      </c>
      <c r="L104" s="16">
        <v>3.75</v>
      </c>
      <c r="M104" s="16">
        <v>4.25</v>
      </c>
      <c r="N104" s="16">
        <v>4.2</v>
      </c>
      <c r="O104" s="16">
        <v>4.32</v>
      </c>
    </row>
    <row r="105" spans="1:17" x14ac:dyDescent="0.25">
      <c r="A105" s="22">
        <v>2010</v>
      </c>
      <c r="B105" s="16">
        <v>3</v>
      </c>
      <c r="C105" s="16">
        <v>3.59</v>
      </c>
      <c r="D105" s="16">
        <v>4.0999999999999996</v>
      </c>
      <c r="E105" s="16">
        <v>4.2</v>
      </c>
      <c r="F105" s="16">
        <v>4.17</v>
      </c>
      <c r="G105" s="16">
        <v>4.0999999999999996</v>
      </c>
      <c r="H105" s="16">
        <v>4.0999999999999996</v>
      </c>
      <c r="I105" s="16">
        <v>4.3</v>
      </c>
      <c r="J105" s="16">
        <v>4.2</v>
      </c>
      <c r="K105" s="16">
        <v>4.05</v>
      </c>
      <c r="L105" s="16">
        <v>4.0999999999999996</v>
      </c>
      <c r="M105" s="16">
        <v>4.2</v>
      </c>
      <c r="N105" s="16">
        <v>4.3</v>
      </c>
      <c r="O105" s="16">
        <v>4.3</v>
      </c>
      <c r="Q105" s="22"/>
    </row>
    <row r="106" spans="1:17" ht="14.4" x14ac:dyDescent="0.25">
      <c r="A106" s="25" t="s">
        <v>113</v>
      </c>
      <c r="B106" s="31" t="s">
        <v>3</v>
      </c>
      <c r="C106" s="31" t="s">
        <v>4</v>
      </c>
      <c r="D106" s="32" t="s">
        <v>5</v>
      </c>
      <c r="E106" s="32" t="s">
        <v>6</v>
      </c>
      <c r="F106" s="32" t="s">
        <v>7</v>
      </c>
      <c r="G106" s="32" t="s">
        <v>8</v>
      </c>
      <c r="H106" s="32" t="s">
        <v>9</v>
      </c>
      <c r="I106" s="32" t="s">
        <v>10</v>
      </c>
      <c r="J106" s="32" t="s">
        <v>11</v>
      </c>
      <c r="K106" s="33" t="s">
        <v>12</v>
      </c>
      <c r="L106" s="33" t="s">
        <v>13</v>
      </c>
      <c r="M106" s="33" t="s">
        <v>14</v>
      </c>
      <c r="N106" s="33" t="s">
        <v>15</v>
      </c>
      <c r="O106" s="33" t="s">
        <v>16</v>
      </c>
      <c r="P106" s="34" t="s">
        <v>17</v>
      </c>
    </row>
    <row r="107" spans="1:17" s="53" customFormat="1" x14ac:dyDescent="0.25">
      <c r="A107" s="52">
        <v>2020</v>
      </c>
      <c r="B107" s="53">
        <v>3470</v>
      </c>
      <c r="C107" s="53">
        <v>1112</v>
      </c>
      <c r="D107" s="53">
        <f>0.416*D2</f>
        <v>974.75040000000001</v>
      </c>
      <c r="E107" s="53">
        <f>0.238*E2</f>
        <v>835.02299999999991</v>
      </c>
      <c r="F107" s="53">
        <v>530.1</v>
      </c>
      <c r="G107" s="53">
        <v>1369.64</v>
      </c>
      <c r="H107" s="53">
        <v>1230</v>
      </c>
      <c r="I107" s="53">
        <v>44.4</v>
      </c>
      <c r="J107" s="53">
        <f>0.361*J2</f>
        <v>669.10627999999997</v>
      </c>
      <c r="K107" s="53">
        <v>822</v>
      </c>
      <c r="L107" s="53">
        <v>530.25</v>
      </c>
      <c r="M107" s="53">
        <v>388.24</v>
      </c>
      <c r="N107" s="53">
        <v>522.28</v>
      </c>
      <c r="O107" s="53">
        <v>164.29</v>
      </c>
    </row>
    <row r="108" spans="1:17" x14ac:dyDescent="0.25">
      <c r="A108" s="24">
        <v>2015</v>
      </c>
      <c r="B108" s="16">
        <v>3745.03</v>
      </c>
      <c r="C108" s="16">
        <v>1182</v>
      </c>
      <c r="D108" s="16">
        <f>0.5*D3</f>
        <v>851.55</v>
      </c>
      <c r="E108" s="16">
        <f>0.387*2601.02</f>
        <v>1006.59474</v>
      </c>
      <c r="F108" s="16">
        <v>427.9</v>
      </c>
      <c r="G108" s="16">
        <v>1307.5</v>
      </c>
      <c r="H108" s="16">
        <v>1117.7</v>
      </c>
      <c r="I108" s="16">
        <v>83.6</v>
      </c>
      <c r="J108" s="16">
        <v>514.29999999999995</v>
      </c>
      <c r="K108" s="16">
        <v>1016</v>
      </c>
      <c r="L108" s="16">
        <v>330.16</v>
      </c>
      <c r="M108" s="16">
        <v>472.1</v>
      </c>
      <c r="N108" s="16">
        <v>593.38</v>
      </c>
      <c r="O108" s="16">
        <v>141.6</v>
      </c>
    </row>
    <row r="109" spans="1:17" x14ac:dyDescent="0.25">
      <c r="A109" s="24">
        <v>2010</v>
      </c>
      <c r="B109" s="16">
        <v>2020.68</v>
      </c>
      <c r="C109" s="16">
        <v>367.4</v>
      </c>
      <c r="D109" s="16">
        <v>451.34</v>
      </c>
      <c r="E109" s="16">
        <v>562.74</v>
      </c>
      <c r="F109" s="16">
        <v>237.85</v>
      </c>
      <c r="G109" s="16">
        <v>751.53</v>
      </c>
      <c r="H109" s="16">
        <v>617.29999999999995</v>
      </c>
      <c r="I109" s="16">
        <v>48.198</v>
      </c>
      <c r="J109" s="16">
        <v>259.56</v>
      </c>
      <c r="K109" s="16">
        <v>553.29999999999995</v>
      </c>
      <c r="L109" s="16">
        <v>236.78</v>
      </c>
      <c r="M109" s="16">
        <v>254.46</v>
      </c>
      <c r="N109" s="16">
        <v>301.39999999999998</v>
      </c>
      <c r="O109" s="16">
        <v>102.21</v>
      </c>
    </row>
    <row r="110" spans="1:17" ht="14.4" x14ac:dyDescent="0.25">
      <c r="A110" s="25" t="s">
        <v>153</v>
      </c>
      <c r="B110" s="31" t="s">
        <v>3</v>
      </c>
      <c r="C110" s="31" t="s">
        <v>4</v>
      </c>
      <c r="D110" s="32" t="s">
        <v>5</v>
      </c>
      <c r="E110" s="32" t="s">
        <v>6</v>
      </c>
      <c r="F110" s="32" t="s">
        <v>7</v>
      </c>
      <c r="G110" s="32" t="s">
        <v>8</v>
      </c>
      <c r="H110" s="32" t="s">
        <v>9</v>
      </c>
      <c r="I110" s="32" t="s">
        <v>10</v>
      </c>
      <c r="J110" s="32" t="s">
        <v>11</v>
      </c>
      <c r="K110" s="33" t="s">
        <v>12</v>
      </c>
      <c r="L110" s="33" t="s">
        <v>13</v>
      </c>
      <c r="M110" s="33" t="s">
        <v>14</v>
      </c>
      <c r="N110" s="33" t="s">
        <v>15</v>
      </c>
      <c r="O110" s="33" t="s">
        <v>16</v>
      </c>
      <c r="P110" s="34" t="s">
        <v>17</v>
      </c>
    </row>
    <row r="111" spans="1:17" s="53" customFormat="1" x14ac:dyDescent="0.25">
      <c r="A111" s="52">
        <v>2020</v>
      </c>
      <c r="B111" s="53">
        <v>33012</v>
      </c>
      <c r="C111" s="53">
        <v>4229</v>
      </c>
      <c r="D111" s="53">
        <v>4144</v>
      </c>
      <c r="E111" s="53">
        <v>1947</v>
      </c>
      <c r="F111" s="53">
        <v>3213</v>
      </c>
      <c r="G111" s="53">
        <v>2371</v>
      </c>
      <c r="H111" s="53">
        <v>3891</v>
      </c>
      <c r="I111" s="53">
        <v>1143</v>
      </c>
      <c r="J111" s="53">
        <v>2023</v>
      </c>
      <c r="K111" s="53">
        <v>3019</v>
      </c>
      <c r="L111" s="53">
        <v>3062</v>
      </c>
      <c r="M111" s="53">
        <v>4708</v>
      </c>
      <c r="N111" s="53">
        <v>2725</v>
      </c>
      <c r="O111" s="53">
        <v>820</v>
      </c>
    </row>
    <row r="112" spans="1:17" x14ac:dyDescent="0.25">
      <c r="A112" s="24">
        <v>2015</v>
      </c>
      <c r="B112" s="16">
        <v>14633</v>
      </c>
      <c r="C112" s="16">
        <v>6034</v>
      </c>
      <c r="D112" s="16">
        <v>3775</v>
      </c>
      <c r="E112" s="16">
        <v>1664</v>
      </c>
      <c r="F112" s="16">
        <v>2334</v>
      </c>
      <c r="G112" s="16">
        <v>1824</v>
      </c>
      <c r="H112" s="16">
        <v>2267</v>
      </c>
      <c r="I112" s="16">
        <v>486</v>
      </c>
      <c r="J112" s="16">
        <v>514</v>
      </c>
      <c r="K112" s="16">
        <v>1835</v>
      </c>
      <c r="L112" s="16">
        <v>2387</v>
      </c>
      <c r="M112" s="16">
        <v>999</v>
      </c>
      <c r="N112" s="16">
        <v>1617</v>
      </c>
      <c r="O112" s="16">
        <v>235</v>
      </c>
    </row>
    <row r="113" spans="1:16" x14ac:dyDescent="0.25">
      <c r="A113" s="24">
        <v>2010</v>
      </c>
      <c r="B113" s="16">
        <v>6209</v>
      </c>
      <c r="C113" s="16">
        <v>2276</v>
      </c>
      <c r="D113" s="16">
        <v>1113</v>
      </c>
      <c r="E113" s="16">
        <v>246</v>
      </c>
      <c r="F113" s="16">
        <v>115</v>
      </c>
      <c r="G113" s="16">
        <v>136</v>
      </c>
      <c r="H113" s="16">
        <v>772</v>
      </c>
      <c r="I113" s="16">
        <v>68</v>
      </c>
      <c r="J113" s="16">
        <v>138</v>
      </c>
      <c r="K113" s="16">
        <v>195</v>
      </c>
      <c r="L113" s="16">
        <v>293</v>
      </c>
      <c r="M113" s="16">
        <v>35</v>
      </c>
      <c r="N113" s="16">
        <v>459</v>
      </c>
      <c r="O113" s="16">
        <v>188</v>
      </c>
    </row>
    <row r="114" spans="1:16" ht="15" customHeight="1" x14ac:dyDescent="0.25">
      <c r="A114" s="25" t="s">
        <v>168</v>
      </c>
      <c r="B114" s="31" t="s">
        <v>3</v>
      </c>
      <c r="C114" s="31" t="s">
        <v>4</v>
      </c>
      <c r="D114" s="32" t="s">
        <v>5</v>
      </c>
      <c r="E114" s="32" t="s">
        <v>6</v>
      </c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3" t="s">
        <v>12</v>
      </c>
      <c r="L114" s="33" t="s">
        <v>13</v>
      </c>
      <c r="M114" s="33" t="s">
        <v>14</v>
      </c>
      <c r="N114" s="33" t="s">
        <v>15</v>
      </c>
      <c r="O114" s="33" t="s">
        <v>16</v>
      </c>
      <c r="P114" s="34" t="s">
        <v>17</v>
      </c>
    </row>
    <row r="115" spans="1:16" x14ac:dyDescent="0.25">
      <c r="A115" s="24">
        <v>2020</v>
      </c>
      <c r="B115" s="16">
        <v>84.4</v>
      </c>
      <c r="C115" s="16">
        <v>86.6</v>
      </c>
      <c r="D115" s="16">
        <v>86.1</v>
      </c>
      <c r="E115" s="16">
        <v>92.1</v>
      </c>
      <c r="F115" s="16">
        <v>93.4</v>
      </c>
      <c r="G115" s="16">
        <v>90.7</v>
      </c>
      <c r="H115" s="16">
        <v>84.7</v>
      </c>
      <c r="I115" s="16">
        <v>97.8</v>
      </c>
      <c r="J115" s="16">
        <v>84.4</v>
      </c>
      <c r="K115" s="16">
        <v>95.4</v>
      </c>
      <c r="L115" s="16">
        <v>96.4</v>
      </c>
      <c r="M115" s="16">
        <v>98.1</v>
      </c>
      <c r="N115" s="16">
        <v>95.9</v>
      </c>
      <c r="O115" s="16">
        <v>99.5</v>
      </c>
    </row>
    <row r="116" spans="1:16" x14ac:dyDescent="0.25">
      <c r="A116" s="24">
        <v>2015</v>
      </c>
      <c r="B116" s="16">
        <v>70.7</v>
      </c>
      <c r="C116" s="16">
        <v>77</v>
      </c>
      <c r="D116" s="16">
        <v>73.698630136986296</v>
      </c>
      <c r="E116" s="16">
        <v>91</v>
      </c>
      <c r="F116" s="16">
        <v>77.808219178082197</v>
      </c>
      <c r="G116" s="16">
        <v>74.599999999999994</v>
      </c>
      <c r="H116" s="16">
        <v>76.7</v>
      </c>
      <c r="I116" s="16">
        <v>95.3</v>
      </c>
      <c r="J116" s="16">
        <v>78.900000000000006</v>
      </c>
      <c r="K116" s="16">
        <v>87.5</v>
      </c>
      <c r="L116" s="16">
        <v>81.099999999999994</v>
      </c>
      <c r="M116" s="16">
        <v>78.599999999999994</v>
      </c>
      <c r="N116" s="16">
        <v>89.8</v>
      </c>
      <c r="O116" s="16">
        <v>99.3</v>
      </c>
    </row>
    <row r="117" spans="1:16" x14ac:dyDescent="0.25">
      <c r="A117" s="24">
        <v>2010</v>
      </c>
      <c r="B117" s="16">
        <v>92.6</v>
      </c>
      <c r="C117" s="16">
        <v>94.5</v>
      </c>
      <c r="D117" s="16">
        <v>92.88</v>
      </c>
      <c r="E117" s="16">
        <v>99.7</v>
      </c>
      <c r="F117" s="16">
        <v>91.2</v>
      </c>
      <c r="G117" s="16">
        <v>88.6</v>
      </c>
      <c r="H117" s="16">
        <v>89.3</v>
      </c>
      <c r="I117" s="16">
        <v>92.1</v>
      </c>
      <c r="J117" s="16">
        <f>332/365*100</f>
        <v>90.958904109589042</v>
      </c>
      <c r="K117" s="16">
        <v>1</v>
      </c>
      <c r="L117" s="16">
        <v>95.62</v>
      </c>
      <c r="M117" s="16">
        <f>336/365*100</f>
        <v>92.054794520547944</v>
      </c>
      <c r="N117" s="16">
        <f>335/365*100</f>
        <v>91.780821917808225</v>
      </c>
      <c r="O117" s="16">
        <v>1</v>
      </c>
    </row>
    <row r="118" spans="1:16" ht="14.4" x14ac:dyDescent="0.25">
      <c r="A118" s="25" t="s">
        <v>148</v>
      </c>
      <c r="B118" s="31" t="s">
        <v>3</v>
      </c>
      <c r="C118" s="31" t="s">
        <v>4</v>
      </c>
      <c r="D118" s="32" t="s">
        <v>5</v>
      </c>
      <c r="E118" s="32" t="s">
        <v>6</v>
      </c>
      <c r="F118" s="32" t="s">
        <v>7</v>
      </c>
      <c r="G118" s="32" t="s">
        <v>8</v>
      </c>
      <c r="H118" s="32" t="s">
        <v>9</v>
      </c>
      <c r="I118" s="32" t="s">
        <v>10</v>
      </c>
      <c r="J118" s="32" t="s">
        <v>11</v>
      </c>
      <c r="K118" s="33" t="s">
        <v>12</v>
      </c>
      <c r="L118" s="33" t="s">
        <v>13</v>
      </c>
      <c r="M118" s="33" t="s">
        <v>14</v>
      </c>
      <c r="N118" s="33" t="s">
        <v>15</v>
      </c>
      <c r="O118" s="33" t="s">
        <v>16</v>
      </c>
      <c r="P118" s="34" t="s">
        <v>17</v>
      </c>
    </row>
    <row r="119" spans="1:16" x14ac:dyDescent="0.25">
      <c r="A119" s="24">
        <v>2020</v>
      </c>
      <c r="B119" s="16">
        <v>416.07</v>
      </c>
      <c r="C119" s="16">
        <v>232.1</v>
      </c>
      <c r="D119" s="16">
        <v>63.7</v>
      </c>
      <c r="E119" s="16">
        <v>139.07</v>
      </c>
      <c r="F119" s="16">
        <v>123</v>
      </c>
      <c r="G119" s="16">
        <v>268.13</v>
      </c>
      <c r="H119" s="16">
        <v>142.19999999999999</v>
      </c>
      <c r="I119" s="16">
        <v>98.2</v>
      </c>
      <c r="J119" s="16">
        <v>35.770000000000003</v>
      </c>
      <c r="K119" s="16">
        <v>61.19</v>
      </c>
      <c r="L119" s="16">
        <v>70.2</v>
      </c>
      <c r="M119" s="16">
        <v>67.02</v>
      </c>
      <c r="N119" s="16">
        <v>68.209999999999994</v>
      </c>
      <c r="O119" s="16">
        <v>18.649999999999999</v>
      </c>
      <c r="P119" s="16" t="s">
        <v>59</v>
      </c>
    </row>
    <row r="120" spans="1:16" x14ac:dyDescent="0.25">
      <c r="A120" s="24">
        <v>2015</v>
      </c>
      <c r="B120" s="16">
        <v>205.21</v>
      </c>
      <c r="C120" s="16">
        <v>87.4</v>
      </c>
      <c r="D120" s="16">
        <v>45.6</v>
      </c>
      <c r="E120" s="16">
        <v>463.77</v>
      </c>
      <c r="F120" s="16">
        <v>74.2</v>
      </c>
      <c r="G120" s="16">
        <v>167.42</v>
      </c>
      <c r="H120" s="16">
        <v>101.1</v>
      </c>
      <c r="I120" s="49">
        <v>0.97</v>
      </c>
      <c r="J120" s="16">
        <v>59.13</v>
      </c>
      <c r="K120" s="16">
        <v>36.299999999999997</v>
      </c>
      <c r="L120" s="16">
        <v>52.16</v>
      </c>
      <c r="M120" s="16">
        <v>54.99</v>
      </c>
      <c r="N120" s="16">
        <v>48.92</v>
      </c>
      <c r="O120" s="16">
        <v>12.3</v>
      </c>
    </row>
    <row r="121" spans="1:16" x14ac:dyDescent="0.25">
      <c r="A121" s="24">
        <v>2010</v>
      </c>
      <c r="B121" s="16">
        <v>137.19</v>
      </c>
      <c r="C121" s="16">
        <v>66</v>
      </c>
      <c r="D121" s="16">
        <v>17</v>
      </c>
      <c r="E121" s="16">
        <v>55.4</v>
      </c>
      <c r="F121" s="16">
        <v>65.400000000000006</v>
      </c>
      <c r="G121" s="16">
        <v>57.32</v>
      </c>
      <c r="H121" s="16">
        <v>77.7</v>
      </c>
      <c r="I121" s="16">
        <v>11.72</v>
      </c>
      <c r="J121" s="16">
        <v>20482</v>
      </c>
      <c r="K121" s="16">
        <v>11.7</v>
      </c>
      <c r="L121" s="16">
        <v>36.299999999999997</v>
      </c>
      <c r="M121" s="16">
        <v>15.3</v>
      </c>
      <c r="N121" s="16">
        <v>39.68</v>
      </c>
      <c r="O121" s="16">
        <f>1.34+7.52</f>
        <v>8.86</v>
      </c>
    </row>
    <row r="122" spans="1:16" ht="14.4" x14ac:dyDescent="0.25">
      <c r="A122" s="47" t="s">
        <v>152</v>
      </c>
      <c r="B122" s="31" t="s">
        <v>3</v>
      </c>
      <c r="C122" s="31" t="s">
        <v>4</v>
      </c>
      <c r="D122" s="32" t="s">
        <v>5</v>
      </c>
      <c r="E122" s="32" t="s">
        <v>6</v>
      </c>
      <c r="F122" s="32" t="s">
        <v>7</v>
      </c>
      <c r="G122" s="32" t="s">
        <v>8</v>
      </c>
      <c r="H122" s="32" t="s">
        <v>9</v>
      </c>
      <c r="I122" s="32" t="s">
        <v>10</v>
      </c>
      <c r="J122" s="32" t="s">
        <v>11</v>
      </c>
      <c r="K122" s="33" t="s">
        <v>12</v>
      </c>
      <c r="L122" s="33" t="s">
        <v>13</v>
      </c>
      <c r="M122" s="33" t="s">
        <v>14</v>
      </c>
      <c r="N122" s="33" t="s">
        <v>15</v>
      </c>
      <c r="O122" s="33" t="s">
        <v>154</v>
      </c>
      <c r="P122" s="34" t="s">
        <v>17</v>
      </c>
    </row>
    <row r="123" spans="1:16" x14ac:dyDescent="0.25">
      <c r="A123" s="24">
        <v>2020</v>
      </c>
      <c r="B123" s="16">
        <v>735</v>
      </c>
      <c r="C123" s="16">
        <v>40</v>
      </c>
      <c r="D123" s="16">
        <v>27</v>
      </c>
      <c r="E123" s="16">
        <v>43</v>
      </c>
      <c r="F123" s="16">
        <v>23</v>
      </c>
      <c r="G123" s="16">
        <v>52</v>
      </c>
      <c r="H123" s="16">
        <v>128</v>
      </c>
      <c r="I123" s="16">
        <v>23</v>
      </c>
      <c r="J123" s="16">
        <v>21</v>
      </c>
      <c r="K123" s="16">
        <v>44</v>
      </c>
      <c r="L123" s="16">
        <v>37</v>
      </c>
      <c r="M123" s="16">
        <v>19</v>
      </c>
      <c r="N123" s="16">
        <v>18</v>
      </c>
      <c r="O123" s="16">
        <v>11</v>
      </c>
    </row>
    <row r="124" spans="1:16" x14ac:dyDescent="0.25">
      <c r="A124" s="24">
        <v>2015</v>
      </c>
      <c r="B124" s="16">
        <v>576</v>
      </c>
      <c r="C124" s="16">
        <v>26</v>
      </c>
      <c r="D124" s="16">
        <v>28</v>
      </c>
      <c r="E124" s="16">
        <v>28</v>
      </c>
      <c r="F124" s="16">
        <v>18</v>
      </c>
      <c r="G124" s="16">
        <v>32</v>
      </c>
      <c r="H124" s="16">
        <v>83</v>
      </c>
      <c r="I124" s="16">
        <v>8</v>
      </c>
      <c r="J124" s="16">
        <v>16</v>
      </c>
      <c r="K124" s="16">
        <v>22</v>
      </c>
      <c r="L124" s="16">
        <v>30</v>
      </c>
      <c r="M124" s="16">
        <v>26</v>
      </c>
      <c r="N124" s="16">
        <v>14</v>
      </c>
      <c r="O124" s="16">
        <v>6</v>
      </c>
    </row>
    <row r="125" spans="1:16" x14ac:dyDescent="0.25">
      <c r="A125" s="24">
        <v>2010</v>
      </c>
      <c r="B125" s="16">
        <v>418</v>
      </c>
      <c r="C125" s="16">
        <v>25</v>
      </c>
      <c r="D125" s="16">
        <v>23</v>
      </c>
      <c r="E125" s="16">
        <v>12</v>
      </c>
      <c r="F125" s="16">
        <v>12</v>
      </c>
      <c r="G125" s="16">
        <v>23</v>
      </c>
      <c r="H125" s="16">
        <v>60</v>
      </c>
      <c r="I125" s="16">
        <v>6</v>
      </c>
      <c r="J125" s="16">
        <v>13</v>
      </c>
      <c r="K125" s="16">
        <v>11</v>
      </c>
      <c r="L125" s="16">
        <v>21</v>
      </c>
      <c r="M125" s="16">
        <v>15</v>
      </c>
      <c r="N125" s="16">
        <v>8</v>
      </c>
      <c r="O125" s="16">
        <v>6</v>
      </c>
    </row>
    <row r="126" spans="1:16" ht="14.4" x14ac:dyDescent="0.25">
      <c r="A126" s="48" t="s">
        <v>149</v>
      </c>
      <c r="B126" s="31" t="s">
        <v>3</v>
      </c>
      <c r="C126" s="31" t="s">
        <v>4</v>
      </c>
      <c r="D126" s="32" t="s">
        <v>5</v>
      </c>
      <c r="E126" s="32" t="s">
        <v>6</v>
      </c>
      <c r="F126" s="32" t="s">
        <v>7</v>
      </c>
      <c r="G126" s="32" t="s">
        <v>8</v>
      </c>
      <c r="H126" s="32" t="s">
        <v>9</v>
      </c>
      <c r="I126" s="32" t="s">
        <v>10</v>
      </c>
      <c r="J126" s="32" t="s">
        <v>11</v>
      </c>
      <c r="K126" s="33" t="s">
        <v>12</v>
      </c>
      <c r="L126" s="33" t="s">
        <v>13</v>
      </c>
      <c r="M126" s="33" t="s">
        <v>14</v>
      </c>
      <c r="N126" s="33" t="s">
        <v>15</v>
      </c>
      <c r="O126" s="33" t="s">
        <v>16</v>
      </c>
      <c r="P126" s="34" t="s">
        <v>17</v>
      </c>
    </row>
    <row r="127" spans="1:16" x14ac:dyDescent="0.25">
      <c r="A127" s="24">
        <v>2020</v>
      </c>
      <c r="B127" s="16">
        <v>4681</v>
      </c>
      <c r="C127" s="16">
        <v>3036</v>
      </c>
      <c r="D127" s="16">
        <v>2443</v>
      </c>
      <c r="E127" s="16">
        <v>4618</v>
      </c>
      <c r="F127" s="16">
        <v>2622</v>
      </c>
      <c r="G127" s="16">
        <v>4122</v>
      </c>
      <c r="H127" s="16">
        <v>5069</v>
      </c>
      <c r="I127" s="16">
        <v>1294</v>
      </c>
      <c r="J127" s="16">
        <v>1862</v>
      </c>
      <c r="K127" s="16">
        <v>4222</v>
      </c>
      <c r="L127" s="16">
        <v>5497</v>
      </c>
      <c r="M127" s="16">
        <v>4666</v>
      </c>
      <c r="N127" s="16">
        <v>4083</v>
      </c>
      <c r="O127" s="16">
        <v>3269</v>
      </c>
    </row>
    <row r="128" spans="1:16" x14ac:dyDescent="0.25">
      <c r="A128" s="24">
        <v>2015</v>
      </c>
      <c r="B128" s="16">
        <v>3636</v>
      </c>
      <c r="C128" s="16">
        <v>2986</v>
      </c>
      <c r="D128" s="16">
        <v>2547</v>
      </c>
      <c r="E128" s="16">
        <v>6023</v>
      </c>
      <c r="F128" s="16">
        <v>1137</v>
      </c>
      <c r="G128" s="16">
        <v>4808</v>
      </c>
      <c r="H128" s="16">
        <v>5106</v>
      </c>
      <c r="I128" s="16">
        <v>1364</v>
      </c>
      <c r="J128" s="16">
        <v>1458</v>
      </c>
      <c r="K128" s="16">
        <v>4820</v>
      </c>
      <c r="L128" s="16">
        <v>6003</v>
      </c>
      <c r="M128" s="16">
        <v>5210</v>
      </c>
      <c r="N128" s="16">
        <v>4014</v>
      </c>
      <c r="O128" s="16">
        <v>3726</v>
      </c>
    </row>
    <row r="129" spans="1:16" x14ac:dyDescent="0.25">
      <c r="A129" s="24">
        <v>2010</v>
      </c>
      <c r="B129" s="16">
        <v>2967</v>
      </c>
      <c r="C129" s="16">
        <v>1359</v>
      </c>
      <c r="D129" s="16">
        <v>2487</v>
      </c>
      <c r="E129" s="16">
        <v>5117</v>
      </c>
      <c r="F129" s="16">
        <v>730</v>
      </c>
      <c r="G129" s="16">
        <v>3824</v>
      </c>
      <c r="H129" s="16">
        <v>4209</v>
      </c>
      <c r="I129" s="16">
        <v>331</v>
      </c>
      <c r="J129" s="16">
        <v>458</v>
      </c>
      <c r="K129" s="16">
        <v>981</v>
      </c>
      <c r="L129" s="16">
        <v>926</v>
      </c>
      <c r="M129" s="16">
        <v>1159</v>
      </c>
      <c r="N129" s="16">
        <v>3566</v>
      </c>
      <c r="O129" s="16">
        <v>311</v>
      </c>
    </row>
    <row r="130" spans="1:16" ht="14.4" x14ac:dyDescent="0.25">
      <c r="A130" s="17" t="s">
        <v>150</v>
      </c>
      <c r="B130" s="31" t="s">
        <v>3</v>
      </c>
      <c r="C130" s="31" t="s">
        <v>4</v>
      </c>
      <c r="D130" s="32" t="s">
        <v>5</v>
      </c>
      <c r="E130" s="32" t="s">
        <v>6</v>
      </c>
      <c r="F130" s="32" t="s">
        <v>7</v>
      </c>
      <c r="G130" s="32" t="s">
        <v>8</v>
      </c>
      <c r="H130" s="32" t="s">
        <v>9</v>
      </c>
      <c r="I130" s="32" t="s">
        <v>10</v>
      </c>
      <c r="J130" s="32" t="s">
        <v>11</v>
      </c>
      <c r="K130" s="33" t="s">
        <v>12</v>
      </c>
      <c r="L130" s="33" t="s">
        <v>13</v>
      </c>
      <c r="M130" s="33" t="s">
        <v>14</v>
      </c>
      <c r="N130" s="33" t="s">
        <v>15</v>
      </c>
      <c r="O130" s="33" t="s">
        <v>16</v>
      </c>
      <c r="P130" s="34" t="s">
        <v>17</v>
      </c>
    </row>
    <row r="131" spans="1:16" x14ac:dyDescent="0.25">
      <c r="A131" s="24">
        <v>2020</v>
      </c>
      <c r="B131" s="16">
        <v>434.5</v>
      </c>
      <c r="C131" s="16">
        <v>117.3</v>
      </c>
      <c r="D131" s="16">
        <v>116</v>
      </c>
      <c r="E131" s="16">
        <v>177.55</v>
      </c>
      <c r="F131" s="16">
        <v>56.8</v>
      </c>
      <c r="G131" s="16">
        <v>157.51</v>
      </c>
      <c r="H131" s="16">
        <v>159.9</v>
      </c>
      <c r="I131" s="16">
        <v>58.7</v>
      </c>
      <c r="J131" s="16">
        <v>63.1</v>
      </c>
      <c r="K131" s="16">
        <v>138.93</v>
      </c>
      <c r="L131" s="16">
        <v>129.72999999999999</v>
      </c>
      <c r="M131" s="16">
        <v>131</v>
      </c>
      <c r="N131" s="16">
        <v>138.9</v>
      </c>
      <c r="O131" s="16">
        <v>66.7</v>
      </c>
      <c r="P131" s="16" t="s">
        <v>151</v>
      </c>
    </row>
    <row r="132" spans="1:16" x14ac:dyDescent="0.25">
      <c r="A132" s="24">
        <v>2015</v>
      </c>
      <c r="B132" s="16">
        <v>180.27</v>
      </c>
      <c r="C132" s="38">
        <v>0.64500000000000002</v>
      </c>
      <c r="D132" s="16">
        <v>41.6</v>
      </c>
      <c r="E132" s="16">
        <v>72.97</v>
      </c>
      <c r="F132" s="16">
        <v>33.4</v>
      </c>
      <c r="G132" s="16">
        <v>58.9</v>
      </c>
      <c r="H132" s="16">
        <v>61.3</v>
      </c>
      <c r="I132" s="16">
        <v>23.6</v>
      </c>
      <c r="J132" s="16">
        <v>41.7</v>
      </c>
      <c r="K132" s="16">
        <v>63.8</v>
      </c>
      <c r="L132" s="16">
        <v>176.23</v>
      </c>
      <c r="M132" s="16">
        <v>49.49</v>
      </c>
      <c r="N132" s="16">
        <v>45.43</v>
      </c>
      <c r="O132" s="16">
        <v>23.5</v>
      </c>
    </row>
    <row r="133" spans="1:16" s="51" customFormat="1" x14ac:dyDescent="0.25">
      <c r="A133" s="50">
        <v>2010</v>
      </c>
      <c r="B133" s="51">
        <v>88.45</v>
      </c>
      <c r="C133" s="51">
        <v>27.8</v>
      </c>
      <c r="D133" s="51">
        <v>14.9</v>
      </c>
      <c r="E133" s="51">
        <v>32.520000000000003</v>
      </c>
      <c r="F133" s="51">
        <v>18.2</v>
      </c>
      <c r="G133" s="51">
        <v>25.14</v>
      </c>
      <c r="H133" s="51">
        <v>24.6</v>
      </c>
      <c r="I133" s="51">
        <v>18.600000000000001</v>
      </c>
      <c r="J133" s="51">
        <v>16.37</v>
      </c>
      <c r="K133" s="51">
        <v>18.399999999999999</v>
      </c>
      <c r="L133" s="51">
        <v>15.13</v>
      </c>
      <c r="M133" s="51">
        <v>21.44</v>
      </c>
      <c r="N133" s="51">
        <v>18.04</v>
      </c>
      <c r="O133" s="51">
        <v>12.4</v>
      </c>
    </row>
    <row r="134" spans="1:16" x14ac:dyDescent="0.25">
      <c r="A134" s="16"/>
    </row>
    <row r="135" spans="1:16" ht="14.4" x14ac:dyDescent="0.25">
      <c r="A135" s="35" t="s">
        <v>115</v>
      </c>
      <c r="B135" s="8">
        <f t="shared" ref="B135:O135" si="0">B98*1000000/(B12*10000)</f>
        <v>2.5789864291772724</v>
      </c>
      <c r="C135" s="8">
        <f t="shared" si="0"/>
        <v>1.1068125336271168</v>
      </c>
      <c r="D135" s="8">
        <f t="shared" si="0"/>
        <v>1.0774781385678467</v>
      </c>
      <c r="E135" s="8">
        <f t="shared" si="0"/>
        <v>1.1948852287896585</v>
      </c>
      <c r="F135" s="8">
        <f t="shared" si="0"/>
        <v>0.93931773730600232</v>
      </c>
      <c r="G135" s="8">
        <f t="shared" si="0"/>
        <v>1.3561784028259221</v>
      </c>
      <c r="H135" s="8">
        <f t="shared" si="0"/>
        <v>1.186527417123145</v>
      </c>
      <c r="I135" s="8">
        <f t="shared" si="0"/>
        <v>3.8557869760084365</v>
      </c>
      <c r="J135" s="8">
        <f t="shared" si="0"/>
        <v>1.0414502389362144</v>
      </c>
      <c r="K135" s="8">
        <f t="shared" si="0"/>
        <v>1.1457887986318938</v>
      </c>
      <c r="L135" s="8">
        <f t="shared" si="0"/>
        <v>1.7295419357275028</v>
      </c>
      <c r="M135" s="8">
        <f t="shared" si="0"/>
        <v>0.87504909876489334</v>
      </c>
      <c r="N135" s="8">
        <f t="shared" si="0"/>
        <v>1.2749503605392414</v>
      </c>
      <c r="O135" s="8">
        <f t="shared" si="0"/>
        <v>0.54607416948424836</v>
      </c>
    </row>
    <row r="136" spans="1:16" ht="14.4" x14ac:dyDescent="0.25">
      <c r="A136" s="35">
        <v>2015</v>
      </c>
      <c r="B136" s="8">
        <f t="shared" ref="B136:O136" si="1">B99*1000000/(B13*10000)</f>
        <v>2.7516886891466403</v>
      </c>
      <c r="C136" s="8">
        <f t="shared" si="1"/>
        <v>1.1923509561304837</v>
      </c>
      <c r="D136" s="8">
        <f t="shared" si="1"/>
        <v>0.86411445975139001</v>
      </c>
      <c r="E136" s="8">
        <f t="shared" si="1"/>
        <v>0.96263486655309483</v>
      </c>
      <c r="F136" s="8">
        <f t="shared" si="1"/>
        <v>0.86549981409311871</v>
      </c>
      <c r="G136" s="8">
        <f t="shared" si="1"/>
        <v>0.89177858310239466</v>
      </c>
      <c r="H136" s="8">
        <f t="shared" si="1"/>
        <v>0.57153613169287643</v>
      </c>
      <c r="I136" s="8">
        <f t="shared" si="1"/>
        <v>1.4501312335958005</v>
      </c>
      <c r="J136" s="8">
        <f t="shared" si="1"/>
        <v>0.81742324611128758</v>
      </c>
      <c r="K136" s="8">
        <f t="shared" si="1"/>
        <v>1.1268022493763477</v>
      </c>
      <c r="L136" s="8">
        <f t="shared" si="1"/>
        <v>1.5304712967567271</v>
      </c>
      <c r="M136" s="8">
        <f t="shared" si="1"/>
        <v>0.82014036233066745</v>
      </c>
      <c r="N136" s="8">
        <f t="shared" si="1"/>
        <v>1.0899323312154554</v>
      </c>
      <c r="O136" s="8">
        <f t="shared" si="1"/>
        <v>0.66299740621243752</v>
      </c>
    </row>
    <row r="137" spans="1:16" ht="14.4" x14ac:dyDescent="0.25">
      <c r="A137" s="35">
        <v>2010</v>
      </c>
      <c r="B137" s="8">
        <f t="shared" ref="B137:O137" si="2">B100*1000000/(B14*10000)</f>
        <v>1.9671339497493145</v>
      </c>
      <c r="C137" s="8">
        <f t="shared" si="2"/>
        <v>0.98260351040937488</v>
      </c>
      <c r="D137" s="8">
        <f t="shared" si="2"/>
        <v>0.78119322723639262</v>
      </c>
      <c r="E137" s="8">
        <f t="shared" si="2"/>
        <v>0.40801671236453896</v>
      </c>
      <c r="F137" s="8">
        <f t="shared" si="2"/>
        <v>2.6976128671043926</v>
      </c>
      <c r="G137" s="8">
        <f t="shared" si="2"/>
        <v>2.9980172996056389</v>
      </c>
      <c r="H137" s="8">
        <f t="shared" si="2"/>
        <v>1.547790932717297</v>
      </c>
      <c r="I137" s="8">
        <f t="shared" si="2"/>
        <v>1.6812373907195697</v>
      </c>
      <c r="J137" s="8">
        <f t="shared" si="2"/>
        <v>0.72601438458406842</v>
      </c>
      <c r="K137" s="8">
        <f t="shared" si="2"/>
        <v>7.3383723490129888</v>
      </c>
      <c r="L137" s="8">
        <f t="shared" si="2"/>
        <v>4.5638671347556032</v>
      </c>
      <c r="M137" s="8">
        <f t="shared" si="2"/>
        <v>2.8383962879721598</v>
      </c>
      <c r="N137" s="8">
        <f t="shared" si="2"/>
        <v>3.0560578661844486</v>
      </c>
      <c r="O137" s="8">
        <f t="shared" si="2"/>
        <v>2.3000601322910401</v>
      </c>
    </row>
    <row r="138" spans="1:16" x14ac:dyDescent="0.25">
      <c r="A138" s="24"/>
    </row>
    <row r="139" spans="1:16" s="19" customFormat="1" ht="14.4" x14ac:dyDescent="0.25">
      <c r="A139" s="35" t="s">
        <v>20</v>
      </c>
      <c r="B139" s="8">
        <f t="shared" ref="B139:O139" si="3">B47/B52*100</f>
        <v>5.8881251136199877</v>
      </c>
      <c r="C139" s="8">
        <f t="shared" si="3"/>
        <v>5.7266976435238419</v>
      </c>
      <c r="D139" s="8">
        <f t="shared" si="3"/>
        <v>6.1864836837808621</v>
      </c>
      <c r="E139" s="8">
        <f t="shared" si="3"/>
        <v>6.0775626680900867</v>
      </c>
      <c r="F139" s="8">
        <f t="shared" si="3"/>
        <v>5.737055690330287</v>
      </c>
      <c r="G139" s="8">
        <f t="shared" si="3"/>
        <v>6.3300816824582427</v>
      </c>
      <c r="H139" s="8">
        <f t="shared" si="3"/>
        <v>6.7887235166709416</v>
      </c>
      <c r="I139" s="8">
        <f t="shared" si="3"/>
        <v>6.2085054507503008</v>
      </c>
      <c r="J139" s="8">
        <f t="shared" si="3"/>
        <v>6.6480981743076386</v>
      </c>
      <c r="K139" s="8">
        <f t="shared" si="3"/>
        <v>6.0256677273380337</v>
      </c>
      <c r="L139" s="8">
        <f t="shared" si="3"/>
        <v>6.2633756306750525</v>
      </c>
      <c r="M139" s="8">
        <f t="shared" si="3"/>
        <v>6.1898422337822039</v>
      </c>
      <c r="N139" s="8">
        <f t="shared" si="3"/>
        <v>5.8626820121929279</v>
      </c>
      <c r="O139" s="8">
        <f t="shared" si="3"/>
        <v>6.3922726988354537</v>
      </c>
    </row>
    <row r="140" spans="1:16" s="19" customFormat="1" ht="14.4" x14ac:dyDescent="0.25">
      <c r="A140" s="35">
        <v>2015</v>
      </c>
      <c r="B140" s="8">
        <f t="shared" ref="B140:O140" si="4">B48/B53*100</f>
        <v>5.5288780013872039</v>
      </c>
      <c r="C140" s="8">
        <f t="shared" si="4"/>
        <v>5.8414524308708833</v>
      </c>
      <c r="D140" s="8">
        <f t="shared" si="4"/>
        <v>6.2738068563746365</v>
      </c>
      <c r="E140" s="8">
        <f t="shared" si="4"/>
        <v>5.3505539825983526</v>
      </c>
      <c r="F140" s="8">
        <f t="shared" si="4"/>
        <v>5.0906609283957769</v>
      </c>
      <c r="G140" s="8">
        <f t="shared" si="4"/>
        <v>6.1901581917925377</v>
      </c>
      <c r="H140" s="8">
        <f t="shared" si="4"/>
        <v>7.1440398340135634</v>
      </c>
      <c r="I140" s="8">
        <f t="shared" si="4"/>
        <v>5.7422487648419143</v>
      </c>
      <c r="J140" s="8">
        <f t="shared" si="4"/>
        <v>6.4698036682702593</v>
      </c>
      <c r="K140" s="8">
        <f t="shared" si="4"/>
        <v>5.2016243953010521</v>
      </c>
      <c r="L140" s="8">
        <f t="shared" si="4"/>
        <v>5.5453002494188555</v>
      </c>
      <c r="M140" s="8">
        <f t="shared" si="4"/>
        <v>6.6295962471764005</v>
      </c>
      <c r="N140" s="8">
        <f t="shared" si="4"/>
        <v>5.6619228527206573</v>
      </c>
      <c r="O140" s="8">
        <f t="shared" si="4"/>
        <v>6.6318729896450188</v>
      </c>
    </row>
    <row r="141" spans="1:16" s="19" customFormat="1" ht="14.4" x14ac:dyDescent="0.25">
      <c r="A141" s="35">
        <v>2010</v>
      </c>
      <c r="B141" s="8">
        <f t="shared" ref="B141:O141" si="5">B49/B54*100</f>
        <v>5.6216845742365695</v>
      </c>
      <c r="C141" s="8">
        <f t="shared" si="5"/>
        <v>6.3097433824334459</v>
      </c>
      <c r="D141" s="8">
        <f t="shared" si="5"/>
        <v>6.0093665381329302</v>
      </c>
      <c r="E141" s="8">
        <f t="shared" si="5"/>
        <v>5.2485166514953319</v>
      </c>
      <c r="F141" s="8">
        <f t="shared" si="5"/>
        <v>5.209976953122446</v>
      </c>
      <c r="G141" s="8">
        <f t="shared" si="5"/>
        <v>6.158373903237341</v>
      </c>
      <c r="H141" s="8">
        <f t="shared" si="5"/>
        <v>6.9872205119580935</v>
      </c>
      <c r="I141" s="8">
        <f t="shared" si="5"/>
        <v>6.0961247832921401</v>
      </c>
      <c r="J141" s="8">
        <f t="shared" si="5"/>
        <v>7.6445881097043893</v>
      </c>
      <c r="K141" s="8">
        <f t="shared" si="5"/>
        <v>5.4409501519782761</v>
      </c>
      <c r="L141" s="8">
        <f t="shared" si="5"/>
        <v>6.1284816731523986</v>
      </c>
      <c r="M141" s="8">
        <f t="shared" si="5"/>
        <v>6.7855449434396808</v>
      </c>
      <c r="N141" s="8">
        <f t="shared" si="5"/>
        <v>5.6681578891936866</v>
      </c>
      <c r="O141" s="8">
        <f t="shared" si="5"/>
        <v>5.7780512745432207</v>
      </c>
    </row>
    <row r="142" spans="1:16" s="19" customFormat="1" ht="14.4" x14ac:dyDescent="0.25">
      <c r="A142" s="36"/>
    </row>
    <row r="143" spans="1:16" s="19" customFormat="1" ht="28.8" customHeight="1" x14ac:dyDescent="0.25">
      <c r="A143" s="35" t="s">
        <v>63</v>
      </c>
      <c r="B143" s="8">
        <f t="shared" ref="B143:O143" si="6">B22/B27*100</f>
        <v>15.390712948715388</v>
      </c>
      <c r="C143" s="8">
        <f t="shared" si="6"/>
        <v>13.792809859304825</v>
      </c>
      <c r="D143" s="8">
        <f t="shared" si="6"/>
        <v>13.166325835037492</v>
      </c>
      <c r="E143" s="8">
        <f t="shared" si="6"/>
        <v>17.062908001593048</v>
      </c>
      <c r="F143" s="8">
        <f t="shared" si="6"/>
        <v>18.408078206800742</v>
      </c>
      <c r="G143" s="8">
        <f t="shared" si="6"/>
        <v>13.088668138337011</v>
      </c>
      <c r="H143" s="8">
        <f t="shared" si="6"/>
        <v>13.274048014593308</v>
      </c>
      <c r="I143" s="8">
        <f t="shared" si="6"/>
        <v>13.955133387227164</v>
      </c>
      <c r="J143" s="8">
        <f t="shared" si="6"/>
        <v>15.380422085507359</v>
      </c>
      <c r="K143" s="8">
        <f t="shared" si="6"/>
        <v>17.071805361179891</v>
      </c>
      <c r="L143" s="8">
        <f t="shared" si="6"/>
        <v>19.242279147713671</v>
      </c>
      <c r="M143" s="8">
        <f t="shared" si="6"/>
        <v>18.357136926015112</v>
      </c>
      <c r="N143" s="8">
        <f t="shared" si="6"/>
        <v>18.939669822772519</v>
      </c>
      <c r="O143" s="8">
        <f t="shared" si="6"/>
        <v>16.547808820650502</v>
      </c>
    </row>
    <row r="144" spans="1:16" s="19" customFormat="1" ht="14.4" x14ac:dyDescent="0.25">
      <c r="A144" s="35">
        <v>2015</v>
      </c>
      <c r="B144" s="8">
        <f t="shared" ref="B144:O144" si="7">B23/B28*100</f>
        <v>15.620899996454051</v>
      </c>
      <c r="C144" s="8">
        <f t="shared" si="7"/>
        <v>12.629517917430721</v>
      </c>
      <c r="D144" s="8">
        <f t="shared" si="7"/>
        <v>12.583508332013812</v>
      </c>
      <c r="E144" s="8">
        <f t="shared" si="7"/>
        <v>15.396816651598574</v>
      </c>
      <c r="F144" s="8">
        <f t="shared" si="7"/>
        <v>17.502986926944502</v>
      </c>
      <c r="G144" s="8">
        <f t="shared" si="7"/>
        <v>14.040507199482283</v>
      </c>
      <c r="H144" s="8">
        <f t="shared" si="7"/>
        <v>13.765132257938969</v>
      </c>
      <c r="I144" s="8">
        <f t="shared" si="7"/>
        <v>14.670527953903395</v>
      </c>
      <c r="J144" s="8">
        <f t="shared" si="7"/>
        <v>16.10263231384139</v>
      </c>
      <c r="K144" s="8">
        <f t="shared" si="7"/>
        <v>17.196235234986318</v>
      </c>
      <c r="L144" s="8">
        <f t="shared" si="7"/>
        <v>17.642412700641525</v>
      </c>
      <c r="M144" s="8">
        <f t="shared" si="7"/>
        <v>17.101523629599711</v>
      </c>
      <c r="N144" s="8">
        <f t="shared" si="7"/>
        <v>15.434190975307867</v>
      </c>
      <c r="O144" s="8">
        <f t="shared" si="7"/>
        <v>16.913009354430979</v>
      </c>
    </row>
    <row r="145" spans="1:15" s="19" customFormat="1" ht="14.4" x14ac:dyDescent="0.25">
      <c r="A145" s="35">
        <v>2010</v>
      </c>
      <c r="B145" s="8">
        <f t="shared" ref="B145:O145" si="8">B24/B29*100</f>
        <v>13.371915001652473</v>
      </c>
      <c r="C145" s="8">
        <f t="shared" si="8"/>
        <v>14.058194067711312</v>
      </c>
      <c r="D145" s="8">
        <f t="shared" si="8"/>
        <v>13.912547667354195</v>
      </c>
      <c r="E145" s="8">
        <f t="shared" si="8"/>
        <v>14.169932180184691</v>
      </c>
      <c r="F145" s="8">
        <f t="shared" si="8"/>
        <v>17.235729396703377</v>
      </c>
      <c r="G145" s="8">
        <f t="shared" si="8"/>
        <v>16.252314194593751</v>
      </c>
      <c r="H145" s="8">
        <f t="shared" si="8"/>
        <v>16.730804264609752</v>
      </c>
      <c r="I145" s="8">
        <f t="shared" si="8"/>
        <v>13.614052794185453</v>
      </c>
      <c r="J145" s="8">
        <f t="shared" si="8"/>
        <v>16.999754177904965</v>
      </c>
      <c r="K145" s="8">
        <f t="shared" si="8"/>
        <v>19.701229868573662</v>
      </c>
      <c r="L145" s="8">
        <f t="shared" si="8"/>
        <v>20.822110779676891</v>
      </c>
      <c r="M145" s="8">
        <f t="shared" si="8"/>
        <v>16.740146217091365</v>
      </c>
      <c r="N145" s="8">
        <f t="shared" si="8"/>
        <v>15.292730100662737</v>
      </c>
      <c r="O145" s="8">
        <f t="shared" si="8"/>
        <v>14.133566933308744</v>
      </c>
    </row>
    <row r="146" spans="1:15" s="19" customFormat="1" x14ac:dyDescent="0.25"/>
    <row r="147" spans="1:15" s="19" customFormat="1" ht="28.8" x14ac:dyDescent="0.25">
      <c r="A147" s="35" t="s">
        <v>84</v>
      </c>
      <c r="B147" s="8">
        <f t="shared" ref="B147:O147" si="9">B57/B12</f>
        <v>176.08043097964375</v>
      </c>
      <c r="C147" s="8">
        <f t="shared" si="9"/>
        <v>71.023032973790066</v>
      </c>
      <c r="D147" s="8">
        <f t="shared" si="9"/>
        <v>146.45019262520637</v>
      </c>
      <c r="E147" s="8">
        <f t="shared" si="9"/>
        <v>50.323687934720425</v>
      </c>
      <c r="F147" s="8">
        <f t="shared" si="9"/>
        <v>13.44814447915873</v>
      </c>
      <c r="G147" s="8">
        <f t="shared" si="9"/>
        <v>30.060413984351786</v>
      </c>
      <c r="H147" s="8">
        <f t="shared" si="9"/>
        <v>29.052863018631889</v>
      </c>
      <c r="I147" s="8">
        <f t="shared" si="9"/>
        <v>28.368046401265488</v>
      </c>
      <c r="J147" s="8">
        <f t="shared" si="9"/>
        <v>30.674735092457926</v>
      </c>
      <c r="K147" s="8">
        <f t="shared" si="9"/>
        <v>19.238991021804189</v>
      </c>
      <c r="L147" s="8">
        <f t="shared" si="9"/>
        <v>16.253162644915221</v>
      </c>
      <c r="M147" s="8">
        <f t="shared" si="9"/>
        <v>17.018722995679308</v>
      </c>
      <c r="N147" s="8">
        <f t="shared" si="9"/>
        <v>22.841989758595464</v>
      </c>
      <c r="O147" s="8">
        <f t="shared" si="9"/>
        <v>33.154886491708261</v>
      </c>
    </row>
    <row r="148" spans="1:15" s="19" customFormat="1" ht="14.4" x14ac:dyDescent="0.25">
      <c r="A148" s="35">
        <v>2015</v>
      </c>
      <c r="B148" s="8">
        <f t="shared" ref="B148:O148" si="10">B58/B13</f>
        <v>193.36499905810169</v>
      </c>
      <c r="C148" s="8">
        <f t="shared" si="10"/>
        <v>52.978377702787149</v>
      </c>
      <c r="D148" s="8">
        <f t="shared" si="10"/>
        <v>116.53150122180118</v>
      </c>
      <c r="E148" s="8">
        <f t="shared" si="10"/>
        <v>37.260647359454858</v>
      </c>
      <c r="F148" s="8">
        <f t="shared" si="10"/>
        <v>10.067890438877949</v>
      </c>
      <c r="G148" s="8">
        <f t="shared" si="10"/>
        <v>21.589213387337455</v>
      </c>
      <c r="H148" s="8">
        <f t="shared" si="10"/>
        <v>18.701552045722892</v>
      </c>
      <c r="I148" s="8">
        <f t="shared" si="10"/>
        <v>22.099737532808398</v>
      </c>
      <c r="J148" s="8">
        <f t="shared" si="10"/>
        <v>19.146523967167024</v>
      </c>
      <c r="K148" s="8">
        <f t="shared" si="10"/>
        <v>12.862035431905628</v>
      </c>
      <c r="L148" s="8">
        <f t="shared" si="10"/>
        <v>12.21061937123598</v>
      </c>
      <c r="M148" s="8">
        <f t="shared" si="10"/>
        <v>15.064468744899624</v>
      </c>
      <c r="N148" s="8">
        <f t="shared" si="10"/>
        <v>15.625807118136267</v>
      </c>
      <c r="O148" s="8">
        <f t="shared" si="10"/>
        <v>25.295122414120328</v>
      </c>
    </row>
    <row r="149" spans="1:15" s="19" customFormat="1" ht="14.4" x14ac:dyDescent="0.25">
      <c r="A149" s="35">
        <v>2010</v>
      </c>
      <c r="B149" s="8">
        <f t="shared" ref="B149:O149" si="11">B59/B14</f>
        <v>201.06949593080233</v>
      </c>
      <c r="C149" s="8">
        <f t="shared" si="11"/>
        <v>46.999040730082186</v>
      </c>
      <c r="D149" s="8">
        <f t="shared" si="11"/>
        <v>100.93379841581279</v>
      </c>
      <c r="E149" s="8">
        <f t="shared" si="11"/>
        <v>30.619439315091487</v>
      </c>
      <c r="F149" s="8">
        <f t="shared" si="11"/>
        <v>29.307273375069986</v>
      </c>
      <c r="G149" s="8">
        <f t="shared" si="11"/>
        <v>64.370220275835024</v>
      </c>
      <c r="H149" s="8">
        <f t="shared" si="11"/>
        <v>55.108287611897197</v>
      </c>
      <c r="I149" s="8">
        <f t="shared" si="11"/>
        <v>70.118807442277514</v>
      </c>
      <c r="J149" s="8">
        <f t="shared" si="11"/>
        <v>48.364771339394764</v>
      </c>
      <c r="K149" s="8">
        <f t="shared" si="11"/>
        <v>37.682542012181692</v>
      </c>
      <c r="L149" s="8">
        <f t="shared" si="11"/>
        <v>45.577909802862543</v>
      </c>
      <c r="M149" s="8">
        <f t="shared" si="11"/>
        <v>51.939389545421591</v>
      </c>
      <c r="N149" s="8">
        <f t="shared" si="11"/>
        <v>57.43218806509946</v>
      </c>
      <c r="O149" s="8">
        <f t="shared" si="11"/>
        <v>76.924233313289236</v>
      </c>
    </row>
    <row r="150" spans="1:15" s="19" customFormat="1" ht="14.4" x14ac:dyDescent="0.25">
      <c r="A150" s="36"/>
    </row>
    <row r="151" spans="1:15" s="19" customFormat="1" ht="14.4" x14ac:dyDescent="0.25">
      <c r="A151" s="35" t="s">
        <v>24</v>
      </c>
      <c r="B151" s="8">
        <f t="shared" ref="B151:O151" si="12">B67/B12</f>
        <v>32.58687181933842</v>
      </c>
      <c r="C151" s="8">
        <f t="shared" si="12"/>
        <v>28.290333324793114</v>
      </c>
      <c r="D151" s="8">
        <f t="shared" si="12"/>
        <v>30.702623371858373</v>
      </c>
      <c r="E151" s="8">
        <f t="shared" si="12"/>
        <v>27.835656860678689</v>
      </c>
      <c r="F151" s="8">
        <f t="shared" si="12"/>
        <v>24.491351063019128</v>
      </c>
      <c r="G151" s="8">
        <f t="shared" si="12"/>
        <v>27.14469644448846</v>
      </c>
      <c r="H151" s="8">
        <f t="shared" si="12"/>
        <v>33.78001857502985</v>
      </c>
      <c r="I151" s="8">
        <f t="shared" si="12"/>
        <v>26.423675191141577</v>
      </c>
      <c r="J151" s="8">
        <f t="shared" si="12"/>
        <v>28.82817369623935</v>
      </c>
      <c r="K151" s="8">
        <f t="shared" si="12"/>
        <v>27.28088926891834</v>
      </c>
      <c r="L151" s="8">
        <f t="shared" si="12"/>
        <v>27.257278803670555</v>
      </c>
      <c r="M151" s="8">
        <f t="shared" si="12"/>
        <v>28.29834591716493</v>
      </c>
      <c r="N151" s="8">
        <f t="shared" si="12"/>
        <v>27.04305570070018</v>
      </c>
      <c r="O151" s="8">
        <f t="shared" si="12"/>
        <v>26.304137819996779</v>
      </c>
    </row>
    <row r="152" spans="1:15" s="19" customFormat="1" ht="14.4" x14ac:dyDescent="0.25">
      <c r="A152" s="35">
        <v>2015</v>
      </c>
      <c r="B152" s="8">
        <f t="shared" ref="B152:O152" si="13">B68/B13</f>
        <v>33.920449958287364</v>
      </c>
      <c r="C152" s="8">
        <f t="shared" si="13"/>
        <v>20.494938132733409</v>
      </c>
      <c r="D152" s="8">
        <f t="shared" si="13"/>
        <v>22.020752912844848</v>
      </c>
      <c r="E152" s="8">
        <f t="shared" si="13"/>
        <v>21.661328790459965</v>
      </c>
      <c r="F152" s="8">
        <f t="shared" si="13"/>
        <v>15.004750953633447</v>
      </c>
      <c r="G152" s="8">
        <f t="shared" si="13"/>
        <v>21.942727208129043</v>
      </c>
      <c r="H152" s="8">
        <f t="shared" si="13"/>
        <v>20.346001813857185</v>
      </c>
      <c r="I152" s="8">
        <f t="shared" si="13"/>
        <v>19.435695538057743</v>
      </c>
      <c r="J152" s="8">
        <f t="shared" si="13"/>
        <v>20.658927032787631</v>
      </c>
      <c r="K152" s="8">
        <f t="shared" si="13"/>
        <v>19.487548095217964</v>
      </c>
      <c r="L152" s="8">
        <f t="shared" si="13"/>
        <v>18.08571375950789</v>
      </c>
      <c r="M152" s="8">
        <f t="shared" si="13"/>
        <v>18.573527011588052</v>
      </c>
      <c r="N152" s="8">
        <f t="shared" si="13"/>
        <v>18.996332455188799</v>
      </c>
      <c r="O152" s="8">
        <f t="shared" si="13"/>
        <v>18.284304422091481</v>
      </c>
    </row>
    <row r="153" spans="1:15" s="19" customFormat="1" ht="14.4" x14ac:dyDescent="0.25">
      <c r="A153" s="35">
        <v>2010</v>
      </c>
      <c r="B153" s="8">
        <f t="shared" ref="B153:O153" si="14">B69/B14</f>
        <v>25.92639936369963</v>
      </c>
      <c r="C153" s="8">
        <f t="shared" si="14"/>
        <v>20.095408467501493</v>
      </c>
      <c r="D153" s="8">
        <f t="shared" si="14"/>
        <v>20.082116125281591</v>
      </c>
      <c r="E153" s="8">
        <f t="shared" si="14"/>
        <v>14.457780762128587</v>
      </c>
      <c r="F153" s="8">
        <f t="shared" si="14"/>
        <v>38.942332162671143</v>
      </c>
      <c r="G153" s="8">
        <f t="shared" si="14"/>
        <v>45.238250866069677</v>
      </c>
      <c r="H153" s="8">
        <f t="shared" si="14"/>
        <v>50.822985850418711</v>
      </c>
      <c r="I153" s="8">
        <f t="shared" si="14"/>
        <v>50.078457744900248</v>
      </c>
      <c r="J153" s="8">
        <f t="shared" si="14"/>
        <v>39.801872710001355</v>
      </c>
      <c r="K153" s="8">
        <f t="shared" si="14"/>
        <v>58.009833418947672</v>
      </c>
      <c r="L153" s="8">
        <f t="shared" si="14"/>
        <v>42.99216851201728</v>
      </c>
      <c r="M153" s="8">
        <f t="shared" si="14"/>
        <v>49.691872689045162</v>
      </c>
      <c r="N153" s="8">
        <f t="shared" si="14"/>
        <v>52.766726943942139</v>
      </c>
      <c r="O153" s="8">
        <f t="shared" si="14"/>
        <v>59.079975947083589</v>
      </c>
    </row>
    <row r="154" spans="1:15" s="19" customFormat="1" ht="14.4" x14ac:dyDescent="0.25">
      <c r="A154" s="36"/>
    </row>
    <row r="155" spans="1:15" s="19" customFormat="1" ht="28.8" x14ac:dyDescent="0.25">
      <c r="A155" s="35" t="s">
        <v>25</v>
      </c>
      <c r="B155" s="8">
        <f t="shared" ref="B155:O155" si="15">B72/B12</f>
        <v>82.677321882951645</v>
      </c>
      <c r="C155" s="8">
        <f t="shared" si="15"/>
        <v>76.298326970869311</v>
      </c>
      <c r="D155" s="8">
        <f t="shared" si="15"/>
        <v>77.886626307099618</v>
      </c>
      <c r="E155" s="8">
        <f t="shared" si="15"/>
        <v>75.453915871247474</v>
      </c>
      <c r="F155" s="8">
        <f t="shared" si="15"/>
        <v>70.200411491274863</v>
      </c>
      <c r="G155" s="8">
        <f t="shared" si="15"/>
        <v>76.222640388234126</v>
      </c>
      <c r="H155" s="8">
        <f t="shared" si="15"/>
        <v>81.078109895941921</v>
      </c>
      <c r="I155" s="8">
        <f t="shared" si="15"/>
        <v>68.553915106775634</v>
      </c>
      <c r="J155" s="8">
        <f t="shared" si="15"/>
        <v>78.217847496364016</v>
      </c>
      <c r="K155" s="8">
        <f t="shared" si="15"/>
        <v>76.447199657973485</v>
      </c>
      <c r="L155" s="8">
        <f t="shared" si="15"/>
        <v>79.381443298969074</v>
      </c>
      <c r="M155" s="8">
        <f t="shared" si="15"/>
        <v>84.45860428577663</v>
      </c>
      <c r="N155" s="8">
        <f t="shared" si="15"/>
        <v>76.329815027693598</v>
      </c>
      <c r="O155" s="8">
        <f t="shared" si="15"/>
        <v>88.407663822250839</v>
      </c>
    </row>
    <row r="156" spans="1:15" s="19" customFormat="1" ht="14.4" x14ac:dyDescent="0.25">
      <c r="A156" s="35">
        <v>2015</v>
      </c>
      <c r="B156" s="8">
        <f t="shared" ref="B156:O156" si="16">B73/B13</f>
        <v>88.183212680642654</v>
      </c>
      <c r="C156" s="8">
        <f t="shared" si="16"/>
        <v>55.143107111611045</v>
      </c>
      <c r="D156" s="8">
        <f t="shared" si="16"/>
        <v>58.805822148245213</v>
      </c>
      <c r="E156" s="8">
        <f t="shared" si="16"/>
        <v>55.41260647359455</v>
      </c>
      <c r="F156" s="8">
        <f t="shared" si="16"/>
        <v>45.441150143905702</v>
      </c>
      <c r="G156" s="8">
        <f t="shared" si="16"/>
        <v>53.341505009592844</v>
      </c>
      <c r="H156" s="8">
        <f t="shared" si="16"/>
        <v>55.13441366210921</v>
      </c>
      <c r="I156" s="8">
        <f t="shared" si="16"/>
        <v>52.257217847769027</v>
      </c>
      <c r="J156" s="8">
        <f t="shared" si="16"/>
        <v>50.904720874336768</v>
      </c>
      <c r="K156" s="8">
        <f t="shared" si="16"/>
        <v>60.908629656251321</v>
      </c>
      <c r="L156" s="8">
        <f t="shared" si="16"/>
        <v>59.98858132125163</v>
      </c>
      <c r="M156" s="8">
        <f t="shared" si="16"/>
        <v>57.50367227027909</v>
      </c>
      <c r="N156" s="8">
        <f t="shared" si="16"/>
        <v>52.98569140968025</v>
      </c>
      <c r="O156" s="8">
        <f t="shared" si="16"/>
        <v>60.151831467071553</v>
      </c>
    </row>
    <row r="157" spans="1:15" s="19" customFormat="1" ht="14.4" x14ac:dyDescent="0.25">
      <c r="A157" s="35">
        <v>2010</v>
      </c>
      <c r="B157" s="8">
        <f t="shared" ref="B157:O157" si="17">B74/B14</f>
        <v>60.546536565966449</v>
      </c>
      <c r="C157" s="8">
        <f t="shared" si="17"/>
        <v>43.006403774856757</v>
      </c>
      <c r="D157" s="8">
        <f t="shared" si="17"/>
        <v>40.509410653295539</v>
      </c>
      <c r="E157" s="8">
        <f t="shared" si="17"/>
        <v>30.629231716188237</v>
      </c>
      <c r="F157" s="8">
        <f t="shared" si="17"/>
        <v>91.652669618771313</v>
      </c>
      <c r="G157" s="8">
        <f t="shared" si="17"/>
        <v>96.202366167723369</v>
      </c>
      <c r="H157" s="8">
        <f t="shared" si="17"/>
        <v>109.3849263644239</v>
      </c>
      <c r="I157" s="8">
        <f t="shared" si="17"/>
        <v>125.5099753418516</v>
      </c>
      <c r="J157" s="8">
        <f t="shared" si="17"/>
        <v>79.345908535757914</v>
      </c>
      <c r="K157" s="8">
        <f t="shared" si="17"/>
        <v>131.00462317457988</v>
      </c>
      <c r="L157" s="8">
        <f t="shared" si="17"/>
        <v>106.15716986227383</v>
      </c>
      <c r="M157" s="8">
        <f t="shared" si="17"/>
        <v>128.40571304284782</v>
      </c>
      <c r="N157" s="8">
        <f t="shared" si="17"/>
        <v>96.084990958408682</v>
      </c>
      <c r="O157" s="8">
        <f t="shared" si="17"/>
        <v>152.46542393265185</v>
      </c>
    </row>
    <row r="158" spans="1:15" s="19" customFormat="1" ht="28.8" x14ac:dyDescent="0.25">
      <c r="A158" s="36" t="s">
        <v>27</v>
      </c>
      <c r="B158" s="19">
        <f>B119/B12*100</f>
        <v>41.355558206106871</v>
      </c>
      <c r="C158" s="19">
        <f t="shared" ref="C158:O158" si="18">C119/C12*100</f>
        <v>59.465553021956907</v>
      </c>
      <c r="D158" s="19">
        <f t="shared" si="18"/>
        <v>23.371858374610163</v>
      </c>
      <c r="E158" s="19">
        <f t="shared" si="18"/>
        <v>20.937340037939233</v>
      </c>
      <c r="F158" s="19">
        <f t="shared" si="18"/>
        <v>18.745713632553532</v>
      </c>
      <c r="G158" s="19">
        <f t="shared" si="18"/>
        <v>53.110824997524006</v>
      </c>
      <c r="H158" s="19">
        <f t="shared" si="18"/>
        <v>26.952747398548109</v>
      </c>
      <c r="I158" s="19">
        <f t="shared" si="18"/>
        <v>64.724492486158709</v>
      </c>
      <c r="J158" s="19">
        <f t="shared" si="18"/>
        <v>9.2899439019322667</v>
      </c>
      <c r="K158" s="19">
        <f t="shared" si="18"/>
        <v>13.080376229157759</v>
      </c>
      <c r="L158" s="19">
        <f t="shared" si="18"/>
        <v>13.25478645066274</v>
      </c>
      <c r="M158" s="19">
        <f t="shared" si="18"/>
        <v>14.624885436215248</v>
      </c>
      <c r="N158" s="19">
        <f t="shared" si="18"/>
        <v>17.820566412373289</v>
      </c>
      <c r="O158" s="19">
        <f t="shared" si="18"/>
        <v>7.5068426984382537</v>
      </c>
    </row>
    <row r="159" spans="1:15" s="19" customFormat="1" ht="14.4" x14ac:dyDescent="0.25">
      <c r="A159" s="36"/>
      <c r="B159" s="19">
        <f t="shared" ref="B159:O160" si="19">B120/B13*100</f>
        <v>27.61242229338788</v>
      </c>
      <c r="C159" s="19">
        <f t="shared" si="19"/>
        <v>21.847269091363579</v>
      </c>
      <c r="D159" s="19">
        <f t="shared" si="19"/>
        <v>16.149024329780076</v>
      </c>
      <c r="E159" s="19">
        <f t="shared" si="19"/>
        <v>63.205451448040883</v>
      </c>
      <c r="F159" s="19">
        <f t="shared" si="19"/>
        <v>10.217993031934672</v>
      </c>
      <c r="G159" s="19">
        <f t="shared" si="19"/>
        <v>29.741348681873092</v>
      </c>
      <c r="H159" s="19">
        <f t="shared" si="19"/>
        <v>17.300090692859222</v>
      </c>
      <c r="I159" s="19">
        <f t="shared" si="19"/>
        <v>0.63648293963254587</v>
      </c>
      <c r="J159" s="19">
        <f t="shared" si="19"/>
        <v>13.407555212915515</v>
      </c>
      <c r="K159" s="19">
        <f t="shared" si="19"/>
        <v>7.6740941186419178</v>
      </c>
      <c r="L159" s="19">
        <f t="shared" si="19"/>
        <v>9.6064239276571435</v>
      </c>
      <c r="M159" s="19">
        <f t="shared" si="19"/>
        <v>11.218785702627713</v>
      </c>
      <c r="N159" s="19">
        <f t="shared" si="19"/>
        <v>12.634950152383903</v>
      </c>
      <c r="O159" s="19">
        <f t="shared" si="19"/>
        <v>4.668817612450181</v>
      </c>
    </row>
    <row r="160" spans="1:15" s="19" customFormat="1" ht="14.4" x14ac:dyDescent="0.25">
      <c r="A160" s="36"/>
      <c r="B160" s="19">
        <f t="shared" si="19"/>
        <v>19.485278452426606</v>
      </c>
      <c r="C160" s="19">
        <f t="shared" si="19"/>
        <v>17.111301236680411</v>
      </c>
      <c r="D160" s="19">
        <f t="shared" si="19"/>
        <v>6.1768766804738018</v>
      </c>
      <c r="E160" s="19">
        <f t="shared" si="19"/>
        <v>7.7499860108555749</v>
      </c>
      <c r="F160" s="19">
        <f t="shared" si="19"/>
        <v>33.287524812948547</v>
      </c>
      <c r="G160" s="19">
        <f t="shared" si="19"/>
        <v>37.466501078501864</v>
      </c>
      <c r="H160" s="19">
        <f t="shared" si="19"/>
        <v>44.874386370199247</v>
      </c>
      <c r="I160" s="19">
        <f t="shared" si="19"/>
        <v>26.272136292311142</v>
      </c>
      <c r="J160" s="19">
        <f t="shared" si="19"/>
        <v>13897.408060795224</v>
      </c>
      <c r="K160" s="19">
        <f t="shared" si="19"/>
        <v>8.5858956483451951</v>
      </c>
      <c r="L160" s="19">
        <f t="shared" si="19"/>
        <v>24.507156359708343</v>
      </c>
      <c r="M160" s="19">
        <f t="shared" si="19"/>
        <v>11.092583194373958</v>
      </c>
      <c r="N160" s="19">
        <f t="shared" si="19"/>
        <v>35.87703435804702</v>
      </c>
      <c r="O160" s="19">
        <f t="shared" si="19"/>
        <v>13.319302465423933</v>
      </c>
    </row>
    <row r="161" spans="1:15" s="19" customFormat="1" ht="14.4" x14ac:dyDescent="0.25">
      <c r="A161" s="36"/>
    </row>
    <row r="162" spans="1:15" s="19" customFormat="1" ht="43.2" x14ac:dyDescent="0.25">
      <c r="A162" s="35" t="s">
        <v>65</v>
      </c>
      <c r="B162" s="8">
        <f t="shared" ref="B162:O162" si="20">B32/B27*100</f>
        <v>8.4417444362289586</v>
      </c>
      <c r="C162" s="8">
        <f t="shared" si="20"/>
        <v>10.161554671037228</v>
      </c>
      <c r="D162" s="8">
        <f t="shared" si="20"/>
        <v>12.733469665985004</v>
      </c>
      <c r="E162" s="8">
        <f t="shared" si="20"/>
        <v>15.55990372461083</v>
      </c>
      <c r="F162" s="8">
        <f t="shared" si="20"/>
        <v>13.511681886722124</v>
      </c>
      <c r="G162" s="8">
        <f t="shared" si="20"/>
        <v>12.498160412067696</v>
      </c>
      <c r="H162" s="8">
        <f t="shared" si="20"/>
        <v>13.958109384670511</v>
      </c>
      <c r="I162" s="8">
        <f t="shared" si="20"/>
        <v>12.136216653193211</v>
      </c>
      <c r="J162" s="8">
        <f t="shared" si="20"/>
        <v>14.212288762557431</v>
      </c>
      <c r="K162" s="8">
        <f t="shared" si="20"/>
        <v>13.575196468941758</v>
      </c>
      <c r="L162" s="8">
        <f t="shared" si="20"/>
        <v>14.709520389434202</v>
      </c>
      <c r="M162" s="8">
        <f t="shared" si="20"/>
        <v>13.912646350577095</v>
      </c>
      <c r="N162" s="8">
        <f t="shared" si="20"/>
        <v>13.862588006797766</v>
      </c>
      <c r="O162" s="8">
        <f t="shared" si="20"/>
        <v>12.32765612327656</v>
      </c>
    </row>
    <row r="163" spans="1:15" s="19" customFormat="1" ht="14.4" x14ac:dyDescent="0.25">
      <c r="A163" s="35">
        <v>2015</v>
      </c>
      <c r="B163" s="8">
        <f t="shared" ref="B163:O163" si="21">B33/B28*100</f>
        <v>7.3450658119488104</v>
      </c>
      <c r="C163" s="8">
        <f t="shared" si="21"/>
        <v>13.091777918687484</v>
      </c>
      <c r="D163" s="8">
        <f t="shared" si="21"/>
        <v>15.93089347533968</v>
      </c>
      <c r="E163" s="8">
        <f t="shared" si="21"/>
        <v>15.317508416207831</v>
      </c>
      <c r="F163" s="8">
        <f t="shared" si="21"/>
        <v>16.806858812713028</v>
      </c>
      <c r="G163" s="8">
        <f t="shared" si="21"/>
        <v>18.688744795170258</v>
      </c>
      <c r="H163" s="8">
        <f t="shared" si="21"/>
        <v>16.526416185215041</v>
      </c>
      <c r="I163" s="8">
        <f t="shared" si="21"/>
        <v>12.966461286987935</v>
      </c>
      <c r="J163" s="8">
        <f t="shared" si="21"/>
        <v>17.610853022113879</v>
      </c>
      <c r="K163" s="8">
        <f t="shared" si="21"/>
        <v>13.335566596923377</v>
      </c>
      <c r="L163" s="8">
        <f t="shared" si="21"/>
        <v>15.878547949711766</v>
      </c>
      <c r="M163" s="8">
        <f t="shared" si="21"/>
        <v>16.853885648205214</v>
      </c>
      <c r="N163" s="8">
        <f t="shared" si="21"/>
        <v>16.124431756291003</v>
      </c>
      <c r="O163" s="8">
        <f t="shared" si="21"/>
        <v>12.843939474529384</v>
      </c>
    </row>
    <row r="164" spans="1:15" s="19" customFormat="1" ht="14.4" x14ac:dyDescent="0.25">
      <c r="A164" s="35">
        <v>2010</v>
      </c>
      <c r="B164" s="8">
        <f t="shared" ref="B164:O164" si="22">B34/B29*100</f>
        <v>10.524256641317178</v>
      </c>
      <c r="C164" s="8">
        <f t="shared" si="22"/>
        <v>15.776139616838519</v>
      </c>
      <c r="D164" s="8">
        <f t="shared" si="22"/>
        <v>21.909053543792172</v>
      </c>
      <c r="E164" s="8">
        <f t="shared" si="22"/>
        <v>18.001606045073402</v>
      </c>
      <c r="F164" s="8">
        <f t="shared" si="22"/>
        <v>17.920448575832371</v>
      </c>
      <c r="G164" s="8">
        <f t="shared" si="22"/>
        <v>18.114738085488966</v>
      </c>
      <c r="H164" s="8">
        <f t="shared" si="22"/>
        <v>21.111769752133515</v>
      </c>
      <c r="I164" s="8">
        <f t="shared" si="22"/>
        <v>15.069868250516432</v>
      </c>
      <c r="J164" s="8">
        <f t="shared" si="22"/>
        <v>21.373760075922199</v>
      </c>
      <c r="K164" s="8">
        <f t="shared" si="22"/>
        <v>14.942478093024208</v>
      </c>
      <c r="L164" s="8">
        <f t="shared" si="22"/>
        <v>17.876947945588768</v>
      </c>
      <c r="M164" s="8">
        <f t="shared" si="22"/>
        <v>18.518770435319102</v>
      </c>
      <c r="N164" s="8">
        <f t="shared" si="22"/>
        <v>15.785684083811551</v>
      </c>
      <c r="O164" s="8">
        <f t="shared" si="22"/>
        <v>16.340664069403783</v>
      </c>
    </row>
    <row r="165" spans="1:15" s="19" customFormat="1" ht="14.4" x14ac:dyDescent="0.25">
      <c r="A165" s="36"/>
    </row>
    <row r="166" spans="1:15" s="19" customFormat="1" ht="28.8" x14ac:dyDescent="0.25">
      <c r="A166" s="35" t="s">
        <v>111</v>
      </c>
      <c r="B166" s="8">
        <f t="shared" ref="B166:O166" si="23">B17/B2*100</f>
        <v>9.0598162490158529</v>
      </c>
      <c r="C166" s="8">
        <f t="shared" si="23"/>
        <v>6.5876746731920912</v>
      </c>
      <c r="D166" s="8">
        <f t="shared" si="23"/>
        <v>4.9578558777713759</v>
      </c>
      <c r="E166" s="8">
        <f t="shared" si="23"/>
        <v>4.9442781815590715</v>
      </c>
      <c r="F166" s="8">
        <f t="shared" si="23"/>
        <v>4.6800929443178232</v>
      </c>
      <c r="G166" s="8">
        <f t="shared" si="23"/>
        <v>3.8167710012370204</v>
      </c>
      <c r="H166" s="8">
        <f t="shared" si="23"/>
        <v>5.0107624968992805</v>
      </c>
      <c r="I166" s="8">
        <f t="shared" si="23"/>
        <v>5.7717180426816128</v>
      </c>
      <c r="J166" s="8">
        <f t="shared" si="23"/>
        <v>4.203983857392581</v>
      </c>
      <c r="K166" s="8">
        <f t="shared" si="23"/>
        <v>5.7297638499922083</v>
      </c>
      <c r="L166" s="8">
        <f t="shared" si="23"/>
        <v>6.1104521516344832</v>
      </c>
      <c r="M166" s="8">
        <f t="shared" si="23"/>
        <v>5.9556065962066436</v>
      </c>
      <c r="N166" s="8">
        <f t="shared" si="23"/>
        <v>4.798385656630594</v>
      </c>
      <c r="O166" s="8">
        <f t="shared" si="23"/>
        <v>8.8910648039607789</v>
      </c>
    </row>
    <row r="167" spans="1:15" s="19" customFormat="1" ht="14.4" x14ac:dyDescent="0.25">
      <c r="A167" s="35">
        <v>2015</v>
      </c>
      <c r="B167" s="8">
        <f t="shared" ref="B167:O167" si="24">B18/B3*100</f>
        <v>8.4481294645322702</v>
      </c>
      <c r="C167" s="8">
        <f t="shared" si="24"/>
        <v>8.1951042991550711</v>
      </c>
      <c r="D167" s="8">
        <f t="shared" si="24"/>
        <v>6.892484293347426</v>
      </c>
      <c r="E167" s="8">
        <f t="shared" si="24"/>
        <v>74.816688320174663</v>
      </c>
      <c r="F167" s="8">
        <f t="shared" si="24"/>
        <v>6.612364816149964</v>
      </c>
      <c r="G167" s="8">
        <f t="shared" si="24"/>
        <v>4.4340188755075731</v>
      </c>
      <c r="H167" s="8">
        <f t="shared" si="24"/>
        <v>5.4870211367948558</v>
      </c>
      <c r="I167" s="8">
        <f t="shared" si="24"/>
        <v>7.0529595711413897</v>
      </c>
      <c r="J167" s="8">
        <f t="shared" si="24"/>
        <v>5.0635922652667951</v>
      </c>
      <c r="K167" s="8">
        <f t="shared" si="24"/>
        <v>8.0837694513610359</v>
      </c>
      <c r="L167" s="8">
        <f t="shared" si="24"/>
        <v>6.5210269500345515</v>
      </c>
      <c r="M167" s="8">
        <f t="shared" si="24"/>
        <v>5.7773964264677007</v>
      </c>
      <c r="N167" s="8">
        <f t="shared" si="24"/>
        <v>4.6391310406763386</v>
      </c>
      <c r="O167" s="8">
        <f t="shared" si="24"/>
        <v>9.2724147635895786</v>
      </c>
    </row>
    <row r="168" spans="1:15" s="19" customFormat="1" ht="14.4" x14ac:dyDescent="0.25">
      <c r="A168" s="35">
        <v>2010</v>
      </c>
      <c r="B168" s="8">
        <f t="shared" ref="B168:O168" si="25">B19/B4*100</f>
        <v>6.9117979529630125</v>
      </c>
      <c r="C168" s="8">
        <f t="shared" si="25"/>
        <v>6.1183476024712267</v>
      </c>
      <c r="D168" s="8">
        <f t="shared" si="25"/>
        <v>5.2996722631737905</v>
      </c>
      <c r="E168" s="8">
        <f t="shared" si="25"/>
        <v>5.3432769618542046</v>
      </c>
      <c r="F168" s="8">
        <f t="shared" si="25"/>
        <v>4.3349695444733189</v>
      </c>
      <c r="G168" s="8">
        <f t="shared" si="25"/>
        <v>3.3714660638187302</v>
      </c>
      <c r="H168" s="8">
        <f t="shared" si="25"/>
        <v>4.6849930080223743</v>
      </c>
      <c r="I168" s="8">
        <f t="shared" si="25"/>
        <v>5.8997855493236555</v>
      </c>
      <c r="J168" s="8">
        <f t="shared" si="25"/>
        <v>3.4390548660639078</v>
      </c>
      <c r="K168" s="8">
        <f t="shared" si="25"/>
        <v>5.7970991717201601</v>
      </c>
      <c r="L168" s="8">
        <f t="shared" si="25"/>
        <v>4.3031903104262001</v>
      </c>
      <c r="M168" s="8">
        <f t="shared" si="25"/>
        <v>5.2852041723463525</v>
      </c>
      <c r="N168" s="8">
        <f t="shared" si="25"/>
        <v>4.4213139632538194</v>
      </c>
      <c r="O168" s="8">
        <f t="shared" si="25"/>
        <v>5.8585688871318444</v>
      </c>
    </row>
    <row r="169" spans="1:15" s="19" customFormat="1" ht="14.4" x14ac:dyDescent="0.25">
      <c r="A169" s="36"/>
    </row>
    <row r="170" spans="1:15" s="19" customFormat="1" ht="28.8" x14ac:dyDescent="0.25">
      <c r="A170" s="35" t="s">
        <v>38</v>
      </c>
      <c r="B170" s="8">
        <f t="shared" ref="B170:O170" si="26">B93/B2*100</f>
        <v>57.482219506329827</v>
      </c>
      <c r="C170" s="8">
        <f t="shared" si="26"/>
        <v>45.483611307875584</v>
      </c>
      <c r="D170" s="8">
        <f t="shared" si="26"/>
        <v>42.643876832469111</v>
      </c>
      <c r="E170" s="8">
        <f t="shared" si="26"/>
        <v>54.367963517172576</v>
      </c>
      <c r="F170" s="8">
        <f t="shared" si="26"/>
        <v>51.199790297715055</v>
      </c>
      <c r="G170" s="8">
        <f t="shared" si="26"/>
        <v>47.966163111794181</v>
      </c>
      <c r="H170" s="8">
        <f t="shared" si="26"/>
        <v>46.433172496019068</v>
      </c>
      <c r="I170" s="8">
        <f t="shared" si="26"/>
        <v>69.571387511676377</v>
      </c>
      <c r="J170" s="8">
        <f t="shared" si="26"/>
        <v>39.938925696527612</v>
      </c>
      <c r="K170" s="8">
        <f t="shared" si="26"/>
        <v>50.020974243628814</v>
      </c>
      <c r="L170" s="8">
        <f t="shared" si="26"/>
        <v>49.315367462162556</v>
      </c>
      <c r="M170" s="8">
        <f t="shared" si="26"/>
        <v>55.836877269165662</v>
      </c>
      <c r="N170" s="8">
        <f t="shared" si="26"/>
        <v>49.410693239044249</v>
      </c>
      <c r="O170" s="8">
        <f t="shared" si="26"/>
        <v>56.430058887617051</v>
      </c>
    </row>
    <row r="171" spans="1:15" s="19" customFormat="1" ht="14.4" x14ac:dyDescent="0.25">
      <c r="A171" s="35">
        <v>2015</v>
      </c>
      <c r="B171" s="8">
        <f t="shared" ref="B171:O171" si="27">B94/B3*100</f>
        <v>45.061238782486292</v>
      </c>
      <c r="C171" s="8">
        <f t="shared" si="27"/>
        <v>35.050168942790705</v>
      </c>
      <c r="D171" s="8">
        <f t="shared" si="27"/>
        <v>36.913862955786506</v>
      </c>
      <c r="E171" s="8">
        <f t="shared" si="27"/>
        <v>40.156750897531502</v>
      </c>
      <c r="F171" s="8">
        <f t="shared" si="27"/>
        <v>41.785868781542902</v>
      </c>
      <c r="G171" s="8">
        <f t="shared" si="27"/>
        <v>38.87772496084925</v>
      </c>
      <c r="H171" s="8">
        <f t="shared" si="27"/>
        <v>41.208259813511894</v>
      </c>
      <c r="I171" s="8">
        <f t="shared" si="27"/>
        <v>65.664507482689302</v>
      </c>
      <c r="J171" s="8">
        <f t="shared" si="27"/>
        <v>39.33004038658899</v>
      </c>
      <c r="K171" s="8">
        <f t="shared" si="27"/>
        <v>35.577788049123541</v>
      </c>
      <c r="L171" s="8">
        <f t="shared" si="27"/>
        <v>41.714027838497231</v>
      </c>
      <c r="M171" s="8">
        <f t="shared" si="27"/>
        <v>43.683487139210683</v>
      </c>
      <c r="N171" s="8">
        <f t="shared" si="27"/>
        <v>35.020051716395947</v>
      </c>
      <c r="O171" s="8">
        <f t="shared" si="27"/>
        <v>52.844564168542938</v>
      </c>
    </row>
    <row r="172" spans="1:15" s="19" customFormat="1" ht="14.4" x14ac:dyDescent="0.25">
      <c r="A172" s="35">
        <v>2010</v>
      </c>
      <c r="B172" s="8">
        <f t="shared" ref="B172:O172" si="28">B95/B4*100</f>
        <v>41.961619156114054</v>
      </c>
      <c r="C172" s="8">
        <f t="shared" si="28"/>
        <v>32.518738043716873</v>
      </c>
      <c r="D172" s="8">
        <f t="shared" si="28"/>
        <v>33.398955268956719</v>
      </c>
      <c r="E172" s="8">
        <f t="shared" si="28"/>
        <v>35.920272610783336</v>
      </c>
      <c r="F172" s="8">
        <f t="shared" si="28"/>
        <v>37.888600145746544</v>
      </c>
      <c r="G172" s="8">
        <f t="shared" si="28"/>
        <v>31.805425631431248</v>
      </c>
      <c r="H172" s="8">
        <f t="shared" si="28"/>
        <v>35.208789150056539</v>
      </c>
      <c r="I172" s="8">
        <f t="shared" si="28"/>
        <v>62.347410095678001</v>
      </c>
      <c r="J172" s="8">
        <f t="shared" si="28"/>
        <v>36.714494299994385</v>
      </c>
      <c r="K172" s="8">
        <f t="shared" si="28"/>
        <v>33.333641473154856</v>
      </c>
      <c r="L172" s="8">
        <f t="shared" si="28"/>
        <v>38.828698452432171</v>
      </c>
      <c r="M172" s="8">
        <f t="shared" si="28"/>
        <v>42.759141824216201</v>
      </c>
      <c r="N172" s="8">
        <f t="shared" si="28"/>
        <v>31.537770181668161</v>
      </c>
      <c r="O172" s="8">
        <f t="shared" si="28"/>
        <v>43.783356394544377</v>
      </c>
    </row>
    <row r="173" spans="1:15" s="19" customFormat="1" ht="14.4" x14ac:dyDescent="0.25">
      <c r="A173" s="36"/>
    </row>
    <row r="174" spans="1:15" s="19" customFormat="1" ht="43.2" x14ac:dyDescent="0.25">
      <c r="A174" s="36" t="s">
        <v>62</v>
      </c>
      <c r="B174" s="19">
        <f>B37/B107*100</f>
        <v>101.12680115273776</v>
      </c>
      <c r="C174" s="19">
        <f t="shared" ref="C174:O174" si="29">C37/C107*100</f>
        <v>78.583633093525179</v>
      </c>
      <c r="D174" s="19">
        <f t="shared" si="29"/>
        <v>86.808889742440726</v>
      </c>
      <c r="E174" s="19">
        <f t="shared" si="29"/>
        <v>70.873496897690245</v>
      </c>
      <c r="F174" s="19">
        <f t="shared" si="29"/>
        <v>84.314280324467077</v>
      </c>
      <c r="G174" s="19">
        <f t="shared" si="29"/>
        <v>69.05756257118658</v>
      </c>
      <c r="H174" s="19">
        <f t="shared" si="29"/>
        <v>38.97317073170732</v>
      </c>
      <c r="I174" s="19">
        <f t="shared" si="29"/>
        <v>52.072072072072075</v>
      </c>
      <c r="J174" s="19">
        <f t="shared" si="29"/>
        <v>64.13181475445127</v>
      </c>
      <c r="K174" s="19">
        <f t="shared" si="29"/>
        <v>73.693430656934297</v>
      </c>
      <c r="L174" s="19">
        <f t="shared" si="29"/>
        <v>69.667138142385681</v>
      </c>
      <c r="M174" s="19">
        <f t="shared" si="29"/>
        <v>73.158355656295072</v>
      </c>
      <c r="N174" s="19">
        <f t="shared" si="29"/>
        <v>66.460519261698721</v>
      </c>
      <c r="O174" s="19">
        <f t="shared" si="29"/>
        <v>29.624444579706623</v>
      </c>
    </row>
    <row r="175" spans="1:15" s="35" customFormat="1" ht="14.4" x14ac:dyDescent="0.25">
      <c r="A175" s="35">
        <v>2015</v>
      </c>
      <c r="B175" s="19">
        <f t="shared" ref="B175:O176" si="30">B38/B108*100</f>
        <v>72.896590948537138</v>
      </c>
      <c r="C175" s="19">
        <f t="shared" si="30"/>
        <v>44.495905245346869</v>
      </c>
      <c r="D175" s="19">
        <f t="shared" si="30"/>
        <v>630.11755034936289</v>
      </c>
      <c r="E175" s="19">
        <f t="shared" si="30"/>
        <v>31.975728384990365</v>
      </c>
      <c r="F175" s="19">
        <f t="shared" si="30"/>
        <v>54.341528394484698</v>
      </c>
      <c r="G175" s="19">
        <f t="shared" si="30"/>
        <v>41.042936902485664</v>
      </c>
      <c r="H175" s="19">
        <f t="shared" si="30"/>
        <v>19.481095106021293</v>
      </c>
      <c r="I175" s="19">
        <f t="shared" si="30"/>
        <v>9.0254784688995233</v>
      </c>
      <c r="J175" s="19">
        <f t="shared" si="30"/>
        <v>45.002080497763956</v>
      </c>
      <c r="K175" s="19">
        <f t="shared" si="30"/>
        <v>45.066515748031499</v>
      </c>
      <c r="L175" s="19">
        <f t="shared" si="30"/>
        <v>30.629997576932393</v>
      </c>
      <c r="M175" s="19">
        <f t="shared" si="30"/>
        <v>13.17254818894302</v>
      </c>
      <c r="N175" s="19">
        <f t="shared" si="30"/>
        <v>24.326081094745359</v>
      </c>
      <c r="O175" s="19">
        <f t="shared" si="30"/>
        <v>16.243997175141246</v>
      </c>
    </row>
    <row r="176" spans="1:15" s="35" customFormat="1" ht="14.4" x14ac:dyDescent="0.25">
      <c r="A176" s="35">
        <v>2010</v>
      </c>
      <c r="B176" s="19">
        <f t="shared" si="30"/>
        <v>34.33648078864541</v>
      </c>
      <c r="C176" s="19">
        <f t="shared" si="30"/>
        <v>74.174442025040847</v>
      </c>
      <c r="D176" s="19">
        <f t="shared" si="30"/>
        <v>44.710041210617277</v>
      </c>
      <c r="E176" s="19">
        <f t="shared" si="30"/>
        <v>25.985144116288161</v>
      </c>
      <c r="F176" s="19">
        <f t="shared" si="30"/>
        <v>22.096489384065588</v>
      </c>
      <c r="G176" s="19">
        <f t="shared" si="30"/>
        <v>24.197517065187018</v>
      </c>
      <c r="H176" s="19">
        <f t="shared" si="30"/>
        <v>15.520200874777256</v>
      </c>
      <c r="I176" s="19">
        <f t="shared" si="30"/>
        <v>11.293414664508902</v>
      </c>
      <c r="J176" s="19">
        <f t="shared" si="30"/>
        <v>19.560679611650485</v>
      </c>
      <c r="K176" s="19">
        <f t="shared" si="30"/>
        <v>14.164702692933309</v>
      </c>
      <c r="L176" s="19">
        <f t="shared" si="30"/>
        <v>8.2582566095109371</v>
      </c>
      <c r="M176" s="19">
        <f t="shared" si="30"/>
        <v>11.289475752574079</v>
      </c>
      <c r="N176" s="19">
        <f t="shared" si="30"/>
        <v>36.578069011280697</v>
      </c>
      <c r="O176" s="19">
        <f t="shared" si="30"/>
        <v>13.093924273554446</v>
      </c>
    </row>
    <row r="177" spans="1:15" s="36" customFormat="1" ht="14.4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s="19" customFormat="1" ht="43.2" x14ac:dyDescent="0.25">
      <c r="A178" s="35" t="s">
        <v>69</v>
      </c>
      <c r="B178" s="8">
        <f>B42/(B27*10000)*100</f>
        <v>23.815191542934794</v>
      </c>
      <c r="C178" s="8">
        <f t="shared" ref="C178:O178" si="31">C42/(C27*10000)*100</f>
        <v>21.612609352717055</v>
      </c>
      <c r="D178" s="8">
        <f t="shared" si="31"/>
        <v>20.166632583503748</v>
      </c>
      <c r="E178" s="8">
        <f t="shared" si="31"/>
        <v>10.983602015549513</v>
      </c>
      <c r="F178" s="8">
        <f t="shared" si="31"/>
        <v>4.7490469816851055</v>
      </c>
      <c r="G178" s="8">
        <f t="shared" si="31"/>
        <v>11.521136865342163</v>
      </c>
      <c r="H178" s="8">
        <f t="shared" si="31"/>
        <v>9.1958369979478167</v>
      </c>
      <c r="I178" s="8">
        <f t="shared" si="31"/>
        <v>1.9906527890056591</v>
      </c>
      <c r="J178" s="8">
        <f t="shared" si="31"/>
        <v>9.0694130779015136</v>
      </c>
      <c r="K178" s="8">
        <f t="shared" si="31"/>
        <v>6.5473355581871031</v>
      </c>
      <c r="L178" s="8">
        <f t="shared" si="31"/>
        <v>6.8385204692362933</v>
      </c>
      <c r="M178" s="8">
        <f t="shared" si="31"/>
        <v>6.460952420493232</v>
      </c>
      <c r="N178" s="8">
        <f t="shared" si="31"/>
        <v>9.149338431658169</v>
      </c>
      <c r="O178" s="8">
        <f t="shared" si="31"/>
        <v>1.4217356042173561</v>
      </c>
    </row>
    <row r="179" spans="1:15" s="19" customFormat="1" ht="14.4" x14ac:dyDescent="0.25">
      <c r="A179" s="35">
        <v>2015</v>
      </c>
      <c r="B179" s="8">
        <f t="shared" ref="B179:O180" si="32">B43/(B28*10000)*100</f>
        <v>20.358655445323627</v>
      </c>
      <c r="C179" s="8">
        <f t="shared" si="32"/>
        <v>12.735371573180693</v>
      </c>
      <c r="D179" s="8">
        <f t="shared" si="32"/>
        <v>8.8824917389374445</v>
      </c>
      <c r="E179" s="8">
        <f t="shared" si="32"/>
        <v>3.9717141414858101</v>
      </c>
      <c r="F179" s="8">
        <f t="shared" si="32"/>
        <v>2.3721857918312668</v>
      </c>
      <c r="G179" s="8">
        <f t="shared" si="32"/>
        <v>12.856674528904366</v>
      </c>
      <c r="H179" s="8">
        <f t="shared" si="32"/>
        <v>7.2578334653310277</v>
      </c>
      <c r="I179" s="8">
        <f t="shared" si="32"/>
        <v>0.44253038711146114</v>
      </c>
      <c r="J179" s="8">
        <f t="shared" si="32"/>
        <v>4.6467655323679473</v>
      </c>
      <c r="K179" s="8">
        <f t="shared" si="32"/>
        <v>4.0714295896338557</v>
      </c>
      <c r="L179" s="8">
        <f t="shared" si="32"/>
        <v>1.2395972434269809</v>
      </c>
      <c r="M179" s="8">
        <f t="shared" si="32"/>
        <v>1.328325660713608</v>
      </c>
      <c r="N179" s="8">
        <f t="shared" si="32"/>
        <v>4.8519149218936954</v>
      </c>
      <c r="O179" s="8">
        <f t="shared" si="32"/>
        <v>0.38483135916767941</v>
      </c>
    </row>
    <row r="180" spans="1:15" s="19" customFormat="1" ht="14.4" x14ac:dyDescent="0.25">
      <c r="A180" s="35">
        <v>2010</v>
      </c>
      <c r="B180" s="8">
        <f t="shared" si="32"/>
        <v>15.11133799728216</v>
      </c>
      <c r="C180" s="8">
        <f t="shared" si="32"/>
        <v>21.360609307534425</v>
      </c>
      <c r="D180" s="8">
        <f t="shared" si="32"/>
        <v>18.273835549617583</v>
      </c>
      <c r="E180" s="8">
        <f t="shared" si="32"/>
        <v>5.2347897451967933</v>
      </c>
      <c r="F180" s="8">
        <f t="shared" si="32"/>
        <v>1.1503356460498089</v>
      </c>
      <c r="G180" s="8">
        <f t="shared" si="32"/>
        <v>8.4881119498627964</v>
      </c>
      <c r="H180" s="8">
        <f t="shared" si="32"/>
        <v>9.1688658445999494</v>
      </c>
      <c r="I180" s="8">
        <f t="shared" si="32"/>
        <v>0.34888744477158945</v>
      </c>
      <c r="J180" s="8">
        <f t="shared" si="32"/>
        <v>2.496678832148048</v>
      </c>
      <c r="K180" s="8">
        <f t="shared" si="32"/>
        <v>2.3719292845738029</v>
      </c>
      <c r="L180" s="8">
        <f t="shared" si="32"/>
        <v>2.0408714496157261</v>
      </c>
      <c r="M180" s="8">
        <f t="shared" si="32"/>
        <v>1.1101973401708134</v>
      </c>
      <c r="N180" s="8">
        <f t="shared" si="32"/>
        <v>9.1111171529798032</v>
      </c>
      <c r="O180" s="8">
        <f t="shared" si="32"/>
        <v>0.41811706125083564</v>
      </c>
    </row>
    <row r="181" spans="1:15" s="19" customFormat="1" ht="14.4" x14ac:dyDescent="0.25">
      <c r="A181" s="36"/>
    </row>
    <row r="182" spans="1:15" s="19" customFormat="1" ht="28.8" x14ac:dyDescent="0.25">
      <c r="A182" s="35" t="s">
        <v>40</v>
      </c>
      <c r="B182" s="8">
        <f>B111/B12</f>
        <v>32.8125</v>
      </c>
      <c r="C182" s="8">
        <f t="shared" ref="C182:O182" si="33">C111/C12</f>
        <v>10.834977325715457</v>
      </c>
      <c r="D182" s="8">
        <f t="shared" si="33"/>
        <v>15.204549623922215</v>
      </c>
      <c r="E182" s="8">
        <f t="shared" si="33"/>
        <v>2.9312577158170483</v>
      </c>
      <c r="F182" s="8">
        <f t="shared" si="33"/>
        <v>4.8967461708450815</v>
      </c>
      <c r="G182" s="8">
        <f t="shared" si="33"/>
        <v>4.6964444884619194</v>
      </c>
      <c r="H182" s="8">
        <f t="shared" si="33"/>
        <v>7.375045016016224</v>
      </c>
      <c r="I182" s="8">
        <f t="shared" si="33"/>
        <v>7.5336145531241758</v>
      </c>
      <c r="J182" s="8">
        <f t="shared" si="33"/>
        <v>5.2539995844587573</v>
      </c>
      <c r="K182" s="8">
        <f t="shared" si="33"/>
        <v>6.4536126549807609</v>
      </c>
      <c r="L182" s="8">
        <f t="shared" si="33"/>
        <v>5.7815037196480494</v>
      </c>
      <c r="M182" s="8">
        <f t="shared" si="33"/>
        <v>10.273643783005282</v>
      </c>
      <c r="N182" s="8">
        <f t="shared" si="33"/>
        <v>7.119343714076706</v>
      </c>
      <c r="O182" s="8">
        <f t="shared" si="33"/>
        <v>3.3005957172758009</v>
      </c>
    </row>
    <row r="183" spans="1:15" s="19" customFormat="1" ht="14.4" x14ac:dyDescent="0.25">
      <c r="A183" s="35">
        <v>2015</v>
      </c>
      <c r="B183" s="8">
        <f t="shared" ref="B183:O184" si="34">B112/B13</f>
        <v>19.689711779111388</v>
      </c>
      <c r="C183" s="8">
        <f t="shared" si="34"/>
        <v>15.083114610673665</v>
      </c>
      <c r="D183" s="8">
        <f t="shared" si="34"/>
        <v>13.368983957219251</v>
      </c>
      <c r="E183" s="8">
        <f t="shared" si="34"/>
        <v>2.2678023850085181</v>
      </c>
      <c r="F183" s="8">
        <f t="shared" si="34"/>
        <v>3.2141234146274291</v>
      </c>
      <c r="G183" s="8">
        <f t="shared" si="34"/>
        <v>3.2402472820294181</v>
      </c>
      <c r="H183" s="8">
        <f t="shared" si="34"/>
        <v>3.8792587142148225</v>
      </c>
      <c r="I183" s="8">
        <f t="shared" si="34"/>
        <v>3.1889763779527556</v>
      </c>
      <c r="J183" s="8">
        <f t="shared" si="34"/>
        <v>1.1654800235816971</v>
      </c>
      <c r="K183" s="8">
        <f t="shared" si="34"/>
        <v>3.879328569616507</v>
      </c>
      <c r="L183" s="8">
        <f t="shared" si="34"/>
        <v>4.3961913181207066</v>
      </c>
      <c r="M183" s="8">
        <f t="shared" si="34"/>
        <v>2.0381100048963603</v>
      </c>
      <c r="N183" s="8">
        <f t="shared" si="34"/>
        <v>4.1763520843018753</v>
      </c>
      <c r="O183" s="8">
        <f t="shared" si="34"/>
        <v>0.89200986904535973</v>
      </c>
    </row>
    <row r="184" spans="1:15" s="19" customFormat="1" ht="14.4" x14ac:dyDescent="0.25">
      <c r="A184" s="35">
        <v>2010</v>
      </c>
      <c r="B184" s="8">
        <f t="shared" si="34"/>
        <v>8.8187254108256283</v>
      </c>
      <c r="C184" s="8">
        <f t="shared" si="34"/>
        <v>5.9008063052552435</v>
      </c>
      <c r="D184" s="8">
        <f t="shared" si="34"/>
        <v>4.0440374972749069</v>
      </c>
      <c r="E184" s="8">
        <f t="shared" si="34"/>
        <v>0.34413295282860501</v>
      </c>
      <c r="F184" s="8">
        <f t="shared" si="34"/>
        <v>0.58533109380567006</v>
      </c>
      <c r="G184" s="8">
        <f t="shared" si="34"/>
        <v>0.88894698999934629</v>
      </c>
      <c r="H184" s="8">
        <f t="shared" si="34"/>
        <v>4.4585619405140049</v>
      </c>
      <c r="I184" s="8">
        <f t="shared" si="34"/>
        <v>1.5243219009190765</v>
      </c>
      <c r="J184" s="8">
        <f t="shared" si="34"/>
        <v>0.93635500067851818</v>
      </c>
      <c r="K184" s="8">
        <f t="shared" si="34"/>
        <v>1.4309826080575327</v>
      </c>
      <c r="L184" s="8">
        <f t="shared" si="34"/>
        <v>1.9781258439103429</v>
      </c>
      <c r="M184" s="8">
        <f t="shared" si="34"/>
        <v>0.25375190313927354</v>
      </c>
      <c r="N184" s="8">
        <f t="shared" si="34"/>
        <v>4.1500904159132013</v>
      </c>
      <c r="O184" s="8">
        <f t="shared" si="34"/>
        <v>2.826217678893566</v>
      </c>
    </row>
    <row r="185" spans="1:15" s="19" customFormat="1" ht="28.8" x14ac:dyDescent="0.25">
      <c r="A185" s="36" t="s">
        <v>50</v>
      </c>
      <c r="B185" s="19">
        <f>B131*100/B12</f>
        <v>43.187420483460556</v>
      </c>
      <c r="C185" s="19">
        <f t="shared" ref="C185:O185" si="35">C131*100/C12</f>
        <v>30.053034767236298</v>
      </c>
      <c r="D185" s="19">
        <f t="shared" si="35"/>
        <v>42.560997982021647</v>
      </c>
      <c r="E185" s="19">
        <f t="shared" si="35"/>
        <v>26.73060130679594</v>
      </c>
      <c r="F185" s="19">
        <f t="shared" si="35"/>
        <v>8.6565571896669979</v>
      </c>
      <c r="G185" s="19">
        <f t="shared" si="35"/>
        <v>31.199366148360898</v>
      </c>
      <c r="H185" s="19">
        <f t="shared" si="35"/>
        <v>30.307625239295664</v>
      </c>
      <c r="I185" s="19">
        <f t="shared" si="35"/>
        <v>38.689691537041917</v>
      </c>
      <c r="J185" s="19">
        <f t="shared" si="35"/>
        <v>16.387907749844171</v>
      </c>
      <c r="K185" s="19">
        <f t="shared" si="35"/>
        <v>29.698589140658399</v>
      </c>
      <c r="L185" s="19">
        <f t="shared" si="35"/>
        <v>24.494920886673459</v>
      </c>
      <c r="M185" s="19">
        <f t="shared" si="35"/>
        <v>28.586392004538908</v>
      </c>
      <c r="N185" s="19">
        <f t="shared" si="35"/>
        <v>36.289058417807503</v>
      </c>
      <c r="O185" s="19">
        <f t="shared" si="35"/>
        <v>26.84752857832877</v>
      </c>
    </row>
    <row r="186" spans="1:15" s="19" customFormat="1" ht="14.4" x14ac:dyDescent="0.25">
      <c r="A186" s="35">
        <v>2015</v>
      </c>
      <c r="B186" s="19">
        <f t="shared" ref="B186:O187" si="36">B132*100/B13</f>
        <v>24.256573104766009</v>
      </c>
      <c r="C186" s="19">
        <f t="shared" si="36"/>
        <v>0.16122984626921635</v>
      </c>
      <c r="D186" s="19">
        <f t="shared" si="36"/>
        <v>14.73244324822042</v>
      </c>
      <c r="E186" s="19">
        <f t="shared" si="36"/>
        <v>9.9448040885860305</v>
      </c>
      <c r="F186" s="19">
        <f t="shared" si="36"/>
        <v>4.599473952380297</v>
      </c>
      <c r="G186" s="19">
        <f t="shared" si="36"/>
        <v>10.463298514886663</v>
      </c>
      <c r="H186" s="19">
        <f t="shared" si="36"/>
        <v>10.489570321189618</v>
      </c>
      <c r="I186" s="19">
        <f t="shared" si="36"/>
        <v>15.485564304461942</v>
      </c>
      <c r="J186" s="19">
        <f t="shared" si="36"/>
        <v>9.4553534987075416</v>
      </c>
      <c r="K186" s="19">
        <f t="shared" si="36"/>
        <v>13.487801784279736</v>
      </c>
      <c r="L186" s="19">
        <f t="shared" si="36"/>
        <v>32.456673481039466</v>
      </c>
      <c r="M186" s="19">
        <f t="shared" si="36"/>
        <v>10.096703117349437</v>
      </c>
      <c r="N186" s="19">
        <f t="shared" si="36"/>
        <v>11.733560617800507</v>
      </c>
      <c r="O186" s="19">
        <f t="shared" si="36"/>
        <v>8.9200986904535977</v>
      </c>
    </row>
    <row r="187" spans="1:15" s="19" customFormat="1" ht="14.4" x14ac:dyDescent="0.25">
      <c r="A187" s="35">
        <v>2010</v>
      </c>
      <c r="B187" s="19">
        <f t="shared" si="36"/>
        <v>12.562671325294358</v>
      </c>
      <c r="C187" s="19">
        <f t="shared" si="36"/>
        <v>7.2074874906017481</v>
      </c>
      <c r="D187" s="19">
        <f t="shared" si="36"/>
        <v>5.4138507375917442</v>
      </c>
      <c r="E187" s="19">
        <f t="shared" si="36"/>
        <v>4.5492697666610713</v>
      </c>
      <c r="F187" s="19">
        <f t="shared" si="36"/>
        <v>9.2635007889245173</v>
      </c>
      <c r="G187" s="19">
        <f t="shared" si="36"/>
        <v>16.432446565134974</v>
      </c>
      <c r="H187" s="19">
        <f t="shared" si="36"/>
        <v>14.207334680912503</v>
      </c>
      <c r="I187" s="19">
        <f t="shared" si="36"/>
        <v>41.694687289845334</v>
      </c>
      <c r="J187" s="19">
        <f t="shared" si="36"/>
        <v>11.107341566019812</v>
      </c>
      <c r="K187" s="19">
        <f t="shared" si="36"/>
        <v>13.502605122183898</v>
      </c>
      <c r="L187" s="19">
        <f t="shared" si="36"/>
        <v>10.214690791250337</v>
      </c>
      <c r="M187" s="19">
        <f t="shared" si="36"/>
        <v>15.544116580874356</v>
      </c>
      <c r="N187" s="19">
        <f t="shared" si="36"/>
        <v>16.311030741410487</v>
      </c>
      <c r="O187" s="19">
        <f t="shared" si="36"/>
        <v>18.641010222489477</v>
      </c>
    </row>
    <row r="188" spans="1:15" s="19" customFormat="1" ht="28.8" x14ac:dyDescent="0.25">
      <c r="A188" s="36" t="s">
        <v>112</v>
      </c>
      <c r="B188" s="19">
        <f>B123/B127*100</f>
        <v>15.701773125400557</v>
      </c>
      <c r="C188" s="19">
        <f t="shared" ref="C188:O188" si="37">C123/C127*100</f>
        <v>1.3175230566534915</v>
      </c>
      <c r="D188" s="19">
        <f t="shared" si="37"/>
        <v>1.1051985264019648</v>
      </c>
      <c r="E188" s="19">
        <f t="shared" si="37"/>
        <v>0.93113902122130798</v>
      </c>
      <c r="F188" s="19">
        <f t="shared" si="37"/>
        <v>0.8771929824561403</v>
      </c>
      <c r="G188" s="19">
        <f t="shared" si="37"/>
        <v>1.2615235322658904</v>
      </c>
      <c r="H188" s="19">
        <f t="shared" si="37"/>
        <v>2.5251528901163938</v>
      </c>
      <c r="I188" s="19">
        <f t="shared" si="37"/>
        <v>1.777434312210201</v>
      </c>
      <c r="J188" s="19">
        <f t="shared" si="37"/>
        <v>1.1278195488721803</v>
      </c>
      <c r="K188" s="19">
        <f t="shared" si="37"/>
        <v>1.0421601136901941</v>
      </c>
      <c r="L188" s="19">
        <f t="shared" si="37"/>
        <v>0.67309441513552848</v>
      </c>
      <c r="M188" s="19">
        <f t="shared" si="37"/>
        <v>0.40720102871838837</v>
      </c>
      <c r="N188" s="19">
        <f t="shared" si="37"/>
        <v>0.44085231447465101</v>
      </c>
      <c r="O188" s="19">
        <f t="shared" si="37"/>
        <v>0.33649434077699603</v>
      </c>
    </row>
    <row r="189" spans="1:15" s="19" customFormat="1" ht="14.4" x14ac:dyDescent="0.25">
      <c r="A189" s="35">
        <v>2015</v>
      </c>
      <c r="B189" s="19">
        <f t="shared" ref="B189:O190" si="38">B124/B128*100</f>
        <v>15.841584158415841</v>
      </c>
      <c r="C189" s="19">
        <f t="shared" si="38"/>
        <v>0.87073007367716015</v>
      </c>
      <c r="D189" s="19">
        <f t="shared" si="38"/>
        <v>1.0993325480957989</v>
      </c>
      <c r="E189" s="19">
        <f t="shared" si="38"/>
        <v>0.46488460899883777</v>
      </c>
      <c r="F189" s="19">
        <f t="shared" si="38"/>
        <v>1.5831134564643801</v>
      </c>
      <c r="G189" s="19">
        <f t="shared" si="38"/>
        <v>0.66555740432612309</v>
      </c>
      <c r="H189" s="19">
        <f t="shared" si="38"/>
        <v>1.6255385820603212</v>
      </c>
      <c r="I189" s="19">
        <f t="shared" si="38"/>
        <v>0.5865102639296188</v>
      </c>
      <c r="J189" s="19">
        <f t="shared" si="38"/>
        <v>1.0973936899862824</v>
      </c>
      <c r="K189" s="19">
        <f t="shared" si="38"/>
        <v>0.45643153526970959</v>
      </c>
      <c r="L189" s="19">
        <f t="shared" si="38"/>
        <v>0.49975012493753124</v>
      </c>
      <c r="M189" s="19">
        <f t="shared" si="38"/>
        <v>0.49904030710172748</v>
      </c>
      <c r="N189" s="19">
        <f t="shared" si="38"/>
        <v>0.3487792725460887</v>
      </c>
      <c r="O189" s="19">
        <f t="shared" si="38"/>
        <v>0.1610305958132045</v>
      </c>
    </row>
    <row r="190" spans="1:15" s="19" customFormat="1" ht="14.4" x14ac:dyDescent="0.25">
      <c r="A190" s="35">
        <v>2010</v>
      </c>
      <c r="B190" s="19">
        <f t="shared" si="38"/>
        <v>14.08830468486687</v>
      </c>
      <c r="C190" s="19">
        <f t="shared" si="38"/>
        <v>1.8395879323031641</v>
      </c>
      <c r="D190" s="19">
        <f t="shared" si="38"/>
        <v>0.9248090068355449</v>
      </c>
      <c r="E190" s="19">
        <f t="shared" si="38"/>
        <v>0.2345124096150088</v>
      </c>
      <c r="F190" s="19">
        <f t="shared" si="38"/>
        <v>1.6438356164383561</v>
      </c>
      <c r="G190" s="19">
        <f t="shared" si="38"/>
        <v>0.60146443514644354</v>
      </c>
      <c r="H190" s="19">
        <f t="shared" si="38"/>
        <v>1.4255167498218104</v>
      </c>
      <c r="I190" s="19">
        <f t="shared" si="38"/>
        <v>1.8126888217522661</v>
      </c>
      <c r="J190" s="19">
        <f t="shared" si="38"/>
        <v>2.8384279475982535</v>
      </c>
      <c r="K190" s="19">
        <f t="shared" si="38"/>
        <v>1.1213047910295617</v>
      </c>
      <c r="L190" s="19">
        <f t="shared" si="38"/>
        <v>2.2678185745140391</v>
      </c>
      <c r="M190" s="19">
        <f t="shared" si="38"/>
        <v>1.2942191544434858</v>
      </c>
      <c r="N190" s="19">
        <f t="shared" si="38"/>
        <v>0.2243409983174425</v>
      </c>
      <c r="O190" s="19">
        <f t="shared" si="38"/>
        <v>1.929260450160772</v>
      </c>
    </row>
    <row r="191" spans="1:15" s="19" customFormat="1" ht="43.2" x14ac:dyDescent="0.25">
      <c r="A191" s="35" t="s">
        <v>82</v>
      </c>
      <c r="B191" s="8">
        <f>B88/(B12*10000)*100</f>
        <v>1.1803335718829517</v>
      </c>
      <c r="C191" s="8">
        <f t="shared" ref="C191:O191" si="39">C88/(C12*10000)*100</f>
        <v>1.3719607491481129</v>
      </c>
      <c r="D191" s="8">
        <f t="shared" si="39"/>
        <v>1.1962942579343239</v>
      </c>
      <c r="E191" s="8">
        <f t="shared" si="39"/>
        <v>1.1533076390352595</v>
      </c>
      <c r="F191" s="8">
        <f t="shared" si="39"/>
        <v>1.0348548350224795</v>
      </c>
      <c r="G191" s="8">
        <f t="shared" si="39"/>
        <v>1.3136377141725264</v>
      </c>
      <c r="H191" s="8">
        <f t="shared" si="39"/>
        <v>1.2607327659735779</v>
      </c>
      <c r="I191" s="8">
        <f t="shared" si="39"/>
        <v>2.1140917479567625</v>
      </c>
      <c r="J191" s="8">
        <f t="shared" si="39"/>
        <v>1.1429981300644088</v>
      </c>
      <c r="K191" s="8">
        <f t="shared" si="39"/>
        <v>1.1798204360837965</v>
      </c>
      <c r="L191" s="8">
        <f t="shared" si="39"/>
        <v>1.2724028548770816</v>
      </c>
      <c r="M191" s="8">
        <f t="shared" si="39"/>
        <v>1.4500938331951294</v>
      </c>
      <c r="N191" s="8">
        <f t="shared" si="39"/>
        <v>1.1419949838018602</v>
      </c>
      <c r="O191" s="8">
        <f t="shared" si="39"/>
        <v>1.4018274029946869</v>
      </c>
    </row>
    <row r="192" spans="1:15" s="19" customFormat="1" ht="14.4" x14ac:dyDescent="0.25">
      <c r="A192" s="35">
        <v>2015</v>
      </c>
      <c r="B192" s="8">
        <f t="shared" ref="B192:O193" si="40">B89/(B13*10000)*100</f>
        <v>1.0796980543071666</v>
      </c>
      <c r="C192" s="8">
        <f t="shared" si="40"/>
        <v>1.2118485189351331</v>
      </c>
      <c r="D192" s="8">
        <f t="shared" si="40"/>
        <v>0.93880369727662294</v>
      </c>
      <c r="E192" s="8">
        <f t="shared" si="40"/>
        <v>1.0416763202725725</v>
      </c>
      <c r="F192" s="8">
        <f t="shared" si="40"/>
        <v>0.8903287109079141</v>
      </c>
      <c r="G192" s="8">
        <f t="shared" si="40"/>
        <v>1.1974703332622751</v>
      </c>
      <c r="H192" s="8">
        <f t="shared" si="40"/>
        <v>0.96866818391827381</v>
      </c>
      <c r="I192" s="8">
        <f t="shared" si="40"/>
        <v>1.4184383202099737</v>
      </c>
      <c r="J192" s="8">
        <f t="shared" si="40"/>
        <v>0.89807718470817643</v>
      </c>
      <c r="K192" s="8">
        <f t="shared" si="40"/>
        <v>1.1271616422138597</v>
      </c>
      <c r="L192" s="8">
        <f t="shared" si="40"/>
        <v>1.2398659226108257</v>
      </c>
      <c r="M192" s="8">
        <f t="shared" si="40"/>
        <v>1.2512648930961319</v>
      </c>
      <c r="N192" s="8">
        <f t="shared" si="40"/>
        <v>1.1314375742548686</v>
      </c>
      <c r="O192" s="8">
        <f t="shared" si="40"/>
        <v>1.4266084646042894</v>
      </c>
    </row>
    <row r="193" spans="1:15" s="19" customFormat="1" ht="14.4" x14ac:dyDescent="0.25">
      <c r="A193" s="35">
        <v>2010</v>
      </c>
      <c r="B193" s="8">
        <f t="shared" si="40"/>
        <v>1.1298450438166658</v>
      </c>
      <c r="C193" s="8">
        <f t="shared" si="40"/>
        <v>0.96735889658033236</v>
      </c>
      <c r="D193" s="8">
        <f t="shared" si="40"/>
        <v>1.0484339800886562</v>
      </c>
      <c r="E193" s="8">
        <f t="shared" si="40"/>
        <v>1.0671199149460018</v>
      </c>
      <c r="F193" s="8">
        <f t="shared" si="40"/>
        <v>3.1356950170509492</v>
      </c>
      <c r="G193" s="8">
        <f t="shared" si="40"/>
        <v>4.3859075756585399</v>
      </c>
      <c r="H193" s="8">
        <f t="shared" si="40"/>
        <v>3.0944845509673695</v>
      </c>
      <c r="I193" s="8">
        <f t="shared" si="40"/>
        <v>4.2129567361578122</v>
      </c>
      <c r="J193" s="8">
        <f t="shared" si="40"/>
        <v>3.5038675532636723</v>
      </c>
      <c r="K193" s="8">
        <f t="shared" si="40"/>
        <v>4.2243340427093266</v>
      </c>
      <c r="L193" s="8">
        <f t="shared" si="40"/>
        <v>4.1373210910072915</v>
      </c>
      <c r="M193" s="8">
        <f t="shared" si="40"/>
        <v>4.4643659827448712</v>
      </c>
      <c r="N193" s="8">
        <f t="shared" si="40"/>
        <v>4.2411392405063291</v>
      </c>
      <c r="O193" s="8">
        <f t="shared" si="40"/>
        <v>5.6368009621166566</v>
      </c>
    </row>
    <row r="194" spans="1:15" s="19" customFormat="1" ht="14.4" x14ac:dyDescent="0.25">
      <c r="A194" s="3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0FA8-B74E-4DF9-9AFB-102342C195B8}">
  <dimension ref="A1:E30"/>
  <sheetViews>
    <sheetView workbookViewId="0">
      <selection activeCell="K14" sqref="K14"/>
    </sheetView>
  </sheetViews>
  <sheetFormatPr defaultRowHeight="17.399999999999999" x14ac:dyDescent="0.4"/>
  <cols>
    <col min="1" max="1" width="8.88671875" style="40"/>
    <col min="2" max="2" width="8.88671875" style="39"/>
    <col min="3" max="3" width="10" style="39" bestFit="1" customWidth="1"/>
    <col min="4" max="16384" width="8.88671875" style="39"/>
  </cols>
  <sheetData>
    <row r="1" spans="1:5" s="43" customFormat="1" x14ac:dyDescent="0.25">
      <c r="A1" s="42"/>
      <c r="C1" s="43" t="s">
        <v>145</v>
      </c>
    </row>
    <row r="2" spans="1:5" ht="15.6" x14ac:dyDescent="0.3">
      <c r="A2" s="39" t="s">
        <v>116</v>
      </c>
      <c r="B2" s="44">
        <v>8.77</v>
      </c>
      <c r="C2" s="41">
        <f>AVERAGE(B2:B3)</f>
        <v>6.2799999999999994</v>
      </c>
      <c r="D2" s="39" t="s">
        <v>3</v>
      </c>
      <c r="E2" s="39">
        <v>6.2799999999999994</v>
      </c>
    </row>
    <row r="3" spans="1:5" ht="15.6" x14ac:dyDescent="0.3">
      <c r="A3" s="39" t="s">
        <v>117</v>
      </c>
      <c r="B3" s="44">
        <v>3.79</v>
      </c>
      <c r="D3" s="39" t="s">
        <v>4</v>
      </c>
      <c r="E3" s="39">
        <v>9.3450000000000006</v>
      </c>
    </row>
    <row r="4" spans="1:5" ht="15.6" x14ac:dyDescent="0.3">
      <c r="A4" s="39" t="s">
        <v>118</v>
      </c>
      <c r="B4" s="44">
        <v>11.63</v>
      </c>
      <c r="C4" s="41">
        <f>AVERAGE(B4:B5)</f>
        <v>9.3450000000000006</v>
      </c>
      <c r="D4" s="39" t="s">
        <v>5</v>
      </c>
      <c r="E4" s="39">
        <v>8.6533333333333342</v>
      </c>
    </row>
    <row r="5" spans="1:5" ht="15.6" x14ac:dyDescent="0.3">
      <c r="A5" s="39" t="s">
        <v>119</v>
      </c>
      <c r="B5" s="44">
        <v>7.06</v>
      </c>
      <c r="D5" s="39" t="s">
        <v>171</v>
      </c>
      <c r="E5" s="39">
        <v>5.8650000000000002</v>
      </c>
    </row>
    <row r="6" spans="1:5" ht="15.6" x14ac:dyDescent="0.3">
      <c r="A6" s="39" t="s">
        <v>120</v>
      </c>
      <c r="B6" s="44">
        <v>7.38</v>
      </c>
      <c r="C6" s="41">
        <f>AVERAGE(B6:B8)</f>
        <v>8.6533333333333342</v>
      </c>
      <c r="D6" s="39" t="s">
        <v>7</v>
      </c>
      <c r="E6" s="39">
        <v>7.3149999999999995</v>
      </c>
    </row>
    <row r="7" spans="1:5" ht="15.6" x14ac:dyDescent="0.3">
      <c r="A7" s="39" t="s">
        <v>121</v>
      </c>
      <c r="B7" s="44">
        <v>9.59</v>
      </c>
      <c r="D7" s="39" t="s">
        <v>8</v>
      </c>
      <c r="E7" s="39">
        <v>7.2299999999999995</v>
      </c>
    </row>
    <row r="8" spans="1:5" ht="15.6" x14ac:dyDescent="0.3">
      <c r="A8" s="39" t="s">
        <v>122</v>
      </c>
      <c r="B8" s="44">
        <v>8.99</v>
      </c>
      <c r="D8" s="39" t="s">
        <v>9</v>
      </c>
      <c r="E8" s="39">
        <v>7.0649999999999995</v>
      </c>
    </row>
    <row r="9" spans="1:5" ht="15.6" x14ac:dyDescent="0.3">
      <c r="A9" s="39" t="s">
        <v>123</v>
      </c>
      <c r="B9" s="44">
        <v>5.12</v>
      </c>
      <c r="C9" s="41">
        <f>AVERAGE(B9:B10)</f>
        <v>5.8650000000000002</v>
      </c>
      <c r="D9" s="39" t="s">
        <v>10</v>
      </c>
      <c r="E9" s="39">
        <v>9.43</v>
      </c>
    </row>
    <row r="10" spans="1:5" ht="15.6" x14ac:dyDescent="0.3">
      <c r="A10" s="39" t="s">
        <v>124</v>
      </c>
      <c r="B10" s="44">
        <v>6.61</v>
      </c>
      <c r="D10" s="39" t="s">
        <v>11</v>
      </c>
      <c r="E10" s="39">
        <v>6.58</v>
      </c>
    </row>
    <row r="11" spans="1:5" ht="15.6" x14ac:dyDescent="0.3">
      <c r="A11" s="39" t="s">
        <v>125</v>
      </c>
      <c r="B11" s="44">
        <v>26.33</v>
      </c>
      <c r="D11" s="39" t="s">
        <v>12</v>
      </c>
      <c r="E11" s="39">
        <v>2.83</v>
      </c>
    </row>
    <row r="12" spans="1:5" ht="15.6" x14ac:dyDescent="0.3">
      <c r="A12" s="39" t="s">
        <v>126</v>
      </c>
      <c r="B12" s="44">
        <v>7.78</v>
      </c>
      <c r="C12" s="41">
        <f>AVERAGE(B12:B13)</f>
        <v>7.3149999999999995</v>
      </c>
      <c r="D12" s="39" t="s">
        <v>13</v>
      </c>
      <c r="E12" s="39">
        <v>7.4</v>
      </c>
    </row>
    <row r="13" spans="1:5" ht="15.6" x14ac:dyDescent="0.3">
      <c r="A13" s="39" t="s">
        <v>127</v>
      </c>
      <c r="B13" s="44">
        <v>6.85</v>
      </c>
      <c r="D13" s="39" t="s">
        <v>14</v>
      </c>
      <c r="E13" s="39">
        <v>6.75</v>
      </c>
    </row>
    <row r="14" spans="1:5" ht="15.6" x14ac:dyDescent="0.3">
      <c r="A14" s="39" t="s">
        <v>128</v>
      </c>
      <c r="B14" s="44">
        <v>7.6</v>
      </c>
      <c r="C14" s="41">
        <f>AVERAGE(B14:B16)</f>
        <v>7.2299999999999995</v>
      </c>
      <c r="D14" s="39" t="s">
        <v>15</v>
      </c>
      <c r="E14" s="39">
        <v>7.5</v>
      </c>
    </row>
    <row r="15" spans="1:5" ht="15.6" x14ac:dyDescent="0.3">
      <c r="A15" s="39" t="s">
        <v>129</v>
      </c>
      <c r="B15" s="44">
        <v>5.19</v>
      </c>
      <c r="D15" s="39" t="s">
        <v>16</v>
      </c>
      <c r="E15" s="39">
        <v>8.586666666666666</v>
      </c>
    </row>
    <row r="16" spans="1:5" ht="15.6" x14ac:dyDescent="0.3">
      <c r="A16" s="39" t="s">
        <v>130</v>
      </c>
      <c r="B16" s="44">
        <v>8.9</v>
      </c>
    </row>
    <row r="17" spans="1:3" ht="15.6" x14ac:dyDescent="0.3">
      <c r="A17" s="39" t="s">
        <v>131</v>
      </c>
      <c r="B17" s="44">
        <v>6.31</v>
      </c>
      <c r="C17" s="41">
        <f>AVERAGE(B17:B18)</f>
        <v>7.0649999999999995</v>
      </c>
    </row>
    <row r="18" spans="1:3" ht="15.6" x14ac:dyDescent="0.3">
      <c r="A18" s="39" t="s">
        <v>132</v>
      </c>
      <c r="B18" s="44">
        <v>7.82</v>
      </c>
    </row>
    <row r="19" spans="1:3" ht="15.6" x14ac:dyDescent="0.3">
      <c r="A19" s="39" t="s">
        <v>133</v>
      </c>
      <c r="B19" s="44">
        <v>9.43</v>
      </c>
      <c r="C19" s="41">
        <f>AVERAGE(B19)</f>
        <v>9.43</v>
      </c>
    </row>
    <row r="20" spans="1:3" ht="15.6" x14ac:dyDescent="0.3">
      <c r="A20" s="39" t="s">
        <v>134</v>
      </c>
      <c r="B20" s="44">
        <v>6.02</v>
      </c>
      <c r="C20" s="41">
        <f>AVERAGE(B20:B21)</f>
        <v>6.58</v>
      </c>
    </row>
    <row r="21" spans="1:3" ht="15.6" x14ac:dyDescent="0.3">
      <c r="A21" s="39" t="s">
        <v>135</v>
      </c>
      <c r="B21" s="44">
        <v>7.14</v>
      </c>
    </row>
    <row r="22" spans="1:3" ht="15.6" x14ac:dyDescent="0.3">
      <c r="A22" s="39" t="s">
        <v>136</v>
      </c>
      <c r="B22" s="44">
        <v>1.47</v>
      </c>
      <c r="C22" s="41">
        <f>AVERAGE(B22:B23)</f>
        <v>2.83</v>
      </c>
    </row>
    <row r="23" spans="1:3" ht="15.6" x14ac:dyDescent="0.3">
      <c r="A23" s="39" t="s">
        <v>137</v>
      </c>
      <c r="B23" s="44">
        <v>4.1900000000000004</v>
      </c>
    </row>
    <row r="24" spans="1:3" ht="15.6" x14ac:dyDescent="0.3">
      <c r="A24" s="39" t="s">
        <v>138</v>
      </c>
      <c r="B24" s="44">
        <v>7.4</v>
      </c>
      <c r="C24" s="41">
        <f>AVERAGE(B24)</f>
        <v>7.4</v>
      </c>
    </row>
    <row r="25" spans="1:3" ht="15.6" x14ac:dyDescent="0.3">
      <c r="A25" s="39" t="s">
        <v>139</v>
      </c>
      <c r="B25" s="44">
        <v>4.04</v>
      </c>
      <c r="C25" s="41">
        <f>AVERAGE(B25:B26)</f>
        <v>6.75</v>
      </c>
    </row>
    <row r="26" spans="1:3" ht="15.6" x14ac:dyDescent="0.3">
      <c r="A26" s="39" t="s">
        <v>140</v>
      </c>
      <c r="B26" s="44">
        <v>9.4600000000000009</v>
      </c>
    </row>
    <row r="27" spans="1:3" ht="15.6" x14ac:dyDescent="0.3">
      <c r="A27" s="39" t="s">
        <v>141</v>
      </c>
      <c r="B27" s="44">
        <v>7.5</v>
      </c>
      <c r="C27" s="41">
        <f>AVERAGE(B27)</f>
        <v>7.5</v>
      </c>
    </row>
    <row r="28" spans="1:3" ht="15.6" x14ac:dyDescent="0.3">
      <c r="A28" s="39" t="s">
        <v>142</v>
      </c>
      <c r="B28" s="44">
        <v>5.67</v>
      </c>
    </row>
    <row r="29" spans="1:3" ht="15.6" x14ac:dyDescent="0.3">
      <c r="A29" s="39" t="s">
        <v>143</v>
      </c>
      <c r="B29" s="44">
        <v>8.57</v>
      </c>
    </row>
    <row r="30" spans="1:3" ht="15.6" x14ac:dyDescent="0.3">
      <c r="A30" s="39" t="s">
        <v>144</v>
      </c>
      <c r="B30" s="44">
        <v>11.52</v>
      </c>
      <c r="C30" s="41">
        <f>AVERAGE(B28:B30)</f>
        <v>8.586666666666666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2020</vt:lpstr>
      <vt:lpstr>2015</vt:lpstr>
      <vt:lpstr>2010</vt:lpstr>
      <vt:lpstr>原始数据</vt:lpstr>
      <vt:lpstr>城市建设统计年鉴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郭的果子</dc:creator>
  <cp:lastModifiedBy>郭的果子</cp:lastModifiedBy>
  <dcterms:created xsi:type="dcterms:W3CDTF">2015-06-05T18:19:34Z</dcterms:created>
  <dcterms:modified xsi:type="dcterms:W3CDTF">2022-03-11T09:40:53Z</dcterms:modified>
</cp:coreProperties>
</file>