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研究课题（LIU&amp;WANG LAB）\文章撰写\online data\finally online data\CTX 文章相关结果Final\"/>
    </mc:Choice>
  </mc:AlternateContent>
  <xr:revisionPtr revIDLastSave="0" documentId="13_ncr:1_{DE367AD0-12C2-439A-ABA6-ACEBF6ADC88A}" xr6:coauthVersionLast="47" xr6:coauthVersionMax="47" xr10:uidLastSave="{00000000-0000-0000-0000-000000000000}"/>
  <bookViews>
    <workbookView xWindow="15360" yWindow="0" windowWidth="15264" windowHeight="16680" firstSheet="14" activeTab="14" xr2:uid="{00000000-000D-0000-FFFF-FFFF00000000}"/>
  </bookViews>
  <sheets>
    <sheet name="Fig 1-Cii " sheetId="11" r:id="rId1"/>
    <sheet name="Fig 1-E " sheetId="7" r:id="rId2"/>
    <sheet name="Fig 1-F,G" sheetId="10" r:id="rId3"/>
    <sheet name="Fig 2 B " sheetId="13" r:id="rId4"/>
    <sheet name="Fig 2 C,D,E" sheetId="14" r:id="rId5"/>
    <sheet name="Fig 2 G" sheetId="15" r:id="rId6"/>
    <sheet name="Fig 2 I" sheetId="16" r:id="rId7"/>
    <sheet name="Fig 3 D" sheetId="17" r:id="rId8"/>
    <sheet name="Fig 3 E" sheetId="18" r:id="rId9"/>
    <sheet name="Fig 3 F" sheetId="19" r:id="rId10"/>
    <sheet name="Fig 3 G" sheetId="20" r:id="rId11"/>
    <sheet name="Fig 3 H" sheetId="21" r:id="rId12"/>
    <sheet name="Fig 3 I" sheetId="22" r:id="rId13"/>
    <sheet name="Fig 4-C, D" sheetId="23" r:id="rId14"/>
    <sheet name="Fig 4-F" sheetId="24" r:id="rId15"/>
    <sheet name="Fig 5-C,D" sheetId="25" r:id="rId16"/>
    <sheet name="Fig 5-E,F" sheetId="29" r:id="rId17"/>
    <sheet name="Fig 5-I" sheetId="26" r:id="rId18"/>
    <sheet name="Fig 5-J" sheetId="27" r:id="rId19"/>
    <sheet name="Fig 5-K" sheetId="28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9" l="1"/>
  <c r="J19" i="29"/>
  <c r="I19" i="29"/>
  <c r="H19" i="29"/>
  <c r="E19" i="29"/>
  <c r="D19" i="29"/>
  <c r="C19" i="29"/>
  <c r="B19" i="29"/>
  <c r="K18" i="29"/>
  <c r="J18" i="29"/>
  <c r="I18" i="29"/>
  <c r="H18" i="29"/>
  <c r="E18" i="29"/>
  <c r="D18" i="29"/>
  <c r="C18" i="29"/>
  <c r="B18" i="29"/>
  <c r="S70" i="28"/>
  <c r="R70" i="28"/>
  <c r="Q70" i="28"/>
  <c r="P70" i="28"/>
  <c r="O70" i="28"/>
  <c r="N70" i="28"/>
  <c r="M70" i="28"/>
  <c r="L70" i="28"/>
  <c r="K70" i="28"/>
  <c r="J70" i="28"/>
  <c r="I70" i="28"/>
  <c r="H70" i="28"/>
  <c r="S60" i="28"/>
  <c r="R60" i="28"/>
  <c r="Q60" i="28"/>
  <c r="P60" i="28"/>
  <c r="O60" i="28"/>
  <c r="N60" i="28"/>
  <c r="M60" i="28"/>
  <c r="L60" i="28"/>
  <c r="K60" i="28"/>
  <c r="J60" i="28"/>
  <c r="I60" i="28"/>
  <c r="H60" i="28"/>
  <c r="S50" i="28"/>
  <c r="R50" i="28"/>
  <c r="Q50" i="28"/>
  <c r="P50" i="28"/>
  <c r="O50" i="28"/>
  <c r="N50" i="28"/>
  <c r="M50" i="28"/>
  <c r="L50" i="28"/>
  <c r="K50" i="28"/>
  <c r="J50" i="28"/>
  <c r="I50" i="28"/>
  <c r="H5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S27" i="28"/>
  <c r="S51" i="28" s="1"/>
  <c r="R27" i="28"/>
  <c r="R61" i="28" s="1"/>
  <c r="Q27" i="28"/>
  <c r="P27" i="28"/>
  <c r="O27" i="28"/>
  <c r="N27" i="28"/>
  <c r="M27" i="28"/>
  <c r="L27" i="28"/>
  <c r="K27" i="28"/>
  <c r="J27" i="28"/>
  <c r="I27" i="28"/>
  <c r="H27" i="28"/>
  <c r="E35" i="27"/>
  <c r="D35" i="27"/>
  <c r="C35" i="27"/>
  <c r="B35" i="27"/>
  <c r="E34" i="27"/>
  <c r="D34" i="27"/>
  <c r="C34" i="27"/>
  <c r="B34" i="27"/>
  <c r="F40" i="26"/>
  <c r="E40" i="26"/>
  <c r="D40" i="26"/>
  <c r="C40" i="26"/>
  <c r="F39" i="26"/>
  <c r="E39" i="26"/>
  <c r="D39" i="26"/>
  <c r="C39" i="26"/>
  <c r="L4" i="26"/>
  <c r="K4" i="26"/>
  <c r="J4" i="26"/>
  <c r="I4" i="26"/>
  <c r="H4" i="26"/>
  <c r="G4" i="26"/>
  <c r="F4" i="26"/>
  <c r="E4" i="26"/>
  <c r="D4" i="26"/>
  <c r="C4" i="26"/>
  <c r="B4" i="26"/>
  <c r="A4" i="26"/>
  <c r="K31" i="25"/>
  <c r="J31" i="25"/>
  <c r="I31" i="25"/>
  <c r="H31" i="25"/>
  <c r="E31" i="25"/>
  <c r="D31" i="25"/>
  <c r="C31" i="25"/>
  <c r="B31" i="25"/>
  <c r="K30" i="25"/>
  <c r="J30" i="25"/>
  <c r="I30" i="25"/>
  <c r="H30" i="25"/>
  <c r="E30" i="25"/>
  <c r="D30" i="25"/>
  <c r="C30" i="25"/>
  <c r="B30" i="25"/>
  <c r="H51" i="28" l="1"/>
  <c r="P51" i="28"/>
  <c r="J61" i="28"/>
  <c r="Q41" i="28"/>
  <c r="L31" i="28"/>
  <c r="O31" i="28"/>
  <c r="I61" i="28"/>
  <c r="Q61" i="28"/>
  <c r="P61" i="28"/>
  <c r="N51" i="28"/>
  <c r="K41" i="28"/>
  <c r="S41" i="28"/>
  <c r="K61" i="28"/>
  <c r="S61" i="28"/>
  <c r="O71" i="28"/>
  <c r="H61" i="28"/>
  <c r="H62" i="28" s="1"/>
  <c r="K63" i="28" s="1"/>
  <c r="K64" i="28" s="1"/>
  <c r="M41" i="28"/>
  <c r="M61" i="28"/>
  <c r="J71" i="28"/>
  <c r="R71" i="28"/>
  <c r="I31" i="28"/>
  <c r="K51" i="28"/>
  <c r="K71" i="28"/>
  <c r="S71" i="28"/>
  <c r="P31" i="28"/>
  <c r="M51" i="28"/>
  <c r="N61" i="28"/>
  <c r="I51" i="28"/>
  <c r="N31" i="28"/>
  <c r="M31" i="28"/>
  <c r="J41" i="28"/>
  <c r="R41" i="28"/>
  <c r="O61" i="28"/>
  <c r="H71" i="28"/>
  <c r="P71" i="28"/>
  <c r="O51" i="28"/>
  <c r="I71" i="28"/>
  <c r="Q71" i="28"/>
  <c r="H31" i="28"/>
  <c r="Q51" i="28"/>
  <c r="R51" i="28"/>
  <c r="J31" i="28"/>
  <c r="R31" i="28"/>
  <c r="O41" i="28"/>
  <c r="L61" i="28"/>
  <c r="M71" i="28"/>
  <c r="J51" i="28"/>
  <c r="L71" i="28"/>
  <c r="K31" i="28"/>
  <c r="S31" i="28"/>
  <c r="H41" i="28"/>
  <c r="P41" i="28"/>
  <c r="L51" i="28"/>
  <c r="N71" i="28"/>
  <c r="L41" i="28"/>
  <c r="I41" i="28"/>
  <c r="Q31" i="28"/>
  <c r="N41" i="28"/>
  <c r="S63" i="28" l="1"/>
  <c r="S64" i="28" s="1"/>
  <c r="H42" i="28"/>
  <c r="M43" i="28" s="1"/>
  <c r="M44" i="28" s="1"/>
  <c r="H72" i="28"/>
  <c r="N73" i="28" s="1"/>
  <c r="N74" i="28" s="1"/>
  <c r="M63" i="28"/>
  <c r="M64" i="28" s="1"/>
  <c r="O63" i="28"/>
  <c r="O64" i="28" s="1"/>
  <c r="H52" i="28"/>
  <c r="N53" i="28" s="1"/>
  <c r="N54" i="28" s="1"/>
  <c r="H32" i="28"/>
  <c r="S33" i="28" s="1"/>
  <c r="S34" i="28" s="1"/>
  <c r="Q43" i="28"/>
  <c r="Q44" i="28" s="1"/>
  <c r="S43" i="28"/>
  <c r="S44" i="28" s="1"/>
  <c r="J43" i="28"/>
  <c r="J44" i="28" s="1"/>
  <c r="P63" i="28"/>
  <c r="P64" i="28" s="1"/>
  <c r="H63" i="28"/>
  <c r="H64" i="28" s="1"/>
  <c r="Q63" i="28"/>
  <c r="Q64" i="28" s="1"/>
  <c r="I43" i="28"/>
  <c r="I44" i="28" s="1"/>
  <c r="L63" i="28"/>
  <c r="L64" i="28" s="1"/>
  <c r="R63" i="28"/>
  <c r="R64" i="28" s="1"/>
  <c r="I63" i="28"/>
  <c r="I64" i="28" s="1"/>
  <c r="H43" i="28"/>
  <c r="H44" i="28" s="1"/>
  <c r="L43" i="28"/>
  <c r="L44" i="28" s="1"/>
  <c r="O43" i="28"/>
  <c r="O44" i="28" s="1"/>
  <c r="J63" i="28"/>
  <c r="J64" i="28" s="1"/>
  <c r="H73" i="28"/>
  <c r="H74" i="28" s="1"/>
  <c r="N63" i="28"/>
  <c r="N64" i="28" s="1"/>
  <c r="R73" i="28" l="1"/>
  <c r="R74" i="28" s="1"/>
  <c r="J73" i="28"/>
  <c r="J74" i="28" s="1"/>
  <c r="N43" i="28"/>
  <c r="N44" i="28" s="1"/>
  <c r="P43" i="28"/>
  <c r="P44" i="28" s="1"/>
  <c r="K43" i="28"/>
  <c r="K44" i="28" s="1"/>
  <c r="R43" i="28"/>
  <c r="R44" i="28" s="1"/>
  <c r="I53" i="28"/>
  <c r="I54" i="28" s="1"/>
  <c r="I33" i="28"/>
  <c r="I34" i="28" s="1"/>
  <c r="R53" i="28"/>
  <c r="R54" i="28" s="1"/>
  <c r="N33" i="28"/>
  <c r="N34" i="28" s="1"/>
  <c r="K53" i="28"/>
  <c r="K54" i="28" s="1"/>
  <c r="L53" i="28"/>
  <c r="L54" i="28" s="1"/>
  <c r="S53" i="28"/>
  <c r="S54" i="28" s="1"/>
  <c r="M33" i="28"/>
  <c r="M34" i="28" s="1"/>
  <c r="L33" i="28"/>
  <c r="L34" i="28" s="1"/>
  <c r="H53" i="28"/>
  <c r="H54" i="28" s="1"/>
  <c r="P33" i="28"/>
  <c r="P34" i="28" s="1"/>
  <c r="Q33" i="28"/>
  <c r="Q34" i="28" s="1"/>
  <c r="O33" i="28"/>
  <c r="O34" i="28" s="1"/>
  <c r="H33" i="28"/>
  <c r="H34" i="28" s="1"/>
  <c r="R33" i="28"/>
  <c r="R34" i="28" s="1"/>
  <c r="P53" i="28"/>
  <c r="P54" i="28" s="1"/>
  <c r="Q53" i="28"/>
  <c r="Q54" i="28" s="1"/>
  <c r="O53" i="28"/>
  <c r="O54" i="28" s="1"/>
  <c r="K33" i="28"/>
  <c r="K34" i="28" s="1"/>
  <c r="J33" i="28"/>
  <c r="J34" i="28" s="1"/>
  <c r="J53" i="28"/>
  <c r="J54" i="28" s="1"/>
  <c r="M53" i="28"/>
  <c r="M54" i="28" s="1"/>
  <c r="P73" i="28"/>
  <c r="P74" i="28" s="1"/>
  <c r="L73" i="28"/>
  <c r="L74" i="28" s="1"/>
  <c r="K73" i="28"/>
  <c r="K74" i="28" s="1"/>
  <c r="S73" i="28"/>
  <c r="S74" i="28" s="1"/>
  <c r="O73" i="28"/>
  <c r="O74" i="28" s="1"/>
  <c r="I73" i="28"/>
  <c r="I74" i="28" s="1"/>
  <c r="H75" i="28" s="1"/>
  <c r="Q73" i="28"/>
  <c r="Q74" i="28" s="1"/>
  <c r="M73" i="28"/>
  <c r="M74" i="28" s="1"/>
  <c r="H45" i="28"/>
  <c r="K46" i="28" s="1"/>
  <c r="H65" i="28"/>
  <c r="Q66" i="28" s="1"/>
  <c r="H55" i="28" l="1"/>
  <c r="Q56" i="28"/>
  <c r="H35" i="28"/>
  <c r="Q36" i="28" s="1"/>
  <c r="S56" i="28"/>
  <c r="O36" i="28"/>
  <c r="N36" i="28"/>
  <c r="J36" i="28"/>
  <c r="O56" i="28"/>
  <c r="L46" i="28"/>
  <c r="P56" i="28"/>
  <c r="J46" i="28"/>
  <c r="K56" i="28"/>
  <c r="R56" i="28"/>
  <c r="Q57" i="28" s="1"/>
  <c r="J56" i="28"/>
  <c r="I56" i="28"/>
  <c r="I46" i="28"/>
  <c r="H66" i="28"/>
  <c r="J66" i="28"/>
  <c r="I76" i="28"/>
  <c r="P76" i="28"/>
  <c r="Q76" i="28"/>
  <c r="N76" i="28"/>
  <c r="L76" i="28"/>
  <c r="O76" i="28"/>
  <c r="K76" i="28"/>
  <c r="M76" i="28"/>
  <c r="S76" i="28"/>
  <c r="M46" i="28"/>
  <c r="N46" i="28"/>
  <c r="N56" i="28"/>
  <c r="R46" i="28"/>
  <c r="P46" i="28"/>
  <c r="Q46" i="28"/>
  <c r="M56" i="28"/>
  <c r="O66" i="28"/>
  <c r="S66" i="28"/>
  <c r="K66" i="28"/>
  <c r="M66" i="28"/>
  <c r="R66" i="28"/>
  <c r="H76" i="28"/>
  <c r="H46" i="28"/>
  <c r="N66" i="28"/>
  <c r="S46" i="28"/>
  <c r="S36" i="28"/>
  <c r="P36" i="28"/>
  <c r="N38" i="28" s="1"/>
  <c r="K36" i="28"/>
  <c r="R36" i="28"/>
  <c r="L56" i="28"/>
  <c r="R76" i="28"/>
  <c r="P66" i="28"/>
  <c r="L66" i="28"/>
  <c r="I36" i="28"/>
  <c r="H36" i="28"/>
  <c r="H56" i="28"/>
  <c r="I66" i="28"/>
  <c r="J76" i="28"/>
  <c r="O46" i="28"/>
  <c r="M36" i="28" l="1"/>
  <c r="L36" i="28"/>
  <c r="Q37" i="28"/>
  <c r="K48" i="28"/>
  <c r="K57" i="28"/>
  <c r="K58" i="28"/>
  <c r="Q58" i="28"/>
  <c r="Q67" i="28"/>
  <c r="Q38" i="28"/>
  <c r="K47" i="28"/>
  <c r="H68" i="28"/>
  <c r="H67" i="28"/>
  <c r="K38" i="28"/>
  <c r="K37" i="28"/>
  <c r="N78" i="28"/>
  <c r="N77" i="28"/>
  <c r="N48" i="28"/>
  <c r="N47" i="28"/>
  <c r="N67" i="28"/>
  <c r="N68" i="28"/>
  <c r="H38" i="28"/>
  <c r="H37" i="28"/>
  <c r="N37" i="28"/>
  <c r="K68" i="28"/>
  <c r="K67" i="28"/>
  <c r="H57" i="28"/>
  <c r="H58" i="28"/>
  <c r="Q68" i="28"/>
  <c r="H78" i="28"/>
  <c r="H77" i="28"/>
  <c r="N57" i="28"/>
  <c r="N58" i="28"/>
  <c r="Q78" i="28"/>
  <c r="Q77" i="28"/>
  <c r="H47" i="28"/>
  <c r="H48" i="28"/>
  <c r="Q48" i="28"/>
  <c r="Q47" i="28"/>
  <c r="K78" i="28"/>
  <c r="K77" i="28"/>
  <c r="H103" i="24" l="1"/>
  <c r="G103" i="24"/>
  <c r="F103" i="24"/>
  <c r="O103" i="24" s="1"/>
  <c r="E103" i="24"/>
  <c r="D103" i="24"/>
  <c r="C103" i="24"/>
  <c r="Q102" i="24"/>
  <c r="P102" i="24"/>
  <c r="O102" i="24"/>
  <c r="N102" i="24"/>
  <c r="M102" i="24"/>
  <c r="L102" i="24"/>
  <c r="Q101" i="24"/>
  <c r="P101" i="24"/>
  <c r="O101" i="24"/>
  <c r="N101" i="24"/>
  <c r="M101" i="24"/>
  <c r="L101" i="24"/>
  <c r="Q100" i="24"/>
  <c r="P100" i="24"/>
  <c r="O100" i="24"/>
  <c r="N100" i="24"/>
  <c r="M100" i="24"/>
  <c r="L100" i="24"/>
  <c r="H96" i="24"/>
  <c r="G96" i="24"/>
  <c r="F96" i="24"/>
  <c r="O96" i="24" s="1"/>
  <c r="E96" i="24"/>
  <c r="D96" i="24"/>
  <c r="C96" i="24"/>
  <c r="Q95" i="24"/>
  <c r="P95" i="24"/>
  <c r="O95" i="24"/>
  <c r="N95" i="24"/>
  <c r="M95" i="24"/>
  <c r="L95" i="24"/>
  <c r="Q94" i="24"/>
  <c r="P94" i="24"/>
  <c r="O94" i="24"/>
  <c r="N94" i="24"/>
  <c r="M94" i="24"/>
  <c r="L94" i="24"/>
  <c r="Q93" i="24"/>
  <c r="P93" i="24"/>
  <c r="O93" i="24"/>
  <c r="N93" i="24"/>
  <c r="M93" i="24"/>
  <c r="L93" i="24"/>
  <c r="Q92" i="24"/>
  <c r="P92" i="24"/>
  <c r="O92" i="24"/>
  <c r="N92" i="24"/>
  <c r="M92" i="24"/>
  <c r="L92" i="24"/>
  <c r="H87" i="24"/>
  <c r="G87" i="24"/>
  <c r="F87" i="24"/>
  <c r="E87" i="24"/>
  <c r="D87" i="24"/>
  <c r="C87" i="24"/>
  <c r="Q86" i="24"/>
  <c r="P86" i="24"/>
  <c r="O86" i="24"/>
  <c r="N86" i="24"/>
  <c r="M86" i="24"/>
  <c r="L86" i="24"/>
  <c r="Q85" i="24"/>
  <c r="P85" i="24"/>
  <c r="O85" i="24"/>
  <c r="N85" i="24"/>
  <c r="M85" i="24"/>
  <c r="L85" i="24"/>
  <c r="Q84" i="24"/>
  <c r="P84" i="24"/>
  <c r="O84" i="24"/>
  <c r="N84" i="24"/>
  <c r="M84" i="24"/>
  <c r="L84" i="24"/>
  <c r="Q83" i="24"/>
  <c r="P83" i="24"/>
  <c r="O83" i="24"/>
  <c r="N83" i="24"/>
  <c r="M83" i="24"/>
  <c r="L83" i="24"/>
  <c r="H78" i="24"/>
  <c r="G78" i="24"/>
  <c r="F78" i="24"/>
  <c r="E78" i="24"/>
  <c r="N78" i="24" s="1"/>
  <c r="D78" i="24"/>
  <c r="M78" i="24" s="1"/>
  <c r="C78" i="24"/>
  <c r="Q77" i="24"/>
  <c r="P77" i="24"/>
  <c r="O77" i="24"/>
  <c r="N77" i="24"/>
  <c r="M77" i="24"/>
  <c r="L77" i="24"/>
  <c r="Q76" i="24"/>
  <c r="P76" i="24"/>
  <c r="O76" i="24"/>
  <c r="N76" i="24"/>
  <c r="M76" i="24"/>
  <c r="L76" i="24"/>
  <c r="Q75" i="24"/>
  <c r="P75" i="24"/>
  <c r="O75" i="24"/>
  <c r="N75" i="24"/>
  <c r="M75" i="24"/>
  <c r="L75" i="24"/>
  <c r="Q74" i="24"/>
  <c r="P74" i="24"/>
  <c r="O74" i="24"/>
  <c r="N74" i="24"/>
  <c r="M74" i="24"/>
  <c r="L74" i="24"/>
  <c r="M69" i="24"/>
  <c r="H69" i="24"/>
  <c r="G69" i="24"/>
  <c r="P69" i="24" s="1"/>
  <c r="F69" i="24"/>
  <c r="O69" i="24" s="1"/>
  <c r="E69" i="24"/>
  <c r="N69" i="24" s="1"/>
  <c r="C69" i="24"/>
  <c r="Q68" i="24"/>
  <c r="P68" i="24"/>
  <c r="O68" i="24"/>
  <c r="N68" i="24"/>
  <c r="M68" i="24"/>
  <c r="L68" i="24"/>
  <c r="Q67" i="24"/>
  <c r="P67" i="24"/>
  <c r="O67" i="24"/>
  <c r="N67" i="24"/>
  <c r="M67" i="24"/>
  <c r="L67" i="24"/>
  <c r="Q66" i="24"/>
  <c r="P66" i="24"/>
  <c r="O66" i="24"/>
  <c r="N66" i="24"/>
  <c r="M66" i="24"/>
  <c r="L66" i="24"/>
  <c r="Q65" i="24"/>
  <c r="P65" i="24"/>
  <c r="O65" i="24"/>
  <c r="N65" i="24"/>
  <c r="M65" i="24"/>
  <c r="L65" i="24"/>
  <c r="H60" i="24"/>
  <c r="G60" i="24"/>
  <c r="P60" i="24" s="1"/>
  <c r="F60" i="24"/>
  <c r="O60" i="24" s="1"/>
  <c r="E60" i="24"/>
  <c r="N60" i="24" s="1"/>
  <c r="D60" i="24"/>
  <c r="M60" i="24" s="1"/>
  <c r="C60" i="24"/>
  <c r="Q59" i="24"/>
  <c r="P59" i="24"/>
  <c r="O59" i="24"/>
  <c r="N59" i="24"/>
  <c r="M59" i="24"/>
  <c r="L59" i="24"/>
  <c r="Q58" i="24"/>
  <c r="P58" i="24"/>
  <c r="O58" i="24"/>
  <c r="N58" i="24"/>
  <c r="M58" i="24"/>
  <c r="L58" i="24"/>
  <c r="Q57" i="24"/>
  <c r="P57" i="24"/>
  <c r="O57" i="24"/>
  <c r="N57" i="24"/>
  <c r="M57" i="24"/>
  <c r="L57" i="24"/>
  <c r="Q56" i="24"/>
  <c r="P56" i="24"/>
  <c r="O56" i="24"/>
  <c r="N56" i="24"/>
  <c r="M56" i="24"/>
  <c r="L56" i="24"/>
  <c r="H51" i="24"/>
  <c r="G51" i="24"/>
  <c r="P51" i="24" s="1"/>
  <c r="F51" i="24"/>
  <c r="O51" i="24" s="1"/>
  <c r="E51" i="24"/>
  <c r="N51" i="24" s="1"/>
  <c r="D51" i="24"/>
  <c r="M51" i="24" s="1"/>
  <c r="C51" i="24"/>
  <c r="Q50" i="24"/>
  <c r="P50" i="24"/>
  <c r="O50" i="24"/>
  <c r="N50" i="24"/>
  <c r="M50" i="24"/>
  <c r="L50" i="24"/>
  <c r="Q49" i="24"/>
  <c r="P49" i="24"/>
  <c r="O49" i="24"/>
  <c r="N49" i="24"/>
  <c r="M49" i="24"/>
  <c r="L49" i="24"/>
  <c r="Q48" i="24"/>
  <c r="P48" i="24"/>
  <c r="O48" i="24"/>
  <c r="N48" i="24"/>
  <c r="M48" i="24"/>
  <c r="L48" i="24"/>
  <c r="H44" i="24"/>
  <c r="G44" i="24"/>
  <c r="P44" i="24" s="1"/>
  <c r="F44" i="24"/>
  <c r="O44" i="24" s="1"/>
  <c r="E44" i="24"/>
  <c r="N44" i="24" s="1"/>
  <c r="D44" i="24"/>
  <c r="M44" i="24" s="1"/>
  <c r="C44" i="24"/>
  <c r="Q43" i="24"/>
  <c r="P43" i="24"/>
  <c r="O43" i="24"/>
  <c r="N43" i="24"/>
  <c r="M43" i="24"/>
  <c r="L43" i="24"/>
  <c r="Q42" i="24"/>
  <c r="P42" i="24"/>
  <c r="O42" i="24"/>
  <c r="N42" i="24"/>
  <c r="M42" i="24"/>
  <c r="L42" i="24"/>
  <c r="Q41" i="24"/>
  <c r="P41" i="24"/>
  <c r="O41" i="24"/>
  <c r="N41" i="24"/>
  <c r="M41" i="24"/>
  <c r="L41" i="24"/>
  <c r="Q40" i="24"/>
  <c r="P40" i="24"/>
  <c r="O40" i="24"/>
  <c r="N40" i="24"/>
  <c r="M40" i="24"/>
  <c r="L40" i="24"/>
  <c r="H35" i="24"/>
  <c r="G35" i="24"/>
  <c r="P35" i="24" s="1"/>
  <c r="F35" i="24"/>
  <c r="E35" i="24"/>
  <c r="N35" i="24" s="1"/>
  <c r="D35" i="24"/>
  <c r="M35" i="24" s="1"/>
  <c r="C35" i="24"/>
  <c r="L35" i="24" s="1"/>
  <c r="Q34" i="24"/>
  <c r="P34" i="24"/>
  <c r="O34" i="24"/>
  <c r="N34" i="24"/>
  <c r="M34" i="24"/>
  <c r="L34" i="24"/>
  <c r="Q33" i="24"/>
  <c r="P33" i="24"/>
  <c r="O33" i="24"/>
  <c r="N33" i="24"/>
  <c r="M33" i="24"/>
  <c r="L33" i="24"/>
  <c r="Q32" i="24"/>
  <c r="P32" i="24"/>
  <c r="O32" i="24"/>
  <c r="N32" i="24"/>
  <c r="M32" i="24"/>
  <c r="L32" i="24"/>
  <c r="H27" i="24"/>
  <c r="G27" i="24"/>
  <c r="F27" i="24"/>
  <c r="O27" i="24" s="1"/>
  <c r="E27" i="24"/>
  <c r="N27" i="24" s="1"/>
  <c r="D27" i="24"/>
  <c r="M27" i="24" s="1"/>
  <c r="C27" i="24"/>
  <c r="Q26" i="24"/>
  <c r="P26" i="24"/>
  <c r="O26" i="24"/>
  <c r="N26" i="24"/>
  <c r="M26" i="24"/>
  <c r="L26" i="24"/>
  <c r="Q25" i="24"/>
  <c r="P25" i="24"/>
  <c r="O25" i="24"/>
  <c r="N25" i="24"/>
  <c r="M25" i="24"/>
  <c r="L25" i="24"/>
  <c r="Q24" i="24"/>
  <c r="P24" i="24"/>
  <c r="O24" i="24"/>
  <c r="N24" i="24"/>
  <c r="M24" i="24"/>
  <c r="L24" i="24"/>
  <c r="Q23" i="24"/>
  <c r="P23" i="24"/>
  <c r="O23" i="24"/>
  <c r="N23" i="24"/>
  <c r="M23" i="24"/>
  <c r="L23" i="24"/>
  <c r="M18" i="24"/>
  <c r="H18" i="24"/>
  <c r="G18" i="24"/>
  <c r="P18" i="24" s="1"/>
  <c r="F18" i="24"/>
  <c r="E18" i="24"/>
  <c r="N18" i="24" s="1"/>
  <c r="C18" i="24"/>
  <c r="Q17" i="24"/>
  <c r="P17" i="24"/>
  <c r="O17" i="24"/>
  <c r="N17" i="24"/>
  <c r="M17" i="24"/>
  <c r="L17" i="24"/>
  <c r="Q16" i="24"/>
  <c r="P16" i="24"/>
  <c r="O16" i="24"/>
  <c r="N16" i="24"/>
  <c r="M16" i="24"/>
  <c r="L16" i="24"/>
  <c r="AG15" i="24"/>
  <c r="AF15" i="24"/>
  <c r="AE15" i="24"/>
  <c r="AD15" i="24"/>
  <c r="AC15" i="24"/>
  <c r="AB15" i="24"/>
  <c r="Q15" i="24"/>
  <c r="P15" i="24"/>
  <c r="O15" i="24"/>
  <c r="N15" i="24"/>
  <c r="M15" i="24"/>
  <c r="L15" i="24"/>
  <c r="AG14" i="24"/>
  <c r="AF14" i="24"/>
  <c r="AE14" i="24"/>
  <c r="AD14" i="24"/>
  <c r="AC14" i="24"/>
  <c r="AB14" i="24"/>
  <c r="Q14" i="24"/>
  <c r="P14" i="24"/>
  <c r="O14" i="24"/>
  <c r="N14" i="24"/>
  <c r="M14" i="24"/>
  <c r="L14" i="24"/>
  <c r="AG13" i="24"/>
  <c r="AF13" i="24"/>
  <c r="AE13" i="24"/>
  <c r="AD13" i="24"/>
  <c r="AC13" i="24"/>
  <c r="AB13" i="24"/>
  <c r="AG12" i="24"/>
  <c r="AF12" i="24"/>
  <c r="AE12" i="24"/>
  <c r="AD12" i="24"/>
  <c r="AC12" i="24"/>
  <c r="AB12" i="24"/>
  <c r="AG9" i="24"/>
  <c r="AF9" i="24"/>
  <c r="AE9" i="24"/>
  <c r="AD9" i="24"/>
  <c r="AC9" i="24"/>
  <c r="AB9" i="24"/>
  <c r="H9" i="24"/>
  <c r="G9" i="24"/>
  <c r="P9" i="24" s="1"/>
  <c r="F9" i="24"/>
  <c r="O9" i="24" s="1"/>
  <c r="E9" i="24"/>
  <c r="N9" i="24" s="1"/>
  <c r="D9" i="24"/>
  <c r="M9" i="24" s="1"/>
  <c r="C9" i="24"/>
  <c r="AG8" i="24"/>
  <c r="AF8" i="24"/>
  <c r="AE8" i="24"/>
  <c r="AD8" i="24"/>
  <c r="AC8" i="24"/>
  <c r="AB8" i="24"/>
  <c r="Q8" i="24"/>
  <c r="P8" i="24"/>
  <c r="O8" i="24"/>
  <c r="N8" i="24"/>
  <c r="M8" i="24"/>
  <c r="L8" i="24"/>
  <c r="AG7" i="24"/>
  <c r="AF7" i="24"/>
  <c r="AE7" i="24"/>
  <c r="AD7" i="24"/>
  <c r="AC7" i="24"/>
  <c r="AB7" i="24"/>
  <c r="Q7" i="24"/>
  <c r="P7" i="24"/>
  <c r="O7" i="24"/>
  <c r="N7" i="24"/>
  <c r="M7" i="24"/>
  <c r="L7" i="24"/>
  <c r="AG6" i="24"/>
  <c r="AF6" i="24"/>
  <c r="AE6" i="24"/>
  <c r="AD6" i="24"/>
  <c r="AC6" i="24"/>
  <c r="AB6" i="24"/>
  <c r="Q6" i="24"/>
  <c r="P6" i="24"/>
  <c r="O6" i="24"/>
  <c r="N6" i="24"/>
  <c r="M6" i="24"/>
  <c r="L6" i="24"/>
  <c r="Q5" i="24"/>
  <c r="P5" i="24"/>
  <c r="O5" i="24"/>
  <c r="N5" i="24"/>
  <c r="M5" i="24"/>
  <c r="L5" i="24"/>
  <c r="L18" i="23"/>
  <c r="K18" i="23"/>
  <c r="J18" i="23"/>
  <c r="I18" i="23"/>
  <c r="E18" i="23"/>
  <c r="D18" i="23"/>
  <c r="C18" i="23"/>
  <c r="B18" i="23"/>
  <c r="L17" i="23"/>
  <c r="K17" i="23"/>
  <c r="J17" i="23"/>
  <c r="I17" i="23"/>
  <c r="E17" i="23"/>
  <c r="D17" i="23"/>
  <c r="C17" i="23"/>
  <c r="B17" i="23"/>
  <c r="L103" i="24" l="1"/>
  <c r="I51" i="24"/>
  <c r="F52" i="24" s="1"/>
  <c r="O52" i="24" s="1"/>
  <c r="Q60" i="24"/>
  <c r="P87" i="24"/>
  <c r="Q35" i="24"/>
  <c r="L44" i="24"/>
  <c r="Q87" i="24"/>
  <c r="M103" i="24"/>
  <c r="L60" i="24"/>
  <c r="L78" i="24"/>
  <c r="I78" i="24"/>
  <c r="D79" i="24" s="1"/>
  <c r="L96" i="24"/>
  <c r="N103" i="24"/>
  <c r="I103" i="24"/>
  <c r="C104" i="24" s="1"/>
  <c r="Q78" i="24"/>
  <c r="L51" i="24"/>
  <c r="L87" i="24"/>
  <c r="N96" i="24"/>
  <c r="P103" i="24"/>
  <c r="Q69" i="24"/>
  <c r="M96" i="24"/>
  <c r="Q9" i="24"/>
  <c r="N87" i="24"/>
  <c r="P96" i="24"/>
  <c r="Q18" i="24"/>
  <c r="I27" i="24"/>
  <c r="C28" i="24" s="1"/>
  <c r="I18" i="24"/>
  <c r="D19" i="24" s="1"/>
  <c r="L69" i="24"/>
  <c r="Q27" i="24"/>
  <c r="Q51" i="24"/>
  <c r="D52" i="24"/>
  <c r="M52" i="24" s="1"/>
  <c r="L18" i="24"/>
  <c r="L27" i="24"/>
  <c r="Q44" i="24"/>
  <c r="F79" i="24"/>
  <c r="Q96" i="24"/>
  <c r="L9" i="24"/>
  <c r="H52" i="24"/>
  <c r="I69" i="24"/>
  <c r="F70" i="24" s="1"/>
  <c r="M87" i="24"/>
  <c r="O87" i="24"/>
  <c r="O78" i="24"/>
  <c r="Q103" i="24"/>
  <c r="I96" i="24"/>
  <c r="C97" i="24" s="1"/>
  <c r="I9" i="24"/>
  <c r="G10" i="24" s="1"/>
  <c r="O18" i="24"/>
  <c r="P27" i="24"/>
  <c r="O35" i="24"/>
  <c r="I44" i="24"/>
  <c r="E45" i="24" s="1"/>
  <c r="I60" i="24"/>
  <c r="C61" i="24" s="1"/>
  <c r="P78" i="24"/>
  <c r="C52" i="24"/>
  <c r="E52" i="24"/>
  <c r="N52" i="24" s="1"/>
  <c r="I35" i="24"/>
  <c r="F36" i="24" s="1"/>
  <c r="G52" i="24"/>
  <c r="P52" i="24" s="1"/>
  <c r="I87" i="24"/>
  <c r="F88" i="24" s="1"/>
  <c r="O88" i="24" s="1"/>
  <c r="G19" i="24" l="1"/>
  <c r="C88" i="24"/>
  <c r="C19" i="24"/>
  <c r="R69" i="24"/>
  <c r="N70" i="24" s="1"/>
  <c r="R60" i="24"/>
  <c r="O61" i="24" s="1"/>
  <c r="G70" i="24"/>
  <c r="C70" i="24"/>
  <c r="R44" i="24"/>
  <c r="P45" i="24" s="1"/>
  <c r="E10" i="24"/>
  <c r="D28" i="24"/>
  <c r="E28" i="24"/>
  <c r="H79" i="24"/>
  <c r="F28" i="24"/>
  <c r="G79" i="24"/>
  <c r="C79" i="24"/>
  <c r="R78" i="24"/>
  <c r="N79" i="24" s="1"/>
  <c r="E79" i="24"/>
  <c r="R103" i="24"/>
  <c r="L104" i="24" s="1"/>
  <c r="R9" i="24"/>
  <c r="O10" i="24" s="1"/>
  <c r="F104" i="24"/>
  <c r="O104" i="24" s="1"/>
  <c r="H19" i="24"/>
  <c r="E19" i="24"/>
  <c r="H104" i="24"/>
  <c r="E104" i="24"/>
  <c r="D104" i="24"/>
  <c r="R27" i="24"/>
  <c r="Q28" i="24" s="1"/>
  <c r="G28" i="24"/>
  <c r="H28" i="24"/>
  <c r="G104" i="24"/>
  <c r="E70" i="24"/>
  <c r="E97" i="24"/>
  <c r="R87" i="24"/>
  <c r="Q88" i="24" s="1"/>
  <c r="R96" i="24"/>
  <c r="P97" i="24" s="1"/>
  <c r="R51" i="24"/>
  <c r="Q52" i="24" s="1"/>
  <c r="D36" i="24"/>
  <c r="H10" i="24"/>
  <c r="G88" i="24"/>
  <c r="H36" i="24"/>
  <c r="F97" i="24"/>
  <c r="D70" i="24"/>
  <c r="F19" i="24"/>
  <c r="H70" i="24"/>
  <c r="G61" i="24"/>
  <c r="F61" i="24"/>
  <c r="D61" i="24"/>
  <c r="E88" i="24"/>
  <c r="R35" i="24"/>
  <c r="H88" i="24"/>
  <c r="R18" i="24"/>
  <c r="O19" i="24" s="1"/>
  <c r="H45" i="24"/>
  <c r="G45" i="24"/>
  <c r="F45" i="24"/>
  <c r="D45" i="24"/>
  <c r="C45" i="24"/>
  <c r="M61" i="24"/>
  <c r="Q97" i="24"/>
  <c r="D88" i="24"/>
  <c r="E61" i="24"/>
  <c r="H61" i="24"/>
  <c r="F10" i="24"/>
  <c r="D10" i="24"/>
  <c r="C10" i="24"/>
  <c r="G36" i="24"/>
  <c r="E36" i="24"/>
  <c r="C36" i="24"/>
  <c r="H97" i="24"/>
  <c r="G97" i="24"/>
  <c r="D97" i="24"/>
  <c r="Q70" i="24"/>
  <c r="Q61" i="24"/>
  <c r="P70" i="24"/>
  <c r="O70" i="24" l="1"/>
  <c r="P61" i="24"/>
  <c r="M70" i="24"/>
  <c r="L70" i="24"/>
  <c r="M88" i="24"/>
  <c r="M45" i="24"/>
  <c r="N45" i="24"/>
  <c r="Q45" i="24"/>
  <c r="O45" i="24"/>
  <c r="O97" i="24"/>
  <c r="N61" i="24"/>
  <c r="L61" i="24"/>
  <c r="L45" i="24"/>
  <c r="P104" i="24"/>
  <c r="M104" i="24"/>
  <c r="N104" i="24"/>
  <c r="Q104" i="24"/>
  <c r="L79" i="24"/>
  <c r="M79" i="24"/>
  <c r="P79" i="24"/>
  <c r="O79" i="24"/>
  <c r="Q79" i="24"/>
  <c r="L97" i="24"/>
  <c r="O28" i="24"/>
  <c r="L52" i="24"/>
  <c r="N88" i="24"/>
  <c r="L28" i="24"/>
  <c r="L10" i="24"/>
  <c r="N10" i="24"/>
  <c r="P28" i="24"/>
  <c r="L88" i="24"/>
  <c r="P88" i="24"/>
  <c r="N97" i="24"/>
  <c r="M97" i="24"/>
  <c r="M28" i="24"/>
  <c r="P10" i="24"/>
  <c r="N28" i="24"/>
  <c r="M10" i="24"/>
  <c r="Q10" i="24"/>
  <c r="N36" i="24"/>
  <c r="M36" i="24"/>
  <c r="Q36" i="24"/>
  <c r="L36" i="24"/>
  <c r="P36" i="24"/>
  <c r="M19" i="24"/>
  <c r="N19" i="24"/>
  <c r="Q19" i="24"/>
  <c r="L19" i="24"/>
  <c r="P19" i="24"/>
  <c r="O36" i="24"/>
  <c r="C16" i="22" l="1"/>
  <c r="B16" i="22"/>
  <c r="C15" i="22"/>
  <c r="B15" i="22"/>
  <c r="M70" i="21"/>
  <c r="L70" i="21"/>
  <c r="K70" i="21"/>
  <c r="J70" i="21"/>
  <c r="I70" i="21"/>
  <c r="H70" i="21"/>
  <c r="M60" i="21"/>
  <c r="L60" i="21"/>
  <c r="K60" i="21"/>
  <c r="J60" i="21"/>
  <c r="I60" i="21"/>
  <c r="H60" i="21"/>
  <c r="M50" i="21"/>
  <c r="L50" i="21"/>
  <c r="K50" i="21"/>
  <c r="J50" i="21"/>
  <c r="I50" i="21"/>
  <c r="H50" i="21"/>
  <c r="M40" i="21"/>
  <c r="L40" i="21"/>
  <c r="K40" i="21"/>
  <c r="J40" i="21"/>
  <c r="I40" i="21"/>
  <c r="H40" i="21"/>
  <c r="M30" i="21"/>
  <c r="L30" i="21"/>
  <c r="L31" i="21" s="1"/>
  <c r="K30" i="21"/>
  <c r="J30" i="21"/>
  <c r="I30" i="21"/>
  <c r="H30" i="21"/>
  <c r="M27" i="21"/>
  <c r="L27" i="21"/>
  <c r="K27" i="21"/>
  <c r="J27" i="21"/>
  <c r="I27" i="21"/>
  <c r="H27" i="21"/>
  <c r="H71" i="21" s="1"/>
  <c r="C17" i="20"/>
  <c r="B17" i="20"/>
  <c r="C16" i="20"/>
  <c r="B16" i="20"/>
  <c r="J18" i="19"/>
  <c r="I18" i="19"/>
  <c r="J17" i="19"/>
  <c r="I17" i="19"/>
  <c r="F5" i="19"/>
  <c r="E5" i="19"/>
  <c r="D5" i="19"/>
  <c r="C5" i="19"/>
  <c r="B5" i="19"/>
  <c r="A5" i="19"/>
  <c r="J8" i="18"/>
  <c r="I8" i="18"/>
  <c r="J7" i="18"/>
  <c r="I7" i="18"/>
  <c r="J7" i="17"/>
  <c r="I7" i="17"/>
  <c r="J6" i="17"/>
  <c r="I6" i="17"/>
  <c r="J71" i="21" l="1"/>
  <c r="M31" i="21"/>
  <c r="K61" i="21"/>
  <c r="M71" i="21"/>
  <c r="M61" i="21"/>
  <c r="K51" i="21"/>
  <c r="L51" i="21"/>
  <c r="K41" i="21"/>
  <c r="M51" i="21"/>
  <c r="H51" i="21"/>
  <c r="L41" i="21"/>
  <c r="I31" i="21"/>
  <c r="M41" i="21"/>
  <c r="J31" i="21"/>
  <c r="J41" i="21"/>
  <c r="L71" i="21"/>
  <c r="H31" i="21"/>
  <c r="H61" i="21"/>
  <c r="I71" i="21"/>
  <c r="H41" i="21"/>
  <c r="I61" i="21"/>
  <c r="H62" i="21" s="1"/>
  <c r="K31" i="21"/>
  <c r="L61" i="21"/>
  <c r="I41" i="21"/>
  <c r="I51" i="21"/>
  <c r="J61" i="21"/>
  <c r="K71" i="21"/>
  <c r="H72" i="21"/>
  <c r="H73" i="21" s="1"/>
  <c r="H74" i="21" s="1"/>
  <c r="J51" i="21"/>
  <c r="H32" i="21" l="1"/>
  <c r="K33" i="21" s="1"/>
  <c r="K34" i="21" s="1"/>
  <c r="L63" i="21"/>
  <c r="L64" i="21" s="1"/>
  <c r="H42" i="21"/>
  <c r="L43" i="21" s="1"/>
  <c r="L44" i="21" s="1"/>
  <c r="J73" i="21"/>
  <c r="J74" i="21" s="1"/>
  <c r="I63" i="21"/>
  <c r="I64" i="21" s="1"/>
  <c r="L73" i="21"/>
  <c r="L74" i="21" s="1"/>
  <c r="H52" i="21"/>
  <c r="K73" i="21"/>
  <c r="K74" i="21" s="1"/>
  <c r="M63" i="21"/>
  <c r="M64" i="21" s="1"/>
  <c r="J63" i="21"/>
  <c r="J64" i="21" s="1"/>
  <c r="I33" i="21"/>
  <c r="I34" i="21" s="1"/>
  <c r="H63" i="21"/>
  <c r="H64" i="21" s="1"/>
  <c r="J33" i="21"/>
  <c r="J34" i="21" s="1"/>
  <c r="L33" i="21"/>
  <c r="L34" i="21" s="1"/>
  <c r="H33" i="21"/>
  <c r="H34" i="21" s="1"/>
  <c r="M73" i="21"/>
  <c r="M74" i="21" s="1"/>
  <c r="K63" i="21"/>
  <c r="K64" i="21" s="1"/>
  <c r="M33" i="21"/>
  <c r="M34" i="21" s="1"/>
  <c r="I73" i="21"/>
  <c r="I74" i="21" s="1"/>
  <c r="H75" i="21" s="1"/>
  <c r="M43" i="21"/>
  <c r="M44" i="21" s="1"/>
  <c r="H43" i="21" l="1"/>
  <c r="H44" i="21" s="1"/>
  <c r="I43" i="21"/>
  <c r="I44" i="21" s="1"/>
  <c r="K43" i="21"/>
  <c r="K44" i="21" s="1"/>
  <c r="J43" i="21"/>
  <c r="J44" i="21" s="1"/>
  <c r="J76" i="21"/>
  <c r="H76" i="21"/>
  <c r="L76" i="21"/>
  <c r="H65" i="21"/>
  <c r="H66" i="21" s="1"/>
  <c r="H53" i="21"/>
  <c r="H54" i="21" s="1"/>
  <c r="I53" i="21"/>
  <c r="I54" i="21" s="1"/>
  <c r="L53" i="21"/>
  <c r="L54" i="21" s="1"/>
  <c r="M53" i="21"/>
  <c r="M54" i="21" s="1"/>
  <c r="K53" i="21"/>
  <c r="K54" i="21" s="1"/>
  <c r="K76" i="21"/>
  <c r="H45" i="21"/>
  <c r="I46" i="21" s="1"/>
  <c r="M76" i="21"/>
  <c r="J53" i="21"/>
  <c r="J54" i="21" s="1"/>
  <c r="I76" i="21"/>
  <c r="H35" i="21"/>
  <c r="K36" i="21" s="1"/>
  <c r="I36" i="21" l="1"/>
  <c r="M36" i="21"/>
  <c r="L36" i="21"/>
  <c r="K38" i="21" s="1"/>
  <c r="M66" i="21"/>
  <c r="K46" i="21"/>
  <c r="J36" i="21"/>
  <c r="J46" i="21"/>
  <c r="L46" i="21"/>
  <c r="K47" i="21" s="1"/>
  <c r="H46" i="21"/>
  <c r="K78" i="21"/>
  <c r="K77" i="21"/>
  <c r="M46" i="21"/>
  <c r="H56" i="21"/>
  <c r="H55" i="21"/>
  <c r="I66" i="21"/>
  <c r="L66" i="21"/>
  <c r="M56" i="21"/>
  <c r="H77" i="21"/>
  <c r="H78" i="21"/>
  <c r="I56" i="21"/>
  <c r="J56" i="21"/>
  <c r="J66" i="21"/>
  <c r="K56" i="21"/>
  <c r="H36" i="21"/>
  <c r="K66" i="21"/>
  <c r="L56" i="21"/>
  <c r="K37" i="21" l="1"/>
  <c r="K48" i="21"/>
  <c r="H67" i="21"/>
  <c r="K58" i="21"/>
  <c r="K57" i="21"/>
  <c r="H47" i="21"/>
  <c r="H48" i="21"/>
  <c r="H57" i="21"/>
  <c r="H58" i="21"/>
  <c r="H68" i="21"/>
  <c r="H37" i="21"/>
  <c r="H38" i="21"/>
  <c r="K68" i="21"/>
  <c r="K67" i="21"/>
  <c r="F4" i="16"/>
  <c r="E4" i="16"/>
  <c r="D4" i="16"/>
  <c r="C4" i="16"/>
  <c r="B4" i="16"/>
  <c r="A4" i="16"/>
  <c r="K5" i="15"/>
  <c r="J5" i="15"/>
  <c r="I5" i="15"/>
  <c r="H5" i="15"/>
  <c r="G5" i="15"/>
  <c r="F5" i="15"/>
  <c r="E5" i="15"/>
  <c r="E4" i="15" s="1"/>
  <c r="D5" i="15"/>
  <c r="D4" i="15" s="1"/>
  <c r="C5" i="15"/>
  <c r="B5" i="15"/>
  <c r="K4" i="15"/>
  <c r="J4" i="15"/>
  <c r="I4" i="15"/>
  <c r="H4" i="15"/>
  <c r="G4" i="15"/>
  <c r="F4" i="15"/>
  <c r="C4" i="15"/>
  <c r="B4" i="15"/>
  <c r="Q48" i="13"/>
  <c r="H48" i="13"/>
  <c r="I48" i="13" s="1"/>
  <c r="G48" i="13"/>
  <c r="P48" i="13" s="1"/>
  <c r="F48" i="13"/>
  <c r="F49" i="13" s="1"/>
  <c r="O49" i="13" s="1"/>
  <c r="E48" i="13"/>
  <c r="N48" i="13" s="1"/>
  <c r="D48" i="13"/>
  <c r="M48" i="13" s="1"/>
  <c r="C48" i="13"/>
  <c r="Q47" i="13"/>
  <c r="P47" i="13"/>
  <c r="O47" i="13"/>
  <c r="N47" i="13"/>
  <c r="M47" i="13"/>
  <c r="L47" i="13"/>
  <c r="Q46" i="13"/>
  <c r="P46" i="13"/>
  <c r="O46" i="13"/>
  <c r="N46" i="13"/>
  <c r="M46" i="13"/>
  <c r="L46" i="13"/>
  <c r="Q45" i="13"/>
  <c r="P45" i="13"/>
  <c r="O45" i="13"/>
  <c r="N45" i="13"/>
  <c r="M45" i="13"/>
  <c r="L45" i="13"/>
  <c r="L48" i="13" s="1"/>
  <c r="P41" i="13"/>
  <c r="O41" i="13"/>
  <c r="N41" i="13"/>
  <c r="H41" i="13"/>
  <c r="G41" i="13"/>
  <c r="F41" i="13"/>
  <c r="E41" i="13"/>
  <c r="D41" i="13"/>
  <c r="M41" i="13" s="1"/>
  <c r="C41" i="13"/>
  <c r="Q40" i="13"/>
  <c r="P40" i="13"/>
  <c r="O40" i="13"/>
  <c r="N40" i="13"/>
  <c r="M40" i="13"/>
  <c r="L40" i="13"/>
  <c r="Q39" i="13"/>
  <c r="P39" i="13"/>
  <c r="O39" i="13"/>
  <c r="N39" i="13"/>
  <c r="M39" i="13"/>
  <c r="L39" i="13"/>
  <c r="Q38" i="13"/>
  <c r="P38" i="13"/>
  <c r="O38" i="13"/>
  <c r="N38" i="13"/>
  <c r="M38" i="13"/>
  <c r="L38" i="13"/>
  <c r="Q37" i="13"/>
  <c r="Q41" i="13" s="1"/>
  <c r="P37" i="13"/>
  <c r="O37" i="13"/>
  <c r="N37" i="13"/>
  <c r="M37" i="13"/>
  <c r="L37" i="13"/>
  <c r="L41" i="13" s="1"/>
  <c r="P32" i="13"/>
  <c r="H32" i="13"/>
  <c r="G32" i="13"/>
  <c r="F32" i="13"/>
  <c r="O32" i="13" s="1"/>
  <c r="E32" i="13"/>
  <c r="N32" i="13" s="1"/>
  <c r="D32" i="13"/>
  <c r="C32" i="13"/>
  <c r="Q31" i="13"/>
  <c r="P31" i="13"/>
  <c r="O31" i="13"/>
  <c r="N31" i="13"/>
  <c r="M31" i="13"/>
  <c r="L31" i="13"/>
  <c r="Q30" i="13"/>
  <c r="P30" i="13"/>
  <c r="O30" i="13"/>
  <c r="N30" i="13"/>
  <c r="M30" i="13"/>
  <c r="L30" i="13"/>
  <c r="Q29" i="13"/>
  <c r="Q32" i="13" s="1"/>
  <c r="P29" i="13"/>
  <c r="O29" i="13"/>
  <c r="N29" i="13"/>
  <c r="M29" i="13"/>
  <c r="L29" i="13"/>
  <c r="L32" i="13" s="1"/>
  <c r="P24" i="13"/>
  <c r="O24" i="13"/>
  <c r="N24" i="13"/>
  <c r="H24" i="13"/>
  <c r="G24" i="13"/>
  <c r="F24" i="13"/>
  <c r="E24" i="13"/>
  <c r="D24" i="13"/>
  <c r="C24" i="13"/>
  <c r="Q23" i="13"/>
  <c r="P23" i="13"/>
  <c r="O23" i="13"/>
  <c r="N23" i="13"/>
  <c r="M23" i="13"/>
  <c r="L23" i="13"/>
  <c r="Q22" i="13"/>
  <c r="P22" i="13"/>
  <c r="O22" i="13"/>
  <c r="N22" i="13"/>
  <c r="M22" i="13"/>
  <c r="L22" i="13"/>
  <c r="Q21" i="13"/>
  <c r="P21" i="13"/>
  <c r="O21" i="13"/>
  <c r="N21" i="13"/>
  <c r="M21" i="13"/>
  <c r="L21" i="13"/>
  <c r="L24" i="13" s="1"/>
  <c r="Q20" i="13"/>
  <c r="Q24" i="13" s="1"/>
  <c r="P20" i="13"/>
  <c r="O20" i="13"/>
  <c r="N20" i="13"/>
  <c r="M20" i="13"/>
  <c r="L20" i="13"/>
  <c r="O15" i="13"/>
  <c r="N15" i="13"/>
  <c r="M15" i="13"/>
  <c r="I15" i="13"/>
  <c r="F16" i="13" s="1"/>
  <c r="H15" i="13"/>
  <c r="H16" i="13" s="1"/>
  <c r="G15" i="13"/>
  <c r="P15" i="13" s="1"/>
  <c r="F15" i="13"/>
  <c r="E15" i="13"/>
  <c r="C15" i="13"/>
  <c r="Q14" i="13"/>
  <c r="P14" i="13"/>
  <c r="O14" i="13"/>
  <c r="N14" i="13"/>
  <c r="M14" i="13"/>
  <c r="L14" i="13"/>
  <c r="Q13" i="13"/>
  <c r="P13" i="13"/>
  <c r="O13" i="13"/>
  <c r="N13" i="13"/>
  <c r="M13" i="13"/>
  <c r="L13" i="13"/>
  <c r="Q12" i="13"/>
  <c r="P12" i="13"/>
  <c r="O12" i="13"/>
  <c r="N12" i="13"/>
  <c r="M12" i="13"/>
  <c r="L12" i="13"/>
  <c r="L15" i="13" s="1"/>
  <c r="Q11" i="13"/>
  <c r="Q15" i="13" s="1"/>
  <c r="P11" i="13"/>
  <c r="O11" i="13"/>
  <c r="N11" i="13"/>
  <c r="M11" i="13"/>
  <c r="L11" i="13"/>
  <c r="O6" i="13"/>
  <c r="N6" i="13"/>
  <c r="M6" i="13"/>
  <c r="L6" i="13"/>
  <c r="H6" i="13"/>
  <c r="G6" i="13"/>
  <c r="P6" i="13" s="1"/>
  <c r="F6" i="13"/>
  <c r="E6" i="13"/>
  <c r="D6" i="13"/>
  <c r="C6" i="13"/>
  <c r="Q5" i="13"/>
  <c r="P5" i="13"/>
  <c r="O5" i="13"/>
  <c r="N5" i="13"/>
  <c r="M5" i="13"/>
  <c r="L5" i="13"/>
  <c r="Q4" i="13"/>
  <c r="P4" i="13"/>
  <c r="O4" i="13"/>
  <c r="N4" i="13"/>
  <c r="M4" i="13"/>
  <c r="L4" i="13"/>
  <c r="Q3" i="13"/>
  <c r="P3" i="13"/>
  <c r="O3" i="13"/>
  <c r="N3" i="13"/>
  <c r="M3" i="13"/>
  <c r="L3" i="13"/>
  <c r="Q2" i="13"/>
  <c r="Q6" i="13" s="1"/>
  <c r="P2" i="13"/>
  <c r="O2" i="13"/>
  <c r="N2" i="13"/>
  <c r="M2" i="13"/>
  <c r="L2" i="13"/>
  <c r="R15" i="13" l="1"/>
  <c r="P16" i="13" s="1"/>
  <c r="M16" i="13"/>
  <c r="M7" i="13"/>
  <c r="N7" i="13"/>
  <c r="R41" i="13"/>
  <c r="P42" i="13" s="1"/>
  <c r="L42" i="13"/>
  <c r="D49" i="13"/>
  <c r="M49" i="13" s="1"/>
  <c r="C49" i="13"/>
  <c r="D16" i="13"/>
  <c r="I24" i="13"/>
  <c r="M32" i="13"/>
  <c r="R32" i="13" s="1"/>
  <c r="I41" i="13"/>
  <c r="E42" i="13" s="1"/>
  <c r="O48" i="13"/>
  <c r="R48" i="13" s="1"/>
  <c r="G49" i="13"/>
  <c r="P49" i="13" s="1"/>
  <c r="R6" i="13"/>
  <c r="O7" i="13" s="1"/>
  <c r="I6" i="13"/>
  <c r="H7" i="13" s="1"/>
  <c r="F33" i="13"/>
  <c r="O33" i="13" s="1"/>
  <c r="D42" i="13"/>
  <c r="H49" i="13"/>
  <c r="M24" i="13"/>
  <c r="C16" i="13"/>
  <c r="E16" i="13"/>
  <c r="G16" i="13"/>
  <c r="I32" i="13"/>
  <c r="E49" i="13"/>
  <c r="N49" i="13" s="1"/>
  <c r="Q49" i="13" l="1"/>
  <c r="L49" i="13"/>
  <c r="Q33" i="13"/>
  <c r="L33" i="13"/>
  <c r="L16" i="13"/>
  <c r="C7" i="13"/>
  <c r="G25" i="13"/>
  <c r="F25" i="13"/>
  <c r="H25" i="13"/>
  <c r="E25" i="13"/>
  <c r="C25" i="13"/>
  <c r="Q16" i="13"/>
  <c r="L7" i="13"/>
  <c r="Q42" i="13"/>
  <c r="Q7" i="13"/>
  <c r="C33" i="13"/>
  <c r="H33" i="13"/>
  <c r="N42" i="13"/>
  <c r="O42" i="13"/>
  <c r="G33" i="13"/>
  <c r="P33" i="13" s="1"/>
  <c r="G7" i="13"/>
  <c r="F7" i="13"/>
  <c r="E7" i="13"/>
  <c r="D7" i="13"/>
  <c r="M42" i="13"/>
  <c r="R24" i="13"/>
  <c r="D25" i="13"/>
  <c r="O16" i="13"/>
  <c r="N16" i="13"/>
  <c r="H42" i="13"/>
  <c r="G42" i="13"/>
  <c r="F42" i="13"/>
  <c r="E33" i="13"/>
  <c r="N33" i="13" s="1"/>
  <c r="P7" i="13"/>
  <c r="C42" i="13"/>
  <c r="D33" i="13"/>
  <c r="M33" i="13" s="1"/>
  <c r="P25" i="13" l="1"/>
  <c r="Q25" i="13"/>
  <c r="L25" i="13"/>
  <c r="O25" i="13"/>
  <c r="N25" i="13"/>
  <c r="M25" i="13"/>
  <c r="J22" i="11" l="1"/>
  <c r="I22" i="11"/>
  <c r="J21" i="11"/>
  <c r="I21" i="11"/>
  <c r="H8" i="11"/>
  <c r="H7" i="11"/>
  <c r="H6" i="11"/>
  <c r="H5" i="11"/>
  <c r="H4" i="11"/>
  <c r="H3" i="11"/>
  <c r="L3" i="10"/>
  <c r="P3" i="10"/>
  <c r="Q3" i="10"/>
  <c r="L4" i="10"/>
  <c r="P4" i="10"/>
  <c r="S3" i="10" s="1"/>
  <c r="Q4" i="10"/>
  <c r="T3" i="10" s="1"/>
  <c r="L5" i="10"/>
  <c r="P5" i="10"/>
  <c r="S4" i="10" s="1"/>
  <c r="Q5" i="10"/>
  <c r="L6" i="10"/>
  <c r="P6" i="10"/>
  <c r="S5" i="10" s="1"/>
  <c r="Q6" i="10"/>
  <c r="T5" i="10" s="1"/>
  <c r="L7" i="10"/>
  <c r="P7" i="10"/>
  <c r="S6" i="10" s="1"/>
  <c r="Q7" i="10"/>
  <c r="L8" i="10"/>
  <c r="P8" i="10"/>
  <c r="S7" i="10" s="1"/>
  <c r="Q8" i="10"/>
  <c r="T7" i="10" s="1"/>
  <c r="T8" i="10"/>
  <c r="L9" i="10"/>
  <c r="P9" i="10"/>
  <c r="S8" i="10" s="1"/>
  <c r="Q9" i="10"/>
  <c r="L10" i="10"/>
  <c r="P10" i="10"/>
  <c r="Q10" i="10"/>
  <c r="T9" i="10" s="1"/>
  <c r="T10" i="10"/>
  <c r="L11" i="10"/>
  <c r="P11" i="10"/>
  <c r="S10" i="10" s="1"/>
  <c r="Q11" i="10"/>
  <c r="L12" i="10"/>
  <c r="P12" i="10"/>
  <c r="Q12" i="10"/>
  <c r="T11" i="10" s="1"/>
  <c r="L13" i="10"/>
  <c r="P13" i="10"/>
  <c r="S12" i="10" s="1"/>
  <c r="Q13" i="10"/>
  <c r="T12" i="10" s="1"/>
  <c r="S13" i="10"/>
  <c r="L14" i="10"/>
  <c r="P14" i="10"/>
  <c r="Q14" i="10"/>
  <c r="T13" i="10" s="1"/>
  <c r="L15" i="10"/>
  <c r="P15" i="10"/>
  <c r="S14" i="10" s="1"/>
  <c r="Q15" i="10"/>
  <c r="T14" i="10" s="1"/>
  <c r="S15" i="10"/>
  <c r="L16" i="10"/>
  <c r="P16" i="10"/>
  <c r="Q16" i="10"/>
  <c r="L17" i="10"/>
  <c r="P17" i="10"/>
  <c r="S16" i="10" s="1"/>
  <c r="Q17" i="10"/>
  <c r="T16" i="10" s="1"/>
  <c r="L18" i="10"/>
  <c r="P18" i="10"/>
  <c r="Q18" i="10"/>
  <c r="L19" i="10"/>
  <c r="P19" i="10"/>
  <c r="S18" i="10" s="1"/>
  <c r="Q19" i="10"/>
  <c r="T18" i="10" s="1"/>
  <c r="L20" i="10"/>
  <c r="P20" i="10"/>
  <c r="Q20" i="10"/>
  <c r="L21" i="10"/>
  <c r="P21" i="10"/>
  <c r="S20" i="10" s="1"/>
  <c r="Q21" i="10"/>
  <c r="T20" i="10" s="1"/>
  <c r="S21" i="10"/>
  <c r="T21" i="10"/>
  <c r="L22" i="10"/>
  <c r="P22" i="10"/>
  <c r="Q22" i="10"/>
  <c r="L23" i="10"/>
  <c r="P23" i="10"/>
  <c r="S22" i="10" s="1"/>
  <c r="Q23" i="10"/>
  <c r="T22" i="10" s="1"/>
  <c r="L24" i="10"/>
  <c r="P24" i="10"/>
  <c r="S23" i="10" s="1"/>
  <c r="Q24" i="10"/>
  <c r="T23" i="10" s="1"/>
  <c r="L25" i="10"/>
  <c r="P25" i="10"/>
  <c r="Q25" i="10"/>
  <c r="T24" i="10" s="1"/>
  <c r="L26" i="10"/>
  <c r="P26" i="10"/>
  <c r="S25" i="10" s="1"/>
  <c r="Q26" i="10"/>
  <c r="T25" i="10" s="1"/>
  <c r="L27" i="10"/>
  <c r="P27" i="10"/>
  <c r="S26" i="10" s="1"/>
  <c r="Q27" i="10"/>
  <c r="T26" i="10" s="1"/>
  <c r="L28" i="10"/>
  <c r="P28" i="10"/>
  <c r="S27" i="10" s="1"/>
  <c r="Q28" i="10"/>
  <c r="T27" i="10" s="1"/>
  <c r="L29" i="10"/>
  <c r="P29" i="10"/>
  <c r="Q29" i="10"/>
  <c r="L30" i="10"/>
  <c r="P30" i="10"/>
  <c r="S29" i="10" s="1"/>
  <c r="Q30" i="10"/>
  <c r="T29" i="10" s="1"/>
  <c r="L31" i="10"/>
  <c r="P31" i="10"/>
  <c r="Q31" i="10"/>
  <c r="L32" i="10"/>
  <c r="P32" i="10"/>
  <c r="S31" i="10" s="1"/>
  <c r="Q32" i="10"/>
  <c r="T32" i="10"/>
  <c r="L33" i="10"/>
  <c r="P33" i="10"/>
  <c r="Q33" i="10"/>
  <c r="L34" i="10"/>
  <c r="P34" i="10"/>
  <c r="S33" i="10" s="1"/>
  <c r="Q34" i="10"/>
  <c r="T33" i="10" s="1"/>
  <c r="S34" i="10"/>
  <c r="T34" i="10"/>
  <c r="L35" i="10"/>
  <c r="P35" i="10"/>
  <c r="Q35" i="10"/>
  <c r="L36" i="10"/>
  <c r="P36" i="10"/>
  <c r="S35" i="10" s="1"/>
  <c r="Q36" i="10"/>
  <c r="T35" i="10" s="1"/>
  <c r="L37" i="10"/>
  <c r="P37" i="10"/>
  <c r="S36" i="10" s="1"/>
  <c r="Q37" i="10"/>
  <c r="L38" i="10"/>
  <c r="P38" i="10"/>
  <c r="S37" i="10" s="1"/>
  <c r="Q38" i="10"/>
  <c r="T37" i="10" s="1"/>
  <c r="L39" i="10"/>
  <c r="P39" i="10"/>
  <c r="S38" i="10" s="1"/>
  <c r="Q39" i="10"/>
  <c r="L40" i="10"/>
  <c r="P40" i="10"/>
  <c r="S39" i="10" s="1"/>
  <c r="Q40" i="10"/>
  <c r="T39" i="10" s="1"/>
  <c r="T40" i="10"/>
  <c r="L41" i="10"/>
  <c r="P41" i="10"/>
  <c r="S40" i="10" s="1"/>
  <c r="Q41" i="10"/>
  <c r="L42" i="10"/>
  <c r="P42" i="10"/>
  <c r="Q42" i="10"/>
  <c r="T41" i="10" s="1"/>
  <c r="T42" i="10"/>
  <c r="L43" i="10"/>
  <c r="P43" i="10"/>
  <c r="S42" i="10" s="1"/>
  <c r="Q43" i="10"/>
  <c r="L44" i="10"/>
  <c r="P44" i="10"/>
  <c r="Q44" i="10"/>
  <c r="T43" i="10" s="1"/>
  <c r="L45" i="10"/>
  <c r="P45" i="10"/>
  <c r="S44" i="10" s="1"/>
  <c r="Q45" i="10"/>
  <c r="T44" i="10" s="1"/>
  <c r="S45" i="10"/>
  <c r="C32" i="10"/>
  <c r="D32" i="10"/>
  <c r="L46" i="10"/>
  <c r="P46" i="10"/>
  <c r="Q46" i="10"/>
  <c r="T45" i="10" s="1"/>
  <c r="C33" i="10"/>
  <c r="D33" i="10"/>
  <c r="L47" i="10"/>
  <c r="P47" i="10"/>
  <c r="S46" i="10" s="1"/>
  <c r="Q47" i="10"/>
  <c r="L48" i="10"/>
  <c r="P48" i="10"/>
  <c r="S48" i="10" s="1"/>
  <c r="Q48" i="10"/>
  <c r="T47" i="10" s="1"/>
  <c r="L49" i="10"/>
  <c r="P49" i="10"/>
  <c r="Q49" i="10"/>
  <c r="T48" i="10" s="1"/>
  <c r="L50" i="10"/>
  <c r="P50" i="10"/>
  <c r="S49" i="10" s="1"/>
  <c r="Q50" i="10"/>
  <c r="T49" i="10" s="1"/>
  <c r="L51" i="10"/>
  <c r="P51" i="10"/>
  <c r="S51" i="10" s="1"/>
  <c r="Q51" i="10"/>
  <c r="L52" i="10"/>
  <c r="P52" i="10"/>
  <c r="Q52" i="10"/>
  <c r="T51" i="10" s="1"/>
  <c r="L53" i="10"/>
  <c r="P53" i="10"/>
  <c r="S52" i="10" s="1"/>
  <c r="Q53" i="10"/>
  <c r="T52" i="10" s="1"/>
  <c r="L54" i="10"/>
  <c r="P54" i="10"/>
  <c r="Q54" i="10"/>
  <c r="T54" i="10" s="1"/>
  <c r="L55" i="10"/>
  <c r="P55" i="10"/>
  <c r="S54" i="10" s="1"/>
  <c r="Q55" i="10"/>
  <c r="L56" i="10"/>
  <c r="P56" i="10"/>
  <c r="Q56" i="10"/>
  <c r="L57" i="10"/>
  <c r="P57" i="10"/>
  <c r="S56" i="10" s="1"/>
  <c r="Q57" i="10"/>
  <c r="T56" i="10" s="1"/>
  <c r="L58" i="10"/>
  <c r="P58" i="10"/>
  <c r="Q58" i="10"/>
  <c r="T57" i="10" s="1"/>
  <c r="L59" i="10"/>
  <c r="P59" i="10"/>
  <c r="S59" i="10" s="1"/>
  <c r="Q59" i="10"/>
  <c r="T58" i="10" s="1"/>
  <c r="L60" i="10"/>
  <c r="P60" i="10"/>
  <c r="Q60" i="10"/>
  <c r="L61" i="10"/>
  <c r="P61" i="10"/>
  <c r="Q61" i="10"/>
  <c r="T60" i="10" s="1"/>
  <c r="S61" i="10"/>
  <c r="L62" i="10"/>
  <c r="P62" i="10"/>
  <c r="Q62" i="10"/>
  <c r="L63" i="10"/>
  <c r="P63" i="10"/>
  <c r="S62" i="10" s="1"/>
  <c r="Q63" i="10"/>
  <c r="L64" i="10"/>
  <c r="P64" i="10"/>
  <c r="S63" i="10" s="1"/>
  <c r="Q64" i="10"/>
  <c r="L65" i="10"/>
  <c r="P65" i="10"/>
  <c r="S64" i="10" s="1"/>
  <c r="Q65" i="10"/>
  <c r="T64" i="10" s="1"/>
  <c r="S65" i="10"/>
  <c r="T65" i="10"/>
  <c r="L66" i="10"/>
  <c r="P66" i="10"/>
  <c r="Q66" i="10"/>
  <c r="L67" i="10"/>
  <c r="P67" i="10"/>
  <c r="Q67" i="10"/>
  <c r="T66" i="10" s="1"/>
  <c r="L68" i="10"/>
  <c r="P68" i="10"/>
  <c r="Q68" i="10"/>
  <c r="T67" i="10" s="1"/>
  <c r="L69" i="10"/>
  <c r="P69" i="10"/>
  <c r="Q69" i="10"/>
  <c r="T68" i="10" s="1"/>
  <c r="L70" i="10"/>
  <c r="P70" i="10"/>
  <c r="S70" i="10" s="1"/>
  <c r="Q70" i="10"/>
  <c r="L71" i="10"/>
  <c r="P71" i="10"/>
  <c r="Q71" i="10"/>
  <c r="L72" i="10"/>
  <c r="P72" i="10"/>
  <c r="S71" i="10" s="1"/>
  <c r="Q72" i="10"/>
  <c r="T71" i="10" s="1"/>
  <c r="L73" i="10"/>
  <c r="P73" i="10"/>
  <c r="Q73" i="10"/>
  <c r="L74" i="10"/>
  <c r="P74" i="10"/>
  <c r="S73" i="10" s="1"/>
  <c r="Q74" i="10"/>
  <c r="T73" i="10" s="1"/>
  <c r="L75" i="10"/>
  <c r="P75" i="10"/>
  <c r="S75" i="10" s="1"/>
  <c r="Q75" i="10"/>
  <c r="L76" i="10"/>
  <c r="P76" i="10"/>
  <c r="Q76" i="10"/>
  <c r="T75" i="10" s="1"/>
  <c r="L77" i="10"/>
  <c r="P77" i="10"/>
  <c r="S76" i="10" s="1"/>
  <c r="Q77" i="10"/>
  <c r="L78" i="10"/>
  <c r="P78" i="10"/>
  <c r="S77" i="10" s="1"/>
  <c r="Q78" i="10"/>
  <c r="T78" i="10" s="1"/>
  <c r="S78" i="10"/>
  <c r="L79" i="10"/>
  <c r="P79" i="10"/>
  <c r="Q79" i="10"/>
  <c r="L80" i="10"/>
  <c r="P80" i="10"/>
  <c r="S79" i="10" s="1"/>
  <c r="Q80" i="10"/>
  <c r="T80" i="10"/>
  <c r="L81" i="10"/>
  <c r="P81" i="10"/>
  <c r="Q81" i="10"/>
  <c r="L82" i="10"/>
  <c r="P82" i="10"/>
  <c r="S81" i="10" s="1"/>
  <c r="Q82" i="10"/>
  <c r="T81" i="10" s="1"/>
  <c r="L83" i="10"/>
  <c r="P83" i="10"/>
  <c r="S83" i="10" s="1"/>
  <c r="Q83" i="10"/>
  <c r="L84" i="10"/>
  <c r="P84" i="10"/>
  <c r="Q84" i="10"/>
  <c r="T83" i="10" s="1"/>
  <c r="L85" i="10"/>
  <c r="P85" i="10"/>
  <c r="S84" i="10" s="1"/>
  <c r="Q85" i="10"/>
  <c r="T84" i="10" s="1"/>
  <c r="L86" i="10"/>
  <c r="P86" i="10"/>
  <c r="Q86" i="10"/>
  <c r="T86" i="10" s="1"/>
  <c r="L87" i="10"/>
  <c r="P87" i="10"/>
  <c r="S86" i="10" s="1"/>
  <c r="Q87" i="10"/>
  <c r="L88" i="10"/>
  <c r="P88" i="10"/>
  <c r="Q88" i="10"/>
  <c r="T88" i="10"/>
  <c r="L89" i="10"/>
  <c r="P89" i="10"/>
  <c r="S88" i="10" s="1"/>
  <c r="Q89" i="10"/>
  <c r="L90" i="10"/>
  <c r="P90" i="10"/>
  <c r="Q90" i="10"/>
  <c r="T89" i="10" s="1"/>
  <c r="L91" i="10"/>
  <c r="P91" i="10"/>
  <c r="S91" i="10" s="1"/>
  <c r="Q91" i="10"/>
  <c r="T90" i="10" s="1"/>
  <c r="L92" i="10"/>
  <c r="P92" i="10"/>
  <c r="Q92" i="10"/>
  <c r="L93" i="10"/>
  <c r="P93" i="10"/>
  <c r="Q93" i="10"/>
  <c r="T92" i="10" s="1"/>
  <c r="S93" i="10"/>
  <c r="L94" i="10"/>
  <c r="P94" i="10"/>
  <c r="Q94" i="10"/>
  <c r="L95" i="10"/>
  <c r="P95" i="10"/>
  <c r="S94" i="10" s="1"/>
  <c r="Q95" i="10"/>
  <c r="L96" i="10"/>
  <c r="P96" i="10"/>
  <c r="Q96" i="10"/>
  <c r="T96" i="10" s="1"/>
  <c r="L97" i="10"/>
  <c r="P97" i="10"/>
  <c r="Q97" i="10"/>
  <c r="S97" i="10"/>
  <c r="T97" i="10"/>
  <c r="L98" i="10"/>
  <c r="P98" i="10"/>
  <c r="Q98" i="10"/>
  <c r="L99" i="10"/>
  <c r="P99" i="10"/>
  <c r="S99" i="10" s="1"/>
  <c r="Q99" i="10"/>
  <c r="L100" i="10"/>
  <c r="P100" i="10"/>
  <c r="Q100" i="10"/>
  <c r="L101" i="10"/>
  <c r="P101" i="10"/>
  <c r="Q101" i="10"/>
  <c r="T100" i="10" s="1"/>
  <c r="L102" i="10"/>
  <c r="P102" i="10"/>
  <c r="S102" i="10" s="1"/>
  <c r="Q102" i="10"/>
  <c r="L103" i="10"/>
  <c r="P103" i="10"/>
  <c r="Q103" i="10"/>
  <c r="L104" i="10"/>
  <c r="P104" i="10"/>
  <c r="S104" i="10" s="1"/>
  <c r="Q104" i="10"/>
  <c r="T103" i="10" s="1"/>
  <c r="L105" i="10"/>
  <c r="P105" i="10"/>
  <c r="Q105" i="10"/>
  <c r="L106" i="10"/>
  <c r="P106" i="10"/>
  <c r="S105" i="10" s="1"/>
  <c r="Q106" i="10"/>
  <c r="T105" i="10" s="1"/>
  <c r="L107" i="10"/>
  <c r="P107" i="10"/>
  <c r="S107" i="10" s="1"/>
  <c r="Q107" i="10"/>
  <c r="L108" i="10"/>
  <c r="P108" i="10"/>
  <c r="Q108" i="10"/>
  <c r="T108" i="10" s="1"/>
  <c r="L109" i="10"/>
  <c r="P109" i="10"/>
  <c r="S108" i="10" s="1"/>
  <c r="Q109" i="10"/>
  <c r="L110" i="10"/>
  <c r="P110" i="10"/>
  <c r="S109" i="10" s="1"/>
  <c r="Q110" i="10"/>
  <c r="T110" i="10" s="1"/>
  <c r="S110" i="10"/>
  <c r="L111" i="10"/>
  <c r="P111" i="10"/>
  <c r="Q111" i="10"/>
  <c r="L112" i="10"/>
  <c r="P112" i="10"/>
  <c r="S112" i="10" s="1"/>
  <c r="Q112" i="10"/>
  <c r="T112" i="10"/>
  <c r="L113" i="10"/>
  <c r="P113" i="10"/>
  <c r="S113" i="10" s="1"/>
  <c r="Q113" i="10"/>
  <c r="L114" i="10"/>
  <c r="P114" i="10"/>
  <c r="Q114" i="10"/>
  <c r="T113" i="10" s="1"/>
  <c r="L115" i="10"/>
  <c r="P115" i="10"/>
  <c r="S115" i="10" s="1"/>
  <c r="Q115" i="10"/>
  <c r="L116" i="10"/>
  <c r="P116" i="10"/>
  <c r="Q116" i="10"/>
  <c r="L117" i="10"/>
  <c r="P117" i="10"/>
  <c r="S116" i="10" s="1"/>
  <c r="Q117" i="10"/>
  <c r="T116" i="10" s="1"/>
  <c r="L118" i="10"/>
  <c r="P118" i="10"/>
  <c r="Q118" i="10"/>
  <c r="T118" i="10" s="1"/>
  <c r="L119" i="10"/>
  <c r="P119" i="10"/>
  <c r="S118" i="10" s="1"/>
  <c r="Q119" i="10"/>
  <c r="L120" i="10"/>
  <c r="P120" i="10"/>
  <c r="Q120" i="10"/>
  <c r="L121" i="10"/>
  <c r="P121" i="10"/>
  <c r="S121" i="10" s="1"/>
  <c r="Q121" i="10"/>
  <c r="T120" i="10" s="1"/>
  <c r="L122" i="10"/>
  <c r="P122" i="10"/>
  <c r="Q122" i="10"/>
  <c r="T121" i="10" s="1"/>
  <c r="L123" i="10"/>
  <c r="P123" i="10"/>
  <c r="S123" i="10" s="1"/>
  <c r="Q123" i="10"/>
  <c r="T123" i="10" s="1"/>
  <c r="L124" i="10"/>
  <c r="P124" i="10"/>
  <c r="Q124" i="10"/>
  <c r="L125" i="10"/>
  <c r="P125" i="10"/>
  <c r="Q125" i="10"/>
  <c r="T124" i="10" s="1"/>
  <c r="S125" i="10"/>
  <c r="L126" i="10"/>
  <c r="P126" i="10"/>
  <c r="Q126" i="10"/>
  <c r="L127" i="10"/>
  <c r="P127" i="10"/>
  <c r="S126" i="10" s="1"/>
  <c r="Q127" i="10"/>
  <c r="L128" i="10"/>
  <c r="P128" i="10"/>
  <c r="Q128" i="10"/>
  <c r="T128" i="10" s="1"/>
  <c r="L129" i="10"/>
  <c r="P129" i="10"/>
  <c r="Q129" i="10"/>
  <c r="S129" i="10"/>
  <c r="T129" i="10"/>
  <c r="L130" i="10"/>
  <c r="P130" i="10"/>
  <c r="Q130" i="10"/>
  <c r="L131" i="10"/>
  <c r="P131" i="10"/>
  <c r="Q131" i="10"/>
  <c r="L132" i="10"/>
  <c r="P132" i="10"/>
  <c r="Q132" i="10"/>
  <c r="L133" i="10"/>
  <c r="P133" i="10"/>
  <c r="Q133" i="10"/>
  <c r="T132" i="10" s="1"/>
  <c r="L134" i="10"/>
  <c r="P134" i="10"/>
  <c r="S134" i="10" s="1"/>
  <c r="Q134" i="10"/>
  <c r="L135" i="10"/>
  <c r="P135" i="10"/>
  <c r="Q135" i="10"/>
  <c r="L136" i="10"/>
  <c r="P136" i="10"/>
  <c r="S135" i="10" s="1"/>
  <c r="Q136" i="10"/>
  <c r="T135" i="10" s="1"/>
  <c r="L137" i="10"/>
  <c r="P137" i="10"/>
  <c r="Q137" i="10"/>
  <c r="L138" i="10"/>
  <c r="P138" i="10"/>
  <c r="S137" i="10" s="1"/>
  <c r="Q138" i="10"/>
  <c r="T137" i="10" s="1"/>
  <c r="L139" i="10"/>
  <c r="P139" i="10"/>
  <c r="S139" i="10" s="1"/>
  <c r="Q139" i="10"/>
  <c r="L140" i="10"/>
  <c r="P140" i="10"/>
  <c r="Q140" i="10"/>
  <c r="T139" i="10" s="1"/>
  <c r="L141" i="10"/>
  <c r="P141" i="10"/>
  <c r="S140" i="10" s="1"/>
  <c r="Q141" i="10"/>
  <c r="L142" i="10"/>
  <c r="P142" i="10"/>
  <c r="S141" i="10" s="1"/>
  <c r="Q142" i="10"/>
  <c r="T142" i="10" s="1"/>
  <c r="S142" i="10"/>
  <c r="L143" i="10"/>
  <c r="P143" i="10"/>
  <c r="Q143" i="10"/>
  <c r="L144" i="10"/>
  <c r="P144" i="10"/>
  <c r="S143" i="10" s="1"/>
  <c r="Q144" i="10"/>
  <c r="T144" i="10"/>
  <c r="L145" i="10"/>
  <c r="P145" i="10"/>
  <c r="Q145" i="10"/>
  <c r="S145" i="10"/>
  <c r="L146" i="10"/>
  <c r="P146" i="10"/>
  <c r="Q146" i="10"/>
  <c r="T145" i="10" s="1"/>
  <c r="L147" i="10"/>
  <c r="P147" i="10"/>
  <c r="S147" i="10" s="1"/>
  <c r="Q147" i="10"/>
  <c r="L148" i="10"/>
  <c r="P148" i="10"/>
  <c r="Q148" i="10"/>
  <c r="T147" i="10" s="1"/>
  <c r="L149" i="10"/>
  <c r="P149" i="10"/>
  <c r="S148" i="10" s="1"/>
  <c r="Q149" i="10"/>
  <c r="T148" i="10" s="1"/>
  <c r="L150" i="10"/>
  <c r="P150" i="10"/>
  <c r="Q150" i="10"/>
  <c r="T150" i="10" s="1"/>
  <c r="L151" i="10"/>
  <c r="P151" i="10"/>
  <c r="S150" i="10" s="1"/>
  <c r="Q151" i="10"/>
  <c r="L152" i="10"/>
  <c r="P152" i="10"/>
  <c r="Q152" i="10"/>
  <c r="L153" i="10"/>
  <c r="P153" i="10"/>
  <c r="S152" i="10" s="1"/>
  <c r="Q153" i="10"/>
  <c r="T152" i="10" s="1"/>
  <c r="L154" i="10"/>
  <c r="P154" i="10"/>
  <c r="Q154" i="10"/>
  <c r="T153" i="10" s="1"/>
  <c r="L155" i="10"/>
  <c r="P155" i="10"/>
  <c r="S155" i="10" s="1"/>
  <c r="Q155" i="10"/>
  <c r="T154" i="10" s="1"/>
  <c r="L156" i="10"/>
  <c r="P156" i="10"/>
  <c r="Q156" i="10"/>
  <c r="L157" i="10"/>
  <c r="P157" i="10"/>
  <c r="Q157" i="10"/>
  <c r="T156" i="10" s="1"/>
  <c r="S157" i="10"/>
  <c r="L158" i="10"/>
  <c r="P158" i="10"/>
  <c r="Q158" i="10"/>
  <c r="L159" i="10"/>
  <c r="P159" i="10"/>
  <c r="S158" i="10" s="1"/>
  <c r="Q159" i="10"/>
  <c r="L160" i="10"/>
  <c r="P160" i="10"/>
  <c r="S159" i="10" s="1"/>
  <c r="Q160" i="10"/>
  <c r="T160" i="10"/>
  <c r="L161" i="10"/>
  <c r="P161" i="10"/>
  <c r="S160" i="10" s="1"/>
  <c r="Q161" i="10"/>
  <c r="S161" i="10"/>
  <c r="T161" i="10"/>
  <c r="L162" i="10"/>
  <c r="P162" i="10"/>
  <c r="Q162" i="10"/>
  <c r="L163" i="10"/>
  <c r="P163" i="10"/>
  <c r="Q163" i="10"/>
  <c r="L164" i="10"/>
  <c r="P164" i="10"/>
  <c r="Q164" i="10"/>
  <c r="T163" i="10" s="1"/>
  <c r="L165" i="10"/>
  <c r="P165" i="10"/>
  <c r="Q165" i="10"/>
  <c r="T164" i="10" s="1"/>
  <c r="L166" i="10"/>
  <c r="P166" i="10"/>
  <c r="S166" i="10" s="1"/>
  <c r="Q166" i="10"/>
  <c r="L167" i="10"/>
  <c r="P167" i="10"/>
  <c r="Q167" i="10"/>
  <c r="L168" i="10"/>
  <c r="P168" i="10"/>
  <c r="S167" i="10" s="1"/>
  <c r="Q168" i="10"/>
  <c r="T167" i="10" s="1"/>
  <c r="L169" i="10"/>
  <c r="P169" i="10"/>
  <c r="Q169" i="10"/>
  <c r="L170" i="10"/>
  <c r="P170" i="10"/>
  <c r="S169" i="10" s="1"/>
  <c r="Q170" i="10"/>
  <c r="T169" i="10" s="1"/>
  <c r="L171" i="10"/>
  <c r="P171" i="10"/>
  <c r="S171" i="10" s="1"/>
  <c r="Q171" i="10"/>
  <c r="L172" i="10"/>
  <c r="P172" i="10"/>
  <c r="Q172" i="10"/>
  <c r="T171" i="10" s="1"/>
  <c r="L173" i="10"/>
  <c r="P173" i="10"/>
  <c r="S172" i="10" s="1"/>
  <c r="Q173" i="10"/>
  <c r="L174" i="10"/>
  <c r="P174" i="10"/>
  <c r="S173" i="10" s="1"/>
  <c r="Q174" i="10"/>
  <c r="T174" i="10" s="1"/>
  <c r="S174" i="10"/>
  <c r="L175" i="10"/>
  <c r="P175" i="10"/>
  <c r="Q175" i="10"/>
  <c r="L176" i="10"/>
  <c r="P176" i="10"/>
  <c r="S175" i="10" s="1"/>
  <c r="Q176" i="10"/>
  <c r="T176" i="10"/>
  <c r="L177" i="10"/>
  <c r="P177" i="10"/>
  <c r="Q177" i="10"/>
  <c r="S177" i="10"/>
  <c r="L178" i="10"/>
  <c r="P178" i="10"/>
  <c r="Q178" i="10"/>
  <c r="T177" i="10" s="1"/>
  <c r="L179" i="10"/>
  <c r="P179" i="10"/>
  <c r="S179" i="10" s="1"/>
  <c r="Q179" i="10"/>
  <c r="L180" i="10"/>
  <c r="P180" i="10"/>
  <c r="Q180" i="10"/>
  <c r="T179" i="10" s="1"/>
  <c r="L181" i="10"/>
  <c r="P181" i="10"/>
  <c r="S180" i="10" s="1"/>
  <c r="Q181" i="10"/>
  <c r="T180" i="10" s="1"/>
  <c r="L182" i="10"/>
  <c r="P182" i="10"/>
  <c r="Q182" i="10"/>
  <c r="T182" i="10" s="1"/>
  <c r="L183" i="10"/>
  <c r="P183" i="10"/>
  <c r="S182" i="10" s="1"/>
  <c r="Q183" i="10"/>
  <c r="L184" i="10"/>
  <c r="P184" i="10"/>
  <c r="Q184" i="10"/>
  <c r="L185" i="10"/>
  <c r="P185" i="10"/>
  <c r="S184" i="10" s="1"/>
  <c r="Q185" i="10"/>
  <c r="T184" i="10" s="1"/>
  <c r="L186" i="10"/>
  <c r="P186" i="10"/>
  <c r="Q186" i="10"/>
  <c r="T185" i="10" s="1"/>
  <c r="L187" i="10"/>
  <c r="P187" i="10"/>
  <c r="S187" i="10" s="1"/>
  <c r="Q187" i="10"/>
  <c r="T186" i="10" s="1"/>
  <c r="L188" i="10"/>
  <c r="P188" i="10"/>
  <c r="Q188" i="10"/>
  <c r="L189" i="10"/>
  <c r="P189" i="10"/>
  <c r="Q189" i="10"/>
  <c r="T188" i="10" s="1"/>
  <c r="S189" i="10"/>
  <c r="L190" i="10"/>
  <c r="P190" i="10"/>
  <c r="Q190" i="10"/>
  <c r="L191" i="10"/>
  <c r="P191" i="10"/>
  <c r="S190" i="10" s="1"/>
  <c r="Q191" i="10"/>
  <c r="L192" i="10"/>
  <c r="P192" i="10"/>
  <c r="S191" i="10" s="1"/>
  <c r="Q192" i="10"/>
  <c r="T192" i="10"/>
  <c r="L193" i="10"/>
  <c r="P193" i="10"/>
  <c r="S192" i="10" s="1"/>
  <c r="Q193" i="10"/>
  <c r="S193" i="10"/>
  <c r="T193" i="10"/>
  <c r="L194" i="10"/>
  <c r="P194" i="10"/>
  <c r="Q194" i="10"/>
  <c r="L195" i="10"/>
  <c r="P195" i="10"/>
  <c r="Q195" i="10"/>
  <c r="L196" i="10"/>
  <c r="P196" i="10"/>
  <c r="Q196" i="10"/>
  <c r="T195" i="10" s="1"/>
  <c r="L197" i="10"/>
  <c r="P197" i="10"/>
  <c r="Q197" i="10"/>
  <c r="T196" i="10" s="1"/>
  <c r="L198" i="10"/>
  <c r="P198" i="10"/>
  <c r="S198" i="10" s="1"/>
  <c r="Q198" i="10"/>
  <c r="L199" i="10"/>
  <c r="P199" i="10"/>
  <c r="Q199" i="10"/>
  <c r="L200" i="10"/>
  <c r="P200" i="10"/>
  <c r="S199" i="10" s="1"/>
  <c r="Q200" i="10"/>
  <c r="T199" i="10" s="1"/>
  <c r="L201" i="10"/>
  <c r="P201" i="10"/>
  <c r="Q201" i="10"/>
  <c r="L202" i="10"/>
  <c r="P202" i="10"/>
  <c r="S201" i="10" s="1"/>
  <c r="Q202" i="10"/>
  <c r="T201" i="10" s="1"/>
  <c r="L203" i="10"/>
  <c r="P203" i="10"/>
  <c r="S203" i="10" s="1"/>
  <c r="Q203" i="10"/>
  <c r="L204" i="10"/>
  <c r="P204" i="10"/>
  <c r="Q204" i="10"/>
  <c r="T203" i="10" s="1"/>
  <c r="L205" i="10"/>
  <c r="P205" i="10"/>
  <c r="S204" i="10" s="1"/>
  <c r="Q205" i="10"/>
  <c r="L206" i="10"/>
  <c r="P206" i="10"/>
  <c r="S205" i="10" s="1"/>
  <c r="Q206" i="10"/>
  <c r="T206" i="10" s="1"/>
  <c r="S206" i="10"/>
  <c r="L207" i="10"/>
  <c r="P207" i="10"/>
  <c r="Q207" i="10"/>
  <c r="L208" i="10"/>
  <c r="P208" i="10"/>
  <c r="S207" i="10" s="1"/>
  <c r="Q208" i="10"/>
  <c r="T208" i="10"/>
  <c r="L209" i="10"/>
  <c r="P209" i="10"/>
  <c r="Q209" i="10"/>
  <c r="S209" i="10"/>
  <c r="L210" i="10"/>
  <c r="P210" i="10"/>
  <c r="Q210" i="10"/>
  <c r="T209" i="10" s="1"/>
  <c r="L211" i="10"/>
  <c r="P211" i="10"/>
  <c r="S211" i="10" s="1"/>
  <c r="Q211" i="10"/>
  <c r="L212" i="10"/>
  <c r="P212" i="10"/>
  <c r="Q212" i="10"/>
  <c r="T211" i="10" s="1"/>
  <c r="L213" i="10"/>
  <c r="P213" i="10"/>
  <c r="S212" i="10" s="1"/>
  <c r="Q213" i="10"/>
  <c r="T212" i="10" s="1"/>
  <c r="L214" i="10"/>
  <c r="P214" i="10"/>
  <c r="Q214" i="10"/>
  <c r="T214" i="10" s="1"/>
  <c r="L215" i="10"/>
  <c r="P215" i="10"/>
  <c r="S214" i="10" s="1"/>
  <c r="Q215" i="10"/>
  <c r="L216" i="10"/>
  <c r="P216" i="10"/>
  <c r="Q216" i="10"/>
  <c r="L217" i="10"/>
  <c r="P217" i="10"/>
  <c r="S216" i="10" s="1"/>
  <c r="Q217" i="10"/>
  <c r="T216" i="10" s="1"/>
  <c r="L218" i="10"/>
  <c r="P218" i="10"/>
  <c r="Q218" i="10"/>
  <c r="T217" i="10" s="1"/>
  <c r="L219" i="10"/>
  <c r="P219" i="10"/>
  <c r="S219" i="10" s="1"/>
  <c r="Q219" i="10"/>
  <c r="T218" i="10" s="1"/>
  <c r="L220" i="10"/>
  <c r="P220" i="10"/>
  <c r="Q220" i="10"/>
  <c r="L221" i="10"/>
  <c r="P221" i="10"/>
  <c r="Q221" i="10"/>
  <c r="T220" i="10" s="1"/>
  <c r="S221" i="10"/>
  <c r="L222" i="10"/>
  <c r="P222" i="10"/>
  <c r="Q222" i="10"/>
  <c r="L223" i="10"/>
  <c r="P223" i="10"/>
  <c r="S222" i="10" s="1"/>
  <c r="Q223" i="10"/>
  <c r="L224" i="10"/>
  <c r="P224" i="10"/>
  <c r="S223" i="10" s="1"/>
  <c r="Q224" i="10"/>
  <c r="T224" i="10" s="1"/>
  <c r="L225" i="10"/>
  <c r="P225" i="10"/>
  <c r="S224" i="10" s="1"/>
  <c r="Q225" i="10"/>
  <c r="S225" i="10"/>
  <c r="T225" i="10"/>
  <c r="L226" i="10"/>
  <c r="P226" i="10"/>
  <c r="Q226" i="10"/>
  <c r="L227" i="10"/>
  <c r="P227" i="10"/>
  <c r="Q227" i="10"/>
  <c r="L228" i="10"/>
  <c r="P228" i="10"/>
  <c r="Q228" i="10"/>
  <c r="T227" i="10" s="1"/>
  <c r="L229" i="10"/>
  <c r="P229" i="10"/>
  <c r="Q229" i="10"/>
  <c r="T228" i="10" s="1"/>
  <c r="L230" i="10"/>
  <c r="P230" i="10"/>
  <c r="S230" i="10" s="1"/>
  <c r="Q230" i="10"/>
  <c r="L231" i="10"/>
  <c r="P231" i="10"/>
  <c r="Q231" i="10"/>
  <c r="L232" i="10"/>
  <c r="P232" i="10"/>
  <c r="S231" i="10" s="1"/>
  <c r="Q232" i="10"/>
  <c r="T231" i="10" s="1"/>
  <c r="L233" i="10"/>
  <c r="P233" i="10"/>
  <c r="Q233" i="10"/>
  <c r="L234" i="10"/>
  <c r="P234" i="10"/>
  <c r="S233" i="10" s="1"/>
  <c r="Q234" i="10"/>
  <c r="T233" i="10" s="1"/>
  <c r="L235" i="10"/>
  <c r="P235" i="10"/>
  <c r="S235" i="10" s="1"/>
  <c r="Q235" i="10"/>
  <c r="L236" i="10"/>
  <c r="P236" i="10"/>
  <c r="Q236" i="10"/>
  <c r="T235" i="10" s="1"/>
  <c r="L237" i="10"/>
  <c r="P237" i="10"/>
  <c r="S236" i="10" s="1"/>
  <c r="Q237" i="10"/>
  <c r="L238" i="10"/>
  <c r="P238" i="10"/>
  <c r="Q238" i="10"/>
  <c r="T238" i="10" s="1"/>
  <c r="S238" i="10"/>
  <c r="L239" i="10"/>
  <c r="P239" i="10"/>
  <c r="Q239" i="10"/>
  <c r="L240" i="10"/>
  <c r="P240" i="10"/>
  <c r="S239" i="10" s="1"/>
  <c r="Q240" i="10"/>
  <c r="T240" i="10"/>
  <c r="L241" i="10"/>
  <c r="P241" i="10"/>
  <c r="Q241" i="10"/>
  <c r="S241" i="10"/>
  <c r="L242" i="10"/>
  <c r="P242" i="10"/>
  <c r="Q242" i="10"/>
  <c r="T241" i="10" s="1"/>
  <c r="L243" i="10"/>
  <c r="P243" i="10"/>
  <c r="S243" i="10" s="1"/>
  <c r="Q243" i="10"/>
  <c r="L244" i="10"/>
  <c r="P244" i="10"/>
  <c r="Q244" i="10"/>
  <c r="T243" i="10" s="1"/>
  <c r="L245" i="10"/>
  <c r="P245" i="10"/>
  <c r="S244" i="10" s="1"/>
  <c r="Q245" i="10"/>
  <c r="T244" i="10" s="1"/>
  <c r="L246" i="10"/>
  <c r="P246" i="10"/>
  <c r="Q246" i="10"/>
  <c r="T246" i="10" s="1"/>
  <c r="L247" i="10"/>
  <c r="P247" i="10"/>
  <c r="S246" i="10" s="1"/>
  <c r="Q247" i="10"/>
  <c r="L248" i="10"/>
  <c r="P248" i="10"/>
  <c r="Q248" i="10"/>
  <c r="L249" i="10"/>
  <c r="P249" i="10"/>
  <c r="S249" i="10" s="1"/>
  <c r="Q249" i="10"/>
  <c r="T248" i="10" s="1"/>
  <c r="L250" i="10"/>
  <c r="P250" i="10"/>
  <c r="Q250" i="10"/>
  <c r="T249" i="10" s="1"/>
  <c r="L251" i="10"/>
  <c r="P251" i="10"/>
  <c r="S251" i="10" s="1"/>
  <c r="Q251" i="10"/>
  <c r="T250" i="10" s="1"/>
  <c r="L252" i="10"/>
  <c r="P252" i="10"/>
  <c r="Q252" i="10"/>
  <c r="L253" i="10"/>
  <c r="P253" i="10"/>
  <c r="Q253" i="10"/>
  <c r="T252" i="10" s="1"/>
  <c r="S253" i="10"/>
  <c r="L254" i="10"/>
  <c r="P254" i="10"/>
  <c r="Q254" i="10"/>
  <c r="L255" i="10"/>
  <c r="P255" i="10"/>
  <c r="S254" i="10" s="1"/>
  <c r="Q255" i="10"/>
  <c r="L256" i="10"/>
  <c r="P256" i="10"/>
  <c r="S255" i="10" s="1"/>
  <c r="Q256" i="10"/>
  <c r="T256" i="10"/>
  <c r="L257" i="10"/>
  <c r="P257" i="10"/>
  <c r="S256" i="10" s="1"/>
  <c r="Q257" i="10"/>
  <c r="S257" i="10"/>
  <c r="T257" i="10"/>
  <c r="L258" i="10"/>
  <c r="P258" i="10"/>
  <c r="Q258" i="10"/>
  <c r="L259" i="10"/>
  <c r="P259" i="10"/>
  <c r="Q259" i="10"/>
  <c r="L260" i="10"/>
  <c r="P260" i="10"/>
  <c r="Q260" i="10"/>
  <c r="L261" i="10"/>
  <c r="P261" i="10"/>
  <c r="Q261" i="10"/>
  <c r="T260" i="10" s="1"/>
  <c r="L262" i="10"/>
  <c r="P262" i="10"/>
  <c r="S262" i="10" s="1"/>
  <c r="Q262" i="10"/>
  <c r="L263" i="10"/>
  <c r="P263" i="10"/>
  <c r="Q263" i="10"/>
  <c r="L264" i="10"/>
  <c r="P264" i="10"/>
  <c r="S263" i="10" s="1"/>
  <c r="Q264" i="10"/>
  <c r="T263" i="10" s="1"/>
  <c r="L265" i="10"/>
  <c r="P265" i="10"/>
  <c r="Q265" i="10"/>
  <c r="L266" i="10"/>
  <c r="P266" i="10"/>
  <c r="S265" i="10" s="1"/>
  <c r="Q266" i="10"/>
  <c r="T265" i="10" s="1"/>
  <c r="L267" i="10"/>
  <c r="P267" i="10"/>
  <c r="S267" i="10" s="1"/>
  <c r="Q267" i="10"/>
  <c r="L268" i="10"/>
  <c r="P268" i="10"/>
  <c r="Q268" i="10"/>
  <c r="T268" i="10" s="1"/>
  <c r="L269" i="10"/>
  <c r="P269" i="10"/>
  <c r="S268" i="10" s="1"/>
  <c r="Q269" i="10"/>
  <c r="S269" i="10"/>
  <c r="L270" i="10"/>
  <c r="P270" i="10"/>
  <c r="Q270" i="10"/>
  <c r="T270" i="10" s="1"/>
  <c r="S270" i="10"/>
  <c r="L271" i="10"/>
  <c r="P271" i="10"/>
  <c r="Q271" i="10"/>
  <c r="L272" i="10"/>
  <c r="P272" i="10"/>
  <c r="S271" i="10" s="1"/>
  <c r="Q272" i="10"/>
  <c r="I3" i="11" l="1"/>
  <c r="T271" i="10"/>
  <c r="S261" i="10"/>
  <c r="T259" i="10"/>
  <c r="S252" i="10"/>
  <c r="T239" i="10"/>
  <c r="S229" i="10"/>
  <c r="T226" i="10"/>
  <c r="S220" i="10"/>
  <c r="T207" i="10"/>
  <c r="S197" i="10"/>
  <c r="T194" i="10"/>
  <c r="S188" i="10"/>
  <c r="T175" i="10"/>
  <c r="S165" i="10"/>
  <c r="T162" i="10"/>
  <c r="S156" i="10"/>
  <c r="T143" i="10"/>
  <c r="S133" i="10"/>
  <c r="T131" i="10"/>
  <c r="S124" i="10"/>
  <c r="T111" i="10"/>
  <c r="S101" i="10"/>
  <c r="T99" i="10"/>
  <c r="S92" i="10"/>
  <c r="T79" i="10"/>
  <c r="S69" i="10"/>
  <c r="S60" i="10"/>
  <c r="T46" i="10"/>
  <c r="S259" i="10"/>
  <c r="S227" i="10"/>
  <c r="S195" i="10"/>
  <c r="S163" i="10"/>
  <c r="S131" i="10"/>
  <c r="S67" i="10"/>
  <c r="T267" i="10"/>
  <c r="S260" i="10"/>
  <c r="T247" i="10"/>
  <c r="S237" i="10"/>
  <c r="T234" i="10"/>
  <c r="S228" i="10"/>
  <c r="T215" i="10"/>
  <c r="T202" i="10"/>
  <c r="S196" i="10"/>
  <c r="T183" i="10"/>
  <c r="T170" i="10"/>
  <c r="S164" i="10"/>
  <c r="T151" i="10"/>
  <c r="T138" i="10"/>
  <c r="S132" i="10"/>
  <c r="T119" i="10"/>
  <c r="T107" i="10"/>
  <c r="S100" i="10"/>
  <c r="T87" i="10"/>
  <c r="T74" i="10"/>
  <c r="S68" i="10"/>
  <c r="T55" i="10"/>
  <c r="S264" i="10"/>
  <c r="T254" i="10"/>
  <c r="T251" i="10"/>
  <c r="S248" i="10"/>
  <c r="S232" i="10"/>
  <c r="T222" i="10"/>
  <c r="T219" i="10"/>
  <c r="S215" i="10"/>
  <c r="S200" i="10"/>
  <c r="T190" i="10"/>
  <c r="T187" i="10"/>
  <c r="S183" i="10"/>
  <c r="S168" i="10"/>
  <c r="T158" i="10"/>
  <c r="T155" i="10"/>
  <c r="S151" i="10"/>
  <c r="S136" i="10"/>
  <c r="T126" i="10"/>
  <c r="S120" i="10"/>
  <c r="T94" i="10"/>
  <c r="T91" i="10"/>
  <c r="S87" i="10"/>
  <c r="S72" i="10"/>
  <c r="T62" i="10"/>
  <c r="T59" i="10"/>
  <c r="S55" i="10"/>
  <c r="S24" i="10"/>
  <c r="T255" i="10"/>
  <c r="S245" i="10"/>
  <c r="T242" i="10"/>
  <c r="T223" i="10"/>
  <c r="S213" i="10"/>
  <c r="T210" i="10"/>
  <c r="T191" i="10"/>
  <c r="S181" i="10"/>
  <c r="T178" i="10"/>
  <c r="T159" i="10"/>
  <c r="S149" i="10"/>
  <c r="T146" i="10"/>
  <c r="T127" i="10"/>
  <c r="S117" i="10"/>
  <c r="T115" i="10"/>
  <c r="T95" i="10"/>
  <c r="S85" i="10"/>
  <c r="T82" i="10"/>
  <c r="T63" i="10"/>
  <c r="S53" i="10"/>
  <c r="T50" i="10"/>
  <c r="S43" i="10"/>
  <c r="S41" i="10"/>
  <c r="T31" i="10"/>
  <c r="T28" i="10"/>
  <c r="T15" i="10"/>
  <c r="S11" i="10"/>
  <c r="S9" i="10"/>
  <c r="T264" i="10"/>
  <c r="T262" i="10"/>
  <c r="S240" i="10"/>
  <c r="T232" i="10"/>
  <c r="T230" i="10"/>
  <c r="S217" i="10"/>
  <c r="S208" i="10"/>
  <c r="T200" i="10"/>
  <c r="T198" i="10"/>
  <c r="S185" i="10"/>
  <c r="S176" i="10"/>
  <c r="T168" i="10"/>
  <c r="T166" i="10"/>
  <c r="S153" i="10"/>
  <c r="S144" i="10"/>
  <c r="T136" i="10"/>
  <c r="T134" i="10"/>
  <c r="S128" i="10"/>
  <c r="T104" i="10"/>
  <c r="T102" i="10"/>
  <c r="S96" i="10"/>
  <c r="S89" i="10"/>
  <c r="S80" i="10"/>
  <c r="T72" i="10"/>
  <c r="T70" i="10"/>
  <c r="S57" i="10"/>
  <c r="S32" i="10"/>
  <c r="S30" i="10"/>
  <c r="S28" i="10"/>
  <c r="T19" i="10"/>
  <c r="T17" i="10"/>
  <c r="T236" i="10"/>
  <c r="T204" i="10"/>
  <c r="T172" i="10"/>
  <c r="T140" i="10"/>
  <c r="T76" i="10"/>
  <c r="T38" i="10"/>
  <c r="T36" i="10"/>
  <c r="S19" i="10"/>
  <c r="S17" i="10"/>
  <c r="T6" i="10"/>
  <c r="T4" i="10"/>
  <c r="T258" i="10"/>
  <c r="S247" i="10"/>
  <c r="T130" i="10"/>
  <c r="S127" i="10"/>
  <c r="T122" i="10"/>
  <c r="S119" i="10"/>
  <c r="T114" i="10"/>
  <c r="S111" i="10"/>
  <c r="T106" i="10"/>
  <c r="S103" i="10"/>
  <c r="T98" i="10"/>
  <c r="S95" i="10"/>
  <c r="T266" i="10"/>
  <c r="T269" i="10"/>
  <c r="S266" i="10"/>
  <c r="T261" i="10"/>
  <c r="S258" i="10"/>
  <c r="T253" i="10"/>
  <c r="S250" i="10"/>
  <c r="T245" i="10"/>
  <c r="S242" i="10"/>
  <c r="T237" i="10"/>
  <c r="S234" i="10"/>
  <c r="T229" i="10"/>
  <c r="S226" i="10"/>
  <c r="T221" i="10"/>
  <c r="S218" i="10"/>
  <c r="T213" i="10"/>
  <c r="S210" i="10"/>
  <c r="T205" i="10"/>
  <c r="S202" i="10"/>
  <c r="T197" i="10"/>
  <c r="S194" i="10"/>
  <c r="T189" i="10"/>
  <c r="S186" i="10"/>
  <c r="T181" i="10"/>
  <c r="S178" i="10"/>
  <c r="T173" i="10"/>
  <c r="S170" i="10"/>
  <c r="T165" i="10"/>
  <c r="S162" i="10"/>
  <c r="T157" i="10"/>
  <c r="S154" i="10"/>
  <c r="T149" i="10"/>
  <c r="S146" i="10"/>
  <c r="T141" i="10"/>
  <c r="S138" i="10"/>
  <c r="T133" i="10"/>
  <c r="S130" i="10"/>
  <c r="T125" i="10"/>
  <c r="S122" i="10"/>
  <c r="T117" i="10"/>
  <c r="S114" i="10"/>
  <c r="T109" i="10"/>
  <c r="S106" i="10"/>
  <c r="T101" i="10"/>
  <c r="S98" i="10"/>
  <c r="T93" i="10"/>
  <c r="S90" i="10"/>
  <c r="T85" i="10"/>
  <c r="S82" i="10"/>
  <c r="T77" i="10"/>
  <c r="S74" i="10"/>
  <c r="T69" i="10"/>
  <c r="S66" i="10"/>
  <c r="T61" i="10"/>
  <c r="S58" i="10"/>
  <c r="T53" i="10"/>
  <c r="S50" i="10"/>
  <c r="S47" i="10"/>
  <c r="T30" i="10"/>
  <c r="G18" i="7"/>
  <c r="F18" i="7"/>
  <c r="H18" i="7"/>
  <c r="I18" i="7"/>
  <c r="J18" i="7"/>
  <c r="K18" i="7"/>
  <c r="J7" i="11" l="1"/>
  <c r="J5" i="11"/>
  <c r="J6" i="11"/>
  <c r="J8" i="11"/>
  <c r="J3" i="11"/>
  <c r="J4" i="11"/>
  <c r="K22" i="7"/>
  <c r="J22" i="7"/>
  <c r="I22" i="7"/>
  <c r="H22" i="7"/>
  <c r="G22" i="7"/>
  <c r="F22" i="7"/>
  <c r="I23" i="7" l="1"/>
  <c r="F23" i="7"/>
  <c r="G23" i="7"/>
  <c r="H23" i="7"/>
  <c r="J23" i="7"/>
  <c r="K23" i="7"/>
  <c r="F24" i="7" l="1"/>
  <c r="G25" i="7" s="1"/>
  <c r="H25" i="7" l="1"/>
  <c r="H26" i="7" s="1"/>
  <c r="I25" i="7"/>
  <c r="I26" i="7" s="1"/>
  <c r="F25" i="7"/>
  <c r="F26" i="7" s="1"/>
  <c r="G26" i="7"/>
  <c r="J25" i="7"/>
  <c r="J26" i="7" s="1"/>
  <c r="K25" i="7"/>
  <c r="K26" i="7" s="1"/>
  <c r="F27" i="7" l="1"/>
  <c r="I28" i="7" s="1"/>
  <c r="F28" i="7" l="1"/>
  <c r="J28" i="7"/>
  <c r="G28" i="7"/>
  <c r="K28" i="7"/>
  <c r="H28" i="7"/>
  <c r="H40" i="7" l="1"/>
  <c r="G40" i="7"/>
  <c r="G39" i="7"/>
  <c r="H39" i="7"/>
</calcChain>
</file>

<file path=xl/sharedStrings.xml><?xml version="1.0" encoding="utf-8"?>
<sst xmlns="http://schemas.openxmlformats.org/spreadsheetml/2006/main" count="5746" uniqueCount="1071">
  <si>
    <t>WT-MII</t>
  </si>
  <si>
    <t>CKO-MII</t>
  </si>
  <si>
    <t>Cт</t>
  </si>
  <si>
    <t>gapdh</t>
  </si>
  <si>
    <t>WT-MII-1</t>
  </si>
  <si>
    <t>WT-MII-1</t>
    <phoneticPr fontId="1" type="noConversion"/>
  </si>
  <si>
    <t>WT-MII-2</t>
  </si>
  <si>
    <t>WT-MII-3</t>
  </si>
  <si>
    <t>CKO-MII-1</t>
  </si>
  <si>
    <t>CKO-MII-1</t>
    <phoneticPr fontId="1" type="noConversion"/>
  </si>
  <si>
    <t>CKO-MII-2</t>
  </si>
  <si>
    <t>CKO-MII-3</t>
  </si>
  <si>
    <t>Sample Name</t>
  </si>
  <si>
    <t>Target Name</t>
  </si>
  <si>
    <t>actin</t>
  </si>
  <si>
    <t>CLPP</t>
  </si>
  <si>
    <t>CLPP</t>
    <phoneticPr fontId="1" type="noConversion"/>
  </si>
  <si>
    <t>AVG</t>
    <phoneticPr fontId="1" type="noConversion"/>
  </si>
  <si>
    <t>SEM</t>
    <phoneticPr fontId="1" type="noConversion"/>
  </si>
  <si>
    <t>t-test</t>
    <phoneticPr fontId="1" type="noConversion"/>
  </si>
  <si>
    <t>DAY 270</t>
  </si>
  <si>
    <t>DAY 269</t>
  </si>
  <si>
    <t>DAY 268</t>
  </si>
  <si>
    <t>DAY 267</t>
  </si>
  <si>
    <t>DAY 266</t>
  </si>
  <si>
    <t>DAY 265</t>
  </si>
  <si>
    <t>DAY 264</t>
  </si>
  <si>
    <t>DAY 263</t>
  </si>
  <si>
    <t>DAY 262</t>
  </si>
  <si>
    <t>DAY 261</t>
  </si>
  <si>
    <t>DAY 260</t>
  </si>
  <si>
    <t>DAY 259</t>
  </si>
  <si>
    <t>DAY 258</t>
  </si>
  <si>
    <t>DAY 257</t>
  </si>
  <si>
    <t>DAY 256</t>
  </si>
  <si>
    <t>DAY 255</t>
  </si>
  <si>
    <t>DAY 254</t>
  </si>
  <si>
    <t>DAY 253</t>
  </si>
  <si>
    <t>DAY 252</t>
  </si>
  <si>
    <t>DAY 251</t>
  </si>
  <si>
    <t>DAY 250</t>
  </si>
  <si>
    <t>DAY 249</t>
  </si>
  <si>
    <t>DAY 248</t>
  </si>
  <si>
    <t>DAY 247</t>
  </si>
  <si>
    <t>DAY 246</t>
  </si>
  <si>
    <t>DAY 245</t>
  </si>
  <si>
    <t>DAY 244</t>
  </si>
  <si>
    <t>DAY 243</t>
  </si>
  <si>
    <t>DAY 242</t>
  </si>
  <si>
    <t>DAY 241</t>
  </si>
  <si>
    <t>DAY 240</t>
  </si>
  <si>
    <t>DAY 239</t>
  </si>
  <si>
    <t>DAY 238</t>
  </si>
  <si>
    <t>DAY 237</t>
  </si>
  <si>
    <t>DAY 236</t>
  </si>
  <si>
    <t>DAY 235</t>
  </si>
  <si>
    <t>DAY 234</t>
  </si>
  <si>
    <t>DAY 233</t>
  </si>
  <si>
    <t>DAY 232</t>
  </si>
  <si>
    <t>DAY 231</t>
  </si>
  <si>
    <t>DAY 230</t>
  </si>
  <si>
    <t>DAY 229</t>
  </si>
  <si>
    <t>DAY 228</t>
  </si>
  <si>
    <t>DAY 227</t>
  </si>
  <si>
    <t>DAY 226</t>
  </si>
  <si>
    <t>DAY 225</t>
  </si>
  <si>
    <t>DAY 224</t>
  </si>
  <si>
    <t>DAY 223</t>
  </si>
  <si>
    <t>DAY 222</t>
  </si>
  <si>
    <t>DAY 221</t>
  </si>
  <si>
    <t>DAY 220</t>
  </si>
  <si>
    <t>DAY 219</t>
  </si>
  <si>
    <t>DAY 218</t>
  </si>
  <si>
    <t>DAY 217</t>
  </si>
  <si>
    <t>DAY 216</t>
  </si>
  <si>
    <t>DAY 215</t>
  </si>
  <si>
    <t>DAY 214</t>
  </si>
  <si>
    <t>DAY 213</t>
  </si>
  <si>
    <t>DAY 212</t>
  </si>
  <si>
    <t>DAY 211</t>
  </si>
  <si>
    <t>DAY 210</t>
  </si>
  <si>
    <t>DAY 209</t>
  </si>
  <si>
    <t>DAY 208</t>
  </si>
  <si>
    <t>DAY 207</t>
  </si>
  <si>
    <t>DAY 206</t>
  </si>
  <si>
    <t>DAY 205</t>
  </si>
  <si>
    <t>DAY 204</t>
  </si>
  <si>
    <t>DAY 203</t>
  </si>
  <si>
    <t>DAY 202</t>
  </si>
  <si>
    <t>DAY 201</t>
  </si>
  <si>
    <t>DAY 200</t>
  </si>
  <si>
    <t>DAY 199</t>
  </si>
  <si>
    <t>DAY 198</t>
  </si>
  <si>
    <t>DAY 197</t>
  </si>
  <si>
    <t>DAY 196</t>
  </si>
  <si>
    <t>DAY 195</t>
  </si>
  <si>
    <t>DAY 194</t>
  </si>
  <si>
    <t>DAY 193</t>
  </si>
  <si>
    <t>DAY 192</t>
  </si>
  <si>
    <t>DAY 191</t>
  </si>
  <si>
    <t>DAY 190</t>
  </si>
  <si>
    <t>DAY 189</t>
  </si>
  <si>
    <t>DAY 188</t>
  </si>
  <si>
    <t>DAY 187</t>
  </si>
  <si>
    <t>DAY 186</t>
  </si>
  <si>
    <t>DAY 185</t>
  </si>
  <si>
    <t>DAY 184</t>
  </si>
  <si>
    <t>DAY 183</t>
  </si>
  <si>
    <t>DAY 182</t>
  </si>
  <si>
    <t>DAY 181</t>
  </si>
  <si>
    <t>DAY 180</t>
  </si>
  <si>
    <t>DAY 179</t>
  </si>
  <si>
    <t>DAY 178</t>
  </si>
  <si>
    <t>DAY 177</t>
  </si>
  <si>
    <t>DAY 176</t>
  </si>
  <si>
    <t>DAY 175</t>
  </si>
  <si>
    <t>DAY 174</t>
  </si>
  <si>
    <t>DAY 173</t>
  </si>
  <si>
    <t>DAY 172</t>
  </si>
  <si>
    <t>DAY 171</t>
  </si>
  <si>
    <t>DAY 170</t>
  </si>
  <si>
    <t>DAY 169</t>
  </si>
  <si>
    <t>DAY 168</t>
  </si>
  <si>
    <t>DAY 167</t>
  </si>
  <si>
    <t>DAY 166</t>
  </si>
  <si>
    <t>DAY 165</t>
  </si>
  <si>
    <t>DAY 164</t>
  </si>
  <si>
    <t>DAY 163</t>
  </si>
  <si>
    <t>DAY 162</t>
  </si>
  <si>
    <t>DAY 161</t>
  </si>
  <si>
    <t>DAY 160</t>
  </si>
  <si>
    <t>DAY 159</t>
  </si>
  <si>
    <t>DAY 158</t>
  </si>
  <si>
    <t>DAY 157</t>
  </si>
  <si>
    <t>DAY 156</t>
  </si>
  <si>
    <t>DAY 155</t>
  </si>
  <si>
    <t>DAY 154</t>
  </si>
  <si>
    <t>DAY 153</t>
  </si>
  <si>
    <t>DAY 152</t>
  </si>
  <si>
    <t>DAY 151</t>
  </si>
  <si>
    <t>DAY 150</t>
  </si>
  <si>
    <t>DAY 149</t>
  </si>
  <si>
    <t>DAY 148</t>
  </si>
  <si>
    <t>DAY 147</t>
  </si>
  <si>
    <t>DAY 146</t>
  </si>
  <si>
    <t>DAY 145</t>
  </si>
  <si>
    <t>DAY 144</t>
  </si>
  <si>
    <t>DAY 143</t>
  </si>
  <si>
    <t>DAY 142</t>
  </si>
  <si>
    <t>DAY 141</t>
  </si>
  <si>
    <t>DAY 140</t>
  </si>
  <si>
    <t>DAY 139</t>
  </si>
  <si>
    <t>DAY 138</t>
  </si>
  <si>
    <t>DAY 137</t>
  </si>
  <si>
    <t>DAY 136</t>
  </si>
  <si>
    <t>DAY 135</t>
  </si>
  <si>
    <t>DAY 134</t>
  </si>
  <si>
    <t>DAY 133</t>
  </si>
  <si>
    <t>DAY 132</t>
  </si>
  <si>
    <t>DAY 131</t>
  </si>
  <si>
    <t>DAY 130</t>
  </si>
  <si>
    <t>DAY 129</t>
  </si>
  <si>
    <t>DAY 128</t>
  </si>
  <si>
    <t>DAY 127</t>
  </si>
  <si>
    <t>DAY 126</t>
  </si>
  <si>
    <t>DAY 125</t>
  </si>
  <si>
    <t>DAY 124</t>
  </si>
  <si>
    <t>DAY 123</t>
  </si>
  <si>
    <t>DAY 122</t>
  </si>
  <si>
    <t>DAY 121</t>
  </si>
  <si>
    <t>DAY 120</t>
  </si>
  <si>
    <t>DAY 119</t>
  </si>
  <si>
    <t>DAY 118</t>
  </si>
  <si>
    <t>DAY 117</t>
  </si>
  <si>
    <t>DAY 116</t>
  </si>
  <si>
    <t>DAY 115</t>
  </si>
  <si>
    <t>DAY 114</t>
  </si>
  <si>
    <t>DAY 113</t>
  </si>
  <si>
    <t>DAY 112</t>
  </si>
  <si>
    <t>DAY 111</t>
  </si>
  <si>
    <t>DAY 110</t>
  </si>
  <si>
    <t>DAY 109</t>
  </si>
  <si>
    <t>DAY 108</t>
  </si>
  <si>
    <t>DAY 107</t>
  </si>
  <si>
    <t>DAY 106</t>
  </si>
  <si>
    <t>DAY 105</t>
  </si>
  <si>
    <t>DAY 104</t>
  </si>
  <si>
    <t>DAY 103</t>
  </si>
  <si>
    <t>DAY 102</t>
  </si>
  <si>
    <t>DAY 101</t>
  </si>
  <si>
    <t>DAY 100</t>
  </si>
  <si>
    <t>DAY 99</t>
  </si>
  <si>
    <t>DAY 98</t>
  </si>
  <si>
    <t>DAY 97</t>
  </si>
  <si>
    <t>DAY 96</t>
  </si>
  <si>
    <t>DAY 95</t>
  </si>
  <si>
    <t>DAY 94</t>
  </si>
  <si>
    <t>DAY 93</t>
  </si>
  <si>
    <t>DAY 92</t>
  </si>
  <si>
    <t>DAY 91</t>
  </si>
  <si>
    <t>DAY 90</t>
  </si>
  <si>
    <t>DAY 89</t>
  </si>
  <si>
    <t>DAY 88</t>
  </si>
  <si>
    <t>DAY 87</t>
  </si>
  <si>
    <t>DAY 86</t>
  </si>
  <si>
    <t>DAY 85</t>
  </si>
  <si>
    <t>DAY 84</t>
  </si>
  <si>
    <t>DAY 83</t>
  </si>
  <si>
    <t>DAY 82</t>
  </si>
  <si>
    <t>DAY 81</t>
  </si>
  <si>
    <t>DAY 80</t>
  </si>
  <si>
    <t>DAY 79</t>
  </si>
  <si>
    <t>DAY 78</t>
  </si>
  <si>
    <t>DAY 77</t>
  </si>
  <si>
    <t>DAY 76</t>
  </si>
  <si>
    <t>DAY 75</t>
  </si>
  <si>
    <t>DAY 74</t>
  </si>
  <si>
    <t>DAY 73</t>
  </si>
  <si>
    <t>DAY 72</t>
  </si>
  <si>
    <t>DAY 71</t>
  </si>
  <si>
    <t>DAY 70</t>
  </si>
  <si>
    <t>DAY 69</t>
  </si>
  <si>
    <t>DAY 68</t>
  </si>
  <si>
    <t>DAY 67</t>
  </si>
  <si>
    <t>DAY 66</t>
  </si>
  <si>
    <t>DAY 65</t>
  </si>
  <si>
    <t>DAY 64</t>
  </si>
  <si>
    <t>DAY 63</t>
  </si>
  <si>
    <t>DAY 62</t>
  </si>
  <si>
    <t>DAY 61</t>
  </si>
  <si>
    <t>DAY 60</t>
  </si>
  <si>
    <t>DAY 59</t>
  </si>
  <si>
    <t>DAY 58</t>
  </si>
  <si>
    <t>DAY 57</t>
  </si>
  <si>
    <t>DAY 56</t>
  </si>
  <si>
    <t>DAY 55</t>
  </si>
  <si>
    <t>DAY 54</t>
  </si>
  <si>
    <t>DAY 53</t>
  </si>
  <si>
    <t>DAY 52</t>
  </si>
  <si>
    <t>DAY 51</t>
  </si>
  <si>
    <t>DAY 50</t>
  </si>
  <si>
    <t>DAY 49</t>
  </si>
  <si>
    <t>DAY 48</t>
  </si>
  <si>
    <t>DAY 47</t>
  </si>
  <si>
    <t>DAY 46</t>
  </si>
  <si>
    <t>DAY 45</t>
  </si>
  <si>
    <t>DAY 44</t>
  </si>
  <si>
    <t>DAY 43</t>
  </si>
  <si>
    <r>
      <t>Clpp</t>
    </r>
    <r>
      <rPr>
        <b/>
        <i/>
        <vertAlign val="superscript"/>
        <sz val="13"/>
        <color theme="1"/>
        <rFont val="Times New Roman"/>
        <family val="1"/>
      </rPr>
      <t>fl/fl</t>
    </r>
    <r>
      <rPr>
        <b/>
        <i/>
        <sz val="13"/>
        <color theme="1"/>
        <rFont val="Times New Roman"/>
        <family val="1"/>
      </rPr>
      <t>;ZP3-Cre</t>
    </r>
    <phoneticPr fontId="1" type="noConversion"/>
  </si>
  <si>
    <r>
      <t>Clpp</t>
    </r>
    <r>
      <rPr>
        <b/>
        <i/>
        <vertAlign val="superscript"/>
        <sz val="13"/>
        <color theme="1"/>
        <rFont val="Times New Roman"/>
        <family val="1"/>
      </rPr>
      <t>fl/fl</t>
    </r>
    <phoneticPr fontId="1" type="noConversion"/>
  </si>
  <si>
    <t>DAY 42</t>
  </si>
  <si>
    <t>DAY 41</t>
  </si>
  <si>
    <t xml:space="preserve">(1117)3 pups </t>
    <phoneticPr fontId="1" type="noConversion"/>
  </si>
  <si>
    <t>(1128)7pup</t>
    <phoneticPr fontId="1" type="noConversion"/>
  </si>
  <si>
    <t>DAY 40</t>
  </si>
  <si>
    <t>(1116)2pups</t>
  </si>
  <si>
    <t xml:space="preserve">(1128)6pups </t>
    <phoneticPr fontId="1" type="noConversion"/>
  </si>
  <si>
    <t>DAY 39</t>
  </si>
  <si>
    <t xml:space="preserve">(1113)1pups  </t>
    <phoneticPr fontId="1" type="noConversion"/>
  </si>
  <si>
    <t>(1122)4pups</t>
    <phoneticPr fontId="1" type="noConversion"/>
  </si>
  <si>
    <t>DAY 38</t>
  </si>
  <si>
    <t xml:space="preserve">(1022) 2 pups </t>
    <phoneticPr fontId="1" type="noConversion"/>
  </si>
  <si>
    <t>(1106)4pups</t>
  </si>
  <si>
    <t>DAY 37</t>
  </si>
  <si>
    <t>(1021)4pups</t>
    <phoneticPr fontId="1" type="noConversion"/>
  </si>
  <si>
    <t>(1102)7pups</t>
    <phoneticPr fontId="1" type="noConversion"/>
  </si>
  <si>
    <t>DAY 36</t>
  </si>
  <si>
    <t>(1020)3pups</t>
    <phoneticPr fontId="1" type="noConversion"/>
  </si>
  <si>
    <t>(1101)4pups</t>
    <phoneticPr fontId="1" type="noConversion"/>
  </si>
  <si>
    <t>DAY 35</t>
  </si>
  <si>
    <t xml:space="preserve">(1007) 4pups </t>
    <phoneticPr fontId="1" type="noConversion"/>
  </si>
  <si>
    <t>(1015)4pups</t>
    <phoneticPr fontId="1" type="noConversion"/>
  </si>
  <si>
    <t>DAY 34</t>
  </si>
  <si>
    <t>(0930)2pups</t>
    <phoneticPr fontId="1" type="noConversion"/>
  </si>
  <si>
    <t>(1011)5pups</t>
    <phoneticPr fontId="1" type="noConversion"/>
  </si>
  <si>
    <t>DAY 33</t>
  </si>
  <si>
    <t xml:space="preserve">(0925) 3pups  </t>
    <phoneticPr fontId="1" type="noConversion"/>
  </si>
  <si>
    <t>(0928)8pups</t>
    <phoneticPr fontId="1" type="noConversion"/>
  </si>
  <si>
    <t>DAY 32</t>
  </si>
  <si>
    <t>(0924)4pups</t>
    <phoneticPr fontId="1" type="noConversion"/>
  </si>
  <si>
    <t>DAY 31</t>
  </si>
  <si>
    <t xml:space="preserve">(0916)9pups </t>
    <phoneticPr fontId="1" type="noConversion"/>
  </si>
  <si>
    <t>DAY 30</t>
  </si>
  <si>
    <t>(0917)2pups</t>
    <phoneticPr fontId="1" type="noConversion"/>
  </si>
  <si>
    <t>(0915)7pups</t>
    <phoneticPr fontId="1" type="noConversion"/>
  </si>
  <si>
    <t>DAY 29</t>
  </si>
  <si>
    <t xml:space="preserve">(0911)6pups </t>
    <phoneticPr fontId="1" type="noConversion"/>
  </si>
  <si>
    <t>(0915)6pups</t>
    <phoneticPr fontId="1" type="noConversion"/>
  </si>
  <si>
    <t>DAY 28</t>
  </si>
  <si>
    <t>(0902)8pups</t>
    <phoneticPr fontId="1" type="noConversion"/>
  </si>
  <si>
    <t>(0826)8pups</t>
    <phoneticPr fontId="1" type="noConversion"/>
  </si>
  <si>
    <t>DAY 27</t>
  </si>
  <si>
    <t>(0830)7pups</t>
    <phoneticPr fontId="1" type="noConversion"/>
  </si>
  <si>
    <t xml:space="preserve">(0826)6pups </t>
    <phoneticPr fontId="1" type="noConversion"/>
  </si>
  <si>
    <t>DAY 26</t>
  </si>
  <si>
    <t xml:space="preserve">(0821)6pups </t>
    <phoneticPr fontId="1" type="noConversion"/>
  </si>
  <si>
    <t xml:space="preserve">(0826)11pups </t>
    <phoneticPr fontId="1" type="noConversion"/>
  </si>
  <si>
    <t>DAY 25</t>
  </si>
  <si>
    <t>(0820)2pups</t>
    <phoneticPr fontId="1" type="noConversion"/>
  </si>
  <si>
    <t xml:space="preserve">(0814)7pups </t>
    <phoneticPr fontId="1" type="noConversion"/>
  </si>
  <si>
    <t>DAY 24</t>
  </si>
  <si>
    <t>(0809)3pups</t>
    <phoneticPr fontId="1" type="noConversion"/>
  </si>
  <si>
    <t>(0809)8pups</t>
    <phoneticPr fontId="1" type="noConversion"/>
  </si>
  <si>
    <t>DAY 23</t>
  </si>
  <si>
    <t>(0807)5pups</t>
    <phoneticPr fontId="1" type="noConversion"/>
  </si>
  <si>
    <t xml:space="preserve">(0803)10pups </t>
    <phoneticPr fontId="1" type="noConversion"/>
  </si>
  <si>
    <t>DAY 22</t>
  </si>
  <si>
    <t xml:space="preserve">(0803)4pups </t>
    <phoneticPr fontId="1" type="noConversion"/>
  </si>
  <si>
    <t xml:space="preserve">(0729)8pups </t>
    <phoneticPr fontId="1" type="noConversion"/>
  </si>
  <si>
    <t>DAY 21</t>
  </si>
  <si>
    <t xml:space="preserve">(0728)8pups </t>
    <phoneticPr fontId="1" type="noConversion"/>
  </si>
  <si>
    <t>(0722)11pups</t>
    <phoneticPr fontId="1" type="noConversion"/>
  </si>
  <si>
    <t>DAY 20</t>
  </si>
  <si>
    <t xml:space="preserve">(0725)7pups </t>
    <phoneticPr fontId="1" type="noConversion"/>
  </si>
  <si>
    <t xml:space="preserve">(0717)9pups </t>
    <phoneticPr fontId="1" type="noConversion"/>
  </si>
  <si>
    <t>DAY 19</t>
  </si>
  <si>
    <t>(0714)6pups</t>
    <phoneticPr fontId="1" type="noConversion"/>
  </si>
  <si>
    <t xml:space="preserve">(0714)3pups </t>
    <phoneticPr fontId="1" type="noConversion"/>
  </si>
  <si>
    <t>DAY 18</t>
  </si>
  <si>
    <t xml:space="preserve">(0708)6pups </t>
    <phoneticPr fontId="1" type="noConversion"/>
  </si>
  <si>
    <t xml:space="preserve">(0701)8pups </t>
    <phoneticPr fontId="1" type="noConversion"/>
  </si>
  <si>
    <t>DAY 17</t>
  </si>
  <si>
    <t>(0626)2pups</t>
    <phoneticPr fontId="1" type="noConversion"/>
  </si>
  <si>
    <t xml:space="preserve">(0622)10pups </t>
    <phoneticPr fontId="1" type="noConversion"/>
  </si>
  <si>
    <t>DAY 16</t>
  </si>
  <si>
    <t xml:space="preserve">(0619)2pups  </t>
    <phoneticPr fontId="1" type="noConversion"/>
  </si>
  <si>
    <t>(0620)8pups</t>
    <phoneticPr fontId="1" type="noConversion"/>
  </si>
  <si>
    <t>DAY 15</t>
  </si>
  <si>
    <t xml:space="preserve">(0617)4pups </t>
    <phoneticPr fontId="1" type="noConversion"/>
  </si>
  <si>
    <t xml:space="preserve">(0620)7pups </t>
    <phoneticPr fontId="1" type="noConversion"/>
  </si>
  <si>
    <t>DAY 14</t>
  </si>
  <si>
    <t xml:space="preserve"> (0413)8pups (0516)10pups (0701)8pups (0814)7pups (0915)7pups(1011)5pups(1101)4pups(1128)7pups</t>
  </si>
  <si>
    <t>WT-6</t>
  </si>
  <si>
    <t>(0613)4pups</t>
    <phoneticPr fontId="1" type="noConversion"/>
  </si>
  <si>
    <t xml:space="preserve">(0610)11pups  </t>
    <phoneticPr fontId="1" type="noConversion"/>
  </si>
  <si>
    <t>DAY 13</t>
  </si>
  <si>
    <t xml:space="preserve"> (0404) 7pups   (0513)7pups (0610)11pups  (0722)11pups(0826)6pups (0924)4pups(1015)4pups</t>
  </si>
  <si>
    <t>WT-5</t>
  </si>
  <si>
    <t xml:space="preserve">(0612)7pups  </t>
    <phoneticPr fontId="1" type="noConversion"/>
  </si>
  <si>
    <t xml:space="preserve">(0601)9pups </t>
    <phoneticPr fontId="1" type="noConversion"/>
  </si>
  <si>
    <t>DAY 12</t>
  </si>
  <si>
    <t xml:space="preserve"> (0407) 7pups  (0429) 3 pups  (0620)8pups(0729)8pups (0928)8pups(1102)7pups(1129)preg15d</t>
  </si>
  <si>
    <t>WT-4</t>
  </si>
  <si>
    <t xml:space="preserve">(0601)7pups </t>
    <phoneticPr fontId="1" type="noConversion"/>
  </si>
  <si>
    <t xml:space="preserve">(0529)13pups </t>
    <phoneticPr fontId="1" type="noConversion"/>
  </si>
  <si>
    <t>DAY 11</t>
  </si>
  <si>
    <t xml:space="preserve"> (0331) 5pups   (0511)11pups (0601)9pups  (0622)10pups (0803)10pups (0826)8pups(0915)6pups(1122)4pups</t>
  </si>
  <si>
    <t>WT-3</t>
  </si>
  <si>
    <t xml:space="preserve">(0519)6pups </t>
    <phoneticPr fontId="1" type="noConversion"/>
  </si>
  <si>
    <t>(0516)10pups s</t>
    <phoneticPr fontId="1" type="noConversion"/>
  </si>
  <si>
    <t>DAY 10</t>
  </si>
  <si>
    <t xml:space="preserve"> (0410)9pups (0512)9pups(0717)9pups (0809)8pups(0916)9pups (1128)6pups </t>
  </si>
  <si>
    <t>WT-2</t>
  </si>
  <si>
    <t xml:space="preserve">(0519)2pups   </t>
    <phoneticPr fontId="1" type="noConversion"/>
  </si>
  <si>
    <t xml:space="preserve">(0513)7pups </t>
    <phoneticPr fontId="1" type="noConversion"/>
  </si>
  <si>
    <t>DAY 9</t>
  </si>
  <si>
    <t xml:space="preserve"> (0507)10pups  (0529)13pups (0620)7pups (0714)3pups (0826)11pups (1106)4pups </t>
  </si>
  <si>
    <t>WT-1</t>
    <phoneticPr fontId="15" type="noConversion"/>
  </si>
  <si>
    <t>(0516)5pups</t>
    <phoneticPr fontId="1" type="noConversion"/>
  </si>
  <si>
    <t>(0512)9pups</t>
    <phoneticPr fontId="1" type="noConversion"/>
  </si>
  <si>
    <t>DAY 8</t>
  </si>
  <si>
    <t xml:space="preserve">(0430)1pups </t>
    <phoneticPr fontId="1" type="noConversion"/>
  </si>
  <si>
    <t xml:space="preserve">(0511)11pups </t>
    <phoneticPr fontId="1" type="noConversion"/>
  </si>
  <si>
    <t>DAY 7</t>
  </si>
  <si>
    <t xml:space="preserve">(0425)5pups </t>
    <phoneticPr fontId="1" type="noConversion"/>
  </si>
  <si>
    <t xml:space="preserve">(0507)10pups   </t>
    <phoneticPr fontId="1" type="noConversion"/>
  </si>
  <si>
    <t>DAY 6</t>
  </si>
  <si>
    <t xml:space="preserve"> (0407) 10pups (0516)5pups (0613)4pups (0807)5pups(0902)8pups(0924)4pups</t>
    <phoneticPr fontId="1" type="noConversion"/>
  </si>
  <si>
    <t>cko-6</t>
  </si>
  <si>
    <t xml:space="preserve">(0423)8pups   </t>
    <phoneticPr fontId="1" type="noConversion"/>
  </si>
  <si>
    <t xml:space="preserve">(0429) 3 pups  </t>
    <phoneticPr fontId="1" type="noConversion"/>
  </si>
  <si>
    <t>DAY 5</t>
  </si>
  <si>
    <t>(0601)7pups (0626)2pups (0714)6pups (0809)3pups(0830)7pups (0930)2pups(1021)4pups</t>
    <phoneticPr fontId="1" type="noConversion"/>
  </si>
  <si>
    <t>cko-5</t>
  </si>
  <si>
    <t xml:space="preserve">(0419) 6pups  </t>
    <phoneticPr fontId="1" type="noConversion"/>
  </si>
  <si>
    <t xml:space="preserve">(0413)8pups </t>
    <phoneticPr fontId="1" type="noConversion"/>
  </si>
  <si>
    <t>DAY 4</t>
  </si>
  <si>
    <t xml:space="preserve"> (0405) 7pups  (0430)1pups dead (0612)7pups  (0708)6pups (0820)2pups(0924)4pups(1020)3pups</t>
    <phoneticPr fontId="1" type="noConversion"/>
  </si>
  <si>
    <t>cko-4</t>
  </si>
  <si>
    <t xml:space="preserve">(0419) 1pups  </t>
    <phoneticPr fontId="1" type="noConversion"/>
  </si>
  <si>
    <t xml:space="preserve">(0410)9pups </t>
    <phoneticPr fontId="1" type="noConversion"/>
  </si>
  <si>
    <t>DAY 3</t>
  </si>
  <si>
    <t xml:space="preserve">(0419) 1pups  (0519)2pups (0619)2pups  (0803)4pups (0925) 3pups  (1022) 2 pups (1116)2pups  </t>
    <phoneticPr fontId="1" type="noConversion"/>
  </si>
  <si>
    <t>cko-3</t>
  </si>
  <si>
    <t>(0407) 10pups</t>
    <phoneticPr fontId="1" type="noConversion"/>
  </si>
  <si>
    <t xml:space="preserve">(0407) 7pups  </t>
    <phoneticPr fontId="1" type="noConversion"/>
  </si>
  <si>
    <t>DAY 2</t>
  </si>
  <si>
    <t xml:space="preserve">(0404)15pups  (0423)8pups   (0728)8pups (0917) 2pups(1117)3 pups </t>
    <phoneticPr fontId="1" type="noConversion"/>
  </si>
  <si>
    <t>cko-2</t>
  </si>
  <si>
    <t xml:space="preserve">(0405) 7pups  </t>
    <phoneticPr fontId="1" type="noConversion"/>
  </si>
  <si>
    <t xml:space="preserve">(0404) 7pups   </t>
    <phoneticPr fontId="1" type="noConversion"/>
  </si>
  <si>
    <t>DAY 1</t>
  </si>
  <si>
    <t xml:space="preserve">(0419) 6pups (0425)5pups (0519)6pups (0617)4pups (0725)7pups (0821)6pups (0911)6pups (1007) 4pups (1113)1pups   </t>
    <phoneticPr fontId="1" type="noConversion"/>
  </si>
  <si>
    <t>cko-1</t>
    <phoneticPr fontId="1" type="noConversion"/>
  </si>
  <si>
    <t xml:space="preserve">(0404)15pups  </t>
    <phoneticPr fontId="1" type="noConversion"/>
  </si>
  <si>
    <t xml:space="preserve">(0331) 5pups   </t>
    <phoneticPr fontId="1" type="noConversion"/>
  </si>
  <si>
    <t xml:space="preserve">mating day </t>
    <phoneticPr fontId="1" type="noConversion"/>
  </si>
  <si>
    <t>birthday(day)</t>
    <phoneticPr fontId="1" type="noConversion"/>
  </si>
  <si>
    <t xml:space="preserve"> </t>
    <phoneticPr fontId="1" type="noConversion"/>
  </si>
  <si>
    <t xml:space="preserve"> </t>
  </si>
  <si>
    <t>Area</t>
  </si>
  <si>
    <t>Mean</t>
  </si>
  <si>
    <t>IntDen</t>
  </si>
  <si>
    <t>RawIntDen</t>
  </si>
  <si>
    <t>Clpp</t>
    <phoneticPr fontId="21" type="noConversion"/>
  </si>
  <si>
    <t>WT-1</t>
    <phoneticPr fontId="21" type="noConversion"/>
  </si>
  <si>
    <t>CKO-1</t>
    <phoneticPr fontId="21" type="noConversion"/>
  </si>
  <si>
    <t>WT-2</t>
    <phoneticPr fontId="21" type="noConversion"/>
  </si>
  <si>
    <t>CKO-2</t>
    <phoneticPr fontId="21" type="noConversion"/>
  </si>
  <si>
    <t>WT-3</t>
    <phoneticPr fontId="21" type="noConversion"/>
  </si>
  <si>
    <t>CKO-3</t>
    <phoneticPr fontId="21" type="noConversion"/>
  </si>
  <si>
    <t xml:space="preserve">Actin </t>
    <phoneticPr fontId="21" type="noConversion"/>
  </si>
  <si>
    <t>WT</t>
  </si>
  <si>
    <t>CKO</t>
  </si>
  <si>
    <t xml:space="preserve">Fig 1-Cii  Western blot to measure clpp knockout efficacy </t>
    <phoneticPr fontId="1" type="noConversion"/>
  </si>
  <si>
    <t>clpp/actin</t>
    <phoneticPr fontId="1" type="noConversion"/>
  </si>
  <si>
    <t>WT</t>
    <phoneticPr fontId="1" type="noConversion"/>
  </si>
  <si>
    <t>CKO</t>
    <phoneticPr fontId="1" type="noConversion"/>
  </si>
  <si>
    <t>Table Analyzed</t>
  </si>
  <si>
    <t>Column B</t>
  </si>
  <si>
    <t>Clpp;zp3-cre</t>
  </si>
  <si>
    <t>vs.</t>
  </si>
  <si>
    <t>Column A</t>
  </si>
  <si>
    <t>Clpp</t>
  </si>
  <si>
    <t>Unpaired t test</t>
  </si>
  <si>
    <t>P value</t>
  </si>
  <si>
    <t>P value summary</t>
  </si>
  <si>
    <t>**</t>
  </si>
  <si>
    <t>Significantly different (P &lt; 0.05)?</t>
  </si>
  <si>
    <t>Yes</t>
  </si>
  <si>
    <t>One- or two-tailed P value?</t>
  </si>
  <si>
    <t>Two-tailed</t>
  </si>
  <si>
    <t>t, df</t>
  </si>
  <si>
    <t>t=7.623, df=4</t>
  </si>
  <si>
    <t>How big is the difference?</t>
  </si>
  <si>
    <t>Mean of column A</t>
  </si>
  <si>
    <t>Mean of column B</t>
  </si>
  <si>
    <t>Difference between means (B - A) ± SEM</t>
  </si>
  <si>
    <t>-0.7620 ± 0.09997</t>
  </si>
  <si>
    <t>95% confidence interval</t>
  </si>
  <si>
    <t>-1.040 to -0.4845</t>
  </si>
  <si>
    <t>R squared (eta squared)</t>
  </si>
  <si>
    <t>F test to compare variances</t>
  </si>
  <si>
    <t>F, DFn, Dfd</t>
  </si>
  <si>
    <t>1.551, 2, 2</t>
  </si>
  <si>
    <t>ns</t>
  </si>
  <si>
    <t>No</t>
  </si>
  <si>
    <t>Data analyzed</t>
  </si>
  <si>
    <t>Sample size, column A</t>
  </si>
  <si>
    <t>Sample size, column B</t>
  </si>
  <si>
    <t>Normalized analysis</t>
    <phoneticPr fontId="1" type="noConversion"/>
  </si>
  <si>
    <t>Statistical Analysis</t>
  </si>
  <si>
    <t>clpp</t>
    <phoneticPr fontId="1" type="noConversion"/>
  </si>
  <si>
    <t>Fig1-G</t>
  </si>
  <si>
    <t>***</t>
  </si>
  <si>
    <t>Paired t test</t>
  </si>
  <si>
    <t>t=11.45, df=2</t>
  </si>
  <si>
    <t>Number of pairs</t>
  </si>
  <si>
    <t>Mean of differences</t>
  </si>
  <si>
    <t>SD of differences</t>
  </si>
  <si>
    <t>SEM of differences</t>
  </si>
  <si>
    <t>-1.026 to -0.4656</t>
  </si>
  <si>
    <t>R squared (partial eta squared)</t>
  </si>
  <si>
    <t>How effective was the pairing?</t>
  </si>
  <si>
    <t>Correlation coefficient (r)</t>
  </si>
  <si>
    <t>P value (one tailed)</t>
  </si>
  <si>
    <t>Was the pairing significantly effective?</t>
  </si>
  <si>
    <t>Fig1-I</t>
  </si>
  <si>
    <r>
      <t>Clpp</t>
    </r>
    <r>
      <rPr>
        <b/>
        <i/>
        <vertAlign val="superscript"/>
        <sz val="10"/>
        <rFont val="Arial"/>
        <family val="2"/>
      </rPr>
      <t>fl/fl</t>
    </r>
    <r>
      <rPr>
        <b/>
        <i/>
        <sz val="10"/>
        <rFont val="Arial"/>
        <family val="2"/>
      </rPr>
      <t>;ZP3-Cre</t>
    </r>
  </si>
  <si>
    <r>
      <t>Clpp</t>
    </r>
    <r>
      <rPr>
        <b/>
        <i/>
        <vertAlign val="superscript"/>
        <sz val="10"/>
        <rFont val="Arial"/>
        <family val="2"/>
      </rPr>
      <t>fl/fl</t>
    </r>
  </si>
  <si>
    <t>t=3.782, df=10</t>
  </si>
  <si>
    <t>-2.833 ± 0.7491</t>
  </si>
  <si>
    <t>-4.502 to -1.164</t>
  </si>
  <si>
    <t>2.061, 5, 5</t>
  </si>
  <si>
    <t>AVG</t>
  </si>
  <si>
    <t>SEM</t>
  </si>
  <si>
    <t>Primordial FC</t>
    <phoneticPr fontId="1" type="noConversion"/>
  </si>
  <si>
    <t>Primary FC</t>
    <phoneticPr fontId="1" type="noConversion"/>
  </si>
  <si>
    <t>Secondary FC</t>
    <phoneticPr fontId="1" type="noConversion"/>
  </si>
  <si>
    <t>Antral FC</t>
    <phoneticPr fontId="1" type="noConversion"/>
  </si>
  <si>
    <t>Corpora lutea</t>
  </si>
  <si>
    <t>Atretic FC</t>
    <phoneticPr fontId="1" type="noConversion"/>
  </si>
  <si>
    <t>*5</t>
    <phoneticPr fontId="1" type="noConversion"/>
  </si>
  <si>
    <t>page-1</t>
    <phoneticPr fontId="1" type="noConversion"/>
  </si>
  <si>
    <t>Fig 2-B</t>
    <phoneticPr fontId="1" type="noConversion"/>
  </si>
  <si>
    <t>page-2</t>
  </si>
  <si>
    <t>Follicle count</t>
    <phoneticPr fontId="1" type="noConversion"/>
  </si>
  <si>
    <t>page-3</t>
  </si>
  <si>
    <t>page-4</t>
  </si>
  <si>
    <t>cko-2</t>
    <phoneticPr fontId="1" type="noConversion"/>
  </si>
  <si>
    <t>WT-1</t>
    <phoneticPr fontId="1" type="noConversion"/>
  </si>
  <si>
    <t>WT-1</t>
  </si>
  <si>
    <t>cko-1</t>
  </si>
  <si>
    <t>Primordial FC</t>
  </si>
  <si>
    <t>ns</t>
    <phoneticPr fontId="1" type="noConversion"/>
  </si>
  <si>
    <t>Primary FC</t>
  </si>
  <si>
    <t>*</t>
    <phoneticPr fontId="1" type="noConversion"/>
  </si>
  <si>
    <t>Secondary FC</t>
  </si>
  <si>
    <t>Antral FC</t>
  </si>
  <si>
    <t>Atretic FC</t>
  </si>
  <si>
    <t xml:space="preserve"> *p&lt; 0.05; **p&lt; 0.01; ***p&lt; 0.001.</t>
  </si>
  <si>
    <t>Corpora lutea</t>
    <phoneticPr fontId="1" type="noConversion"/>
  </si>
  <si>
    <t>t=0.07143, df=4</t>
  </si>
  <si>
    <t>-1.667 ± 23.33</t>
  </si>
  <si>
    <t>-66.45 to 63.12</t>
  </si>
  <si>
    <t>3.000, 2, 2</t>
  </si>
  <si>
    <t>Data Set-B</t>
  </si>
  <si>
    <t>Data Set-A</t>
  </si>
  <si>
    <t>*</t>
  </si>
  <si>
    <t>t=4.715, df=2</t>
  </si>
  <si>
    <t>-21.68 to -0.9910</t>
  </si>
  <si>
    <t>t=2.061, df=2</t>
  </si>
  <si>
    <t>-32.93 to 11.60</t>
  </si>
  <si>
    <t>Fig 2-B -Primordial FC</t>
    <phoneticPr fontId="1" type="noConversion"/>
  </si>
  <si>
    <t>Fig 2-B -Primary FC</t>
    <phoneticPr fontId="1" type="noConversion"/>
  </si>
  <si>
    <t>Fig 2-B -Secondary  FC</t>
    <phoneticPr fontId="1" type="noConversion"/>
  </si>
  <si>
    <t>t=2.117, df=2</t>
  </si>
  <si>
    <t>-33.36 to 11.36</t>
  </si>
  <si>
    <t>Fig 2-B -Antral</t>
  </si>
  <si>
    <t>Fig 2-B -Corpora lutea</t>
  </si>
  <si>
    <t>t=1.803, df=2</t>
  </si>
  <si>
    <t>-14.68 to 6.009</t>
  </si>
  <si>
    <t>Fig 2-B -Atretic</t>
  </si>
  <si>
    <t>t=3.500, df=4</t>
  </si>
  <si>
    <t>23.33 ± 6.667</t>
  </si>
  <si>
    <t>4.824 to 41.84</t>
  </si>
  <si>
    <t>4.333, 2, 2</t>
  </si>
  <si>
    <t>Fig 2-B -Atretic FC</t>
    <phoneticPr fontId="1" type="noConversion"/>
  </si>
  <si>
    <t>Fig 2-C</t>
    <phoneticPr fontId="1" type="noConversion"/>
  </si>
  <si>
    <t>Fig 2-D</t>
    <phoneticPr fontId="1" type="noConversion"/>
  </si>
  <si>
    <t>Fig 2-E</t>
    <phoneticPr fontId="1" type="noConversion"/>
  </si>
  <si>
    <t>MII oocyte number</t>
    <phoneticPr fontId="1" type="noConversion"/>
  </si>
  <si>
    <t>2-cell-oocyte number</t>
    <phoneticPr fontId="1" type="noConversion"/>
  </si>
  <si>
    <t>BL number</t>
    <phoneticPr fontId="1" type="noConversion"/>
  </si>
  <si>
    <r>
      <t>Clpp</t>
    </r>
    <r>
      <rPr>
        <b/>
        <vertAlign val="superscript"/>
        <sz val="10"/>
        <rFont val="Arial"/>
        <family val="2"/>
      </rPr>
      <t>fl/fl</t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</si>
  <si>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</t>
    </r>
  </si>
  <si>
    <t xml:space="preserve">good Good means that the oocyte spindle is in normal shape, while bed means abnormal spindle shape. </t>
    <phoneticPr fontId="1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</si>
  <si>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-1</t>
    </r>
    <phoneticPr fontId="1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</si>
  <si>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-2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</si>
  <si>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-3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</si>
  <si>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-4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</si>
  <si>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-5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</si>
  <si>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;Zp3-cre-1</t>
    </r>
    <phoneticPr fontId="1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</si>
  <si>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;Zp3-cre-2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</si>
  <si>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;Zp3-cre-3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</si>
  <si>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;Zp3-cre-4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</si>
  <si>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;Zp3-cre-5</t>
    </r>
    <r>
      <rPr>
        <sz val="11"/>
        <color theme="1"/>
        <rFont val="等线"/>
        <family val="2"/>
        <scheme val="minor"/>
      </rPr>
      <t/>
    </r>
  </si>
  <si>
    <t>Fig 2-G</t>
    <phoneticPr fontId="1" type="noConversion"/>
  </si>
  <si>
    <t>Abnormal spindle rate (%)</t>
    <phoneticPr fontId="1" type="noConversion"/>
  </si>
  <si>
    <t>(bed/good)*100</t>
    <phoneticPr fontId="1" type="noConversion"/>
  </si>
  <si>
    <t>bed/good</t>
    <phoneticPr fontId="1" type="noConversion"/>
  </si>
  <si>
    <t>good</t>
    <phoneticPr fontId="1" type="noConversion"/>
  </si>
  <si>
    <t>bed</t>
    <phoneticPr fontId="1" type="noConversion"/>
  </si>
  <si>
    <t>Chromosome number = 20 is the normal number of chromosomes, and the others are abnormal numbers, which are recorded as aneuploid oocytes</t>
    <phoneticPr fontId="1" type="noConversion"/>
  </si>
  <si>
    <t>Aneuploidy rate （%）</t>
    <phoneticPr fontId="1" type="noConversion"/>
  </si>
  <si>
    <t>***</t>
    <phoneticPr fontId="1" type="noConversion"/>
  </si>
  <si>
    <t>Fig 2-C</t>
  </si>
  <si>
    <t>t=1.323, df=23</t>
  </si>
  <si>
    <t>-4.800 ± 3.629</t>
  </si>
  <si>
    <t>-12.31 to 2.708</t>
  </si>
  <si>
    <t>2.662, 14, 9</t>
  </si>
  <si>
    <t>Fig 2-D</t>
  </si>
  <si>
    <t>5.333 ± 2.906</t>
  </si>
  <si>
    <t>-2.735 to 13.40</t>
  </si>
  <si>
    <t>75.00, 2, 2</t>
  </si>
  <si>
    <t>Fig 2-E</t>
  </si>
  <si>
    <t>t=0.9053, df=11</t>
  </si>
  <si>
    <t>1.714 ± 1.894</t>
  </si>
  <si>
    <t>-2.453 to 5.882</t>
  </si>
  <si>
    <t>1.559, 5, 6</t>
  </si>
  <si>
    <t>t=1.835, df=4</t>
    <phoneticPr fontId="1" type="noConversion"/>
  </si>
  <si>
    <t>Fig 2-G</t>
  </si>
  <si>
    <t>One-tailed</t>
  </si>
  <si>
    <t>t=4.368, df=8</t>
  </si>
  <si>
    <t>Difference between means (A - B) ± SEM</t>
  </si>
  <si>
    <t>-55.43 ± 12.69</t>
  </si>
  <si>
    <t>-84.68 to -26.17</t>
  </si>
  <si>
    <t>86.30, 4, 4</t>
  </si>
  <si>
    <t>Statistical Analysis</t>
    <phoneticPr fontId="1" type="noConversion"/>
  </si>
  <si>
    <t>Fig 2-I</t>
  </si>
  <si>
    <t>Fig 2-I</t>
    <phoneticPr fontId="1" type="noConversion"/>
  </si>
  <si>
    <t>t=10.56, df=4</t>
  </si>
  <si>
    <t>0.3194 ± 0.03024</t>
  </si>
  <si>
    <t>0.2355 to 0.4034</t>
  </si>
  <si>
    <t>5.037, 2, 2</t>
  </si>
  <si>
    <t>Fig 3-D</t>
    <phoneticPr fontId="1" type="noConversion"/>
  </si>
  <si>
    <t>JC-1 Red/Green
Fluorescent intensity
distribution Rate</t>
    <phoneticPr fontId="1" type="noConversion"/>
  </si>
  <si>
    <t>AVG</t>
    <phoneticPr fontId="29" type="noConversion"/>
  </si>
  <si>
    <t>SEM</t>
    <phoneticPr fontId="29" type="noConversion"/>
  </si>
  <si>
    <t>Fig 3-E</t>
    <phoneticPr fontId="1" type="noConversion"/>
  </si>
  <si>
    <t>Ros level</t>
    <phoneticPr fontId="1" type="noConversion"/>
  </si>
  <si>
    <t>Fig 3-F</t>
    <phoneticPr fontId="1" type="noConversion"/>
  </si>
  <si>
    <t>Abnormal mitochondrail 
distribution Rate</t>
    <phoneticPr fontId="1" type="noConversion"/>
  </si>
  <si>
    <t>Fig 3-G</t>
    <phoneticPr fontId="1" type="noConversion"/>
  </si>
  <si>
    <t>mtDNA copy number</t>
    <phoneticPr fontId="1" type="noConversion"/>
  </si>
  <si>
    <t>Fig 3 H</t>
  </si>
  <si>
    <t>quantification of mRNA expression of respiratory chian complex genes</t>
    <phoneticPr fontId="29" type="noConversion"/>
  </si>
  <si>
    <t>CT1</t>
    <phoneticPr fontId="29" type="noConversion"/>
  </si>
  <si>
    <t>ndufv1</t>
  </si>
  <si>
    <t>SampleType</t>
  </si>
  <si>
    <t>WT-1</t>
    <phoneticPr fontId="29" type="noConversion"/>
  </si>
  <si>
    <t>CKO-1</t>
    <phoneticPr fontId="29" type="noConversion"/>
  </si>
  <si>
    <t>CKO-2</t>
  </si>
  <si>
    <t>CKO-3</t>
  </si>
  <si>
    <t>beta-actin</t>
    <phoneticPr fontId="29" type="noConversion"/>
  </si>
  <si>
    <t>T-TEST</t>
    <phoneticPr fontId="29" type="noConversion"/>
  </si>
  <si>
    <t>WT vs CKO</t>
    <phoneticPr fontId="29" type="noConversion"/>
  </si>
  <si>
    <t>sdhb</t>
  </si>
  <si>
    <t>CKO-1</t>
  </si>
  <si>
    <t>uqcrc2</t>
  </si>
  <si>
    <t>cox1</t>
  </si>
  <si>
    <t>atp5a1</t>
  </si>
  <si>
    <t>β-actin</t>
    <phoneticPr fontId="29" type="noConversion"/>
  </si>
  <si>
    <t>Fig 3 I</t>
    <phoneticPr fontId="29" type="noConversion"/>
  </si>
  <si>
    <t>ATP level</t>
  </si>
  <si>
    <t>Fig 3-D</t>
  </si>
  <si>
    <t>&lt;0.0001</t>
  </si>
  <si>
    <t>****</t>
  </si>
  <si>
    <t>t=12.49, df=48</t>
  </si>
  <si>
    <t>-1.383 ± 0.1108</t>
  </si>
  <si>
    <t>-1.606 to -1.160</t>
  </si>
  <si>
    <t>2.637, 25, 23</t>
  </si>
  <si>
    <t>Fig 3-E</t>
  </si>
  <si>
    <t>t=5.522, df=50</t>
  </si>
  <si>
    <t>0.4354 ± 0.07884</t>
  </si>
  <si>
    <t>0.2770 to 0.5937</t>
  </si>
  <si>
    <t>2.015, 25, 25</t>
  </si>
  <si>
    <t>Fig 3-F</t>
  </si>
  <si>
    <t>t=6.167, df=4</t>
  </si>
  <si>
    <t>0.2833 ± 0.04595</t>
  </si>
  <si>
    <t>0.1558 to 0.4109</t>
  </si>
  <si>
    <t>2.333, 2, 2</t>
  </si>
  <si>
    <t>Fig 3-G</t>
  </si>
  <si>
    <t>t=4.137, df=14</t>
  </si>
  <si>
    <t>191017 ± 46167</t>
  </si>
  <si>
    <t>91998 to 290036</t>
  </si>
  <si>
    <t>8.912, 7, 7</t>
  </si>
  <si>
    <t>ndufv1</t>
    <phoneticPr fontId="1" type="noConversion"/>
  </si>
  <si>
    <t>Fig-3-H-ndufv1</t>
  </si>
  <si>
    <t>t=3.675, df=4</t>
  </si>
  <si>
    <t>-0.3401 ± 0.09254</t>
  </si>
  <si>
    <t>-0.5970 to -0.08311</t>
  </si>
  <si>
    <t>15.05, 2, 2</t>
  </si>
  <si>
    <t>Fig-3-H-sdhb</t>
  </si>
  <si>
    <t>t=10.93, df=4</t>
  </si>
  <si>
    <t>-0.7535 ± 0.06892</t>
  </si>
  <si>
    <t>-0.9449 to -0.5622</t>
  </si>
  <si>
    <t>112.2, 2, 2</t>
  </si>
  <si>
    <t>uqcrc2</t>
    <phoneticPr fontId="1" type="noConversion"/>
  </si>
  <si>
    <t>Fig-3-H-uqcrc2</t>
  </si>
  <si>
    <t>t=4.8299, df=4</t>
  </si>
  <si>
    <t>0.52960 ± 0.10965</t>
  </si>
  <si>
    <t>0.22516 to 0.83404</t>
  </si>
  <si>
    <t>1.1130, 2, 2</t>
  </si>
  <si>
    <t>Fig-3-H-cox1</t>
  </si>
  <si>
    <t>t=1.202, df=4</t>
  </si>
  <si>
    <t>0.1241 ± 0.1032</t>
  </si>
  <si>
    <t>-0.1625 to 0.4108</t>
  </si>
  <si>
    <t>8.274, 2, 2</t>
  </si>
  <si>
    <t>Fig-3-H-atp5a1</t>
  </si>
  <si>
    <t>t=3.234, df=4</t>
  </si>
  <si>
    <t>-0.3793 ± 0.1173</t>
  </si>
  <si>
    <t>-0.7049 to -0.05363</t>
  </si>
  <si>
    <t>13.33, 2, 2</t>
  </si>
  <si>
    <t>Fig-3-I</t>
  </si>
  <si>
    <t>t=3.174, df=15</t>
  </si>
  <si>
    <t>-68.33 ± 21.53</t>
  </si>
  <si>
    <t>-114.2 to -22.44</t>
  </si>
  <si>
    <t>8.907, 7, 8</t>
  </si>
  <si>
    <t>Fig 4-C Parthenogenetic  activation rate (%)</t>
    <phoneticPr fontId="29" type="noConversion"/>
  </si>
  <si>
    <t>Fig 4-D Blastocyst Rate after parthenogenetic  activation(%)</t>
    <phoneticPr fontId="29" type="noConversion"/>
  </si>
  <si>
    <t>PBS</t>
    <phoneticPr fontId="29" type="noConversion"/>
  </si>
  <si>
    <t xml:space="preserve">75μM CTX treat </t>
    <phoneticPr fontId="1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</si>
  <si>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</t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</si>
  <si>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+PBS VS 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;zp3-cre+PBS</t>
    </r>
    <phoneticPr fontId="29" type="noConversion"/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</si>
  <si>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>;zp3-cre+PBS VS 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;zp3-cre+CTX</t>
    </r>
    <phoneticPr fontId="29" type="noConversion"/>
  </si>
  <si>
    <r>
      <t>Clpp</t>
    </r>
    <r>
      <rPr>
        <vertAlign val="superscript"/>
        <sz val="10"/>
        <rFont val="Arial"/>
        <family val="2"/>
      </rPr>
      <t>fl/fl</t>
    </r>
    <r>
      <rPr>
        <sz val="11"/>
        <color theme="1"/>
        <rFont val="等线"/>
        <family val="2"/>
        <scheme val="minor"/>
      </rPr>
      <t>;zp3-cre+PBS</t>
    </r>
  </si>
  <si>
    <t>clpp+PBS</t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</si>
  <si>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+PBS VS 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+CTX</t>
    </r>
    <phoneticPr fontId="29" type="noConversion"/>
  </si>
  <si>
    <t>t=6.359, df=5</t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</si>
  <si>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+CTX VS 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;zp3-cre+CTX</t>
    </r>
    <phoneticPr fontId="29" type="noConversion"/>
  </si>
  <si>
    <t>-20.62 ± 3.242</t>
  </si>
  <si>
    <t>-28.95 to -12.28</t>
  </si>
  <si>
    <t>4.809, 3, 2</t>
  </si>
  <si>
    <t>Column C</t>
  </si>
  <si>
    <r>
      <t>Clpp</t>
    </r>
    <r>
      <rPr>
        <vertAlign val="superscript"/>
        <sz val="10"/>
        <rFont val="Arial"/>
        <family val="2"/>
      </rPr>
      <t>fl/fl</t>
    </r>
    <r>
      <rPr>
        <sz val="11"/>
        <color theme="1"/>
        <rFont val="等线"/>
        <family val="2"/>
        <scheme val="minor"/>
      </rPr>
      <t>+CTX</t>
    </r>
  </si>
  <si>
    <t>t=0.7774, df=7</t>
  </si>
  <si>
    <t>Mean of column C</t>
  </si>
  <si>
    <t>Difference between means (C - A) ± SEM</t>
  </si>
  <si>
    <t>-3.334 ± 4.288</t>
  </si>
  <si>
    <t>-13.47 to 6.807</t>
  </si>
  <si>
    <t>1.961, 4, 3</t>
  </si>
  <si>
    <t>Fig 4-F</t>
  </si>
  <si>
    <t>follicle count</t>
    <phoneticPr fontId="29" type="noConversion"/>
  </si>
  <si>
    <t>cko</t>
    <phoneticPr fontId="29" type="noConversion"/>
  </si>
  <si>
    <t>WT</t>
    <phoneticPr fontId="29" type="noConversion"/>
  </si>
  <si>
    <t>cko+ctx</t>
    <phoneticPr fontId="29" type="noConversion"/>
  </si>
  <si>
    <t>WT+ctx</t>
    <phoneticPr fontId="29" type="noConversion"/>
  </si>
  <si>
    <t>cko+ctx-1</t>
  </si>
  <si>
    <t>cko+ctx-2</t>
  </si>
  <si>
    <t>cko+ctx-3</t>
  </si>
  <si>
    <t>WT+ctx-1</t>
  </si>
  <si>
    <t>WT+ctx-2</t>
  </si>
  <si>
    <t>WT+ctx-3</t>
  </si>
  <si>
    <t>WT vs WT+CTX</t>
    <phoneticPr fontId="29" type="noConversion"/>
  </si>
  <si>
    <t>CKO vs CKO+CTX</t>
    <phoneticPr fontId="29" type="noConversion"/>
  </si>
  <si>
    <t>WT+CTX vs CKO+CTX</t>
    <phoneticPr fontId="29" type="noConversion"/>
  </si>
  <si>
    <t>WT+CTX vs CKO</t>
    <phoneticPr fontId="29" type="noConversion"/>
  </si>
  <si>
    <t>cko+ctx-1</t>
    <phoneticPr fontId="1" type="noConversion"/>
  </si>
  <si>
    <t>WT+ctx-1</t>
    <phoneticPr fontId="1" type="noConversion"/>
  </si>
  <si>
    <t>Column D</t>
  </si>
  <si>
    <r>
      <t>Clpp</t>
    </r>
    <r>
      <rPr>
        <vertAlign val="superscript"/>
        <sz val="10"/>
        <rFont val="Arial"/>
        <family val="2"/>
      </rPr>
      <t>fl/fl</t>
    </r>
    <r>
      <rPr>
        <sz val="10"/>
        <rFont val="Arial"/>
        <family val="2"/>
      </rPr>
      <t>;zp3-cre+CTX</t>
    </r>
  </si>
  <si>
    <r>
      <t>Clpp</t>
    </r>
    <r>
      <rPr>
        <vertAlign val="superscript"/>
        <sz val="10"/>
        <rFont val="Arial"/>
        <family val="2"/>
      </rPr>
      <t>fl/fl</t>
    </r>
    <r>
      <rPr>
        <sz val="10"/>
        <rFont val="Arial"/>
        <family val="2"/>
      </rPr>
      <t>;zp3-cre+PBS</t>
    </r>
  </si>
  <si>
    <t>t=9.270, df=6</t>
  </si>
  <si>
    <t>Mean of column D</t>
  </si>
  <si>
    <t>Difference between means (D - B) ± SEM</t>
  </si>
  <si>
    <t>-21.19 ± 2.286</t>
  </si>
  <si>
    <t>-26.79 to -15.60</t>
  </si>
  <si>
    <t>2.180, 4, 2</t>
  </si>
  <si>
    <r>
      <t>Clpp</t>
    </r>
    <r>
      <rPr>
        <vertAlign val="superscript"/>
        <sz val="10"/>
        <rFont val="Arial"/>
        <family val="2"/>
      </rPr>
      <t>fl/fl</t>
    </r>
    <r>
      <rPr>
        <sz val="10"/>
        <rFont val="Arial"/>
        <family val="2"/>
      </rPr>
      <t>+CTX</t>
    </r>
  </si>
  <si>
    <t>t=10.78, df=8</t>
  </si>
  <si>
    <t>Difference between means (D - C) ± SEM</t>
  </si>
  <si>
    <t>-38.48 ± 3.569</t>
  </si>
  <si>
    <t>-46.71 to -30.25</t>
  </si>
  <si>
    <t>4.326, 4, 4</t>
  </si>
  <si>
    <t>t=9.892, df=5</t>
  </si>
  <si>
    <t>-55.11 ± 5.571</t>
  </si>
  <si>
    <t>-69.43 to -40.79</t>
  </si>
  <si>
    <t>3.183, 2, 3</t>
  </si>
  <si>
    <t>t=8.607, df=6</t>
  </si>
  <si>
    <t>-34.51 ± 4.009</t>
  </si>
  <si>
    <t>-44.32 to -24.70</t>
  </si>
  <si>
    <t>Infinity, 2, 4</t>
  </si>
  <si>
    <t>Fig 4-D</t>
  </si>
  <si>
    <t>t=0.5772, df=7</t>
  </si>
  <si>
    <t>-6.236 ± 10.80</t>
  </si>
  <si>
    <t>-31.78 to 19.31</t>
  </si>
  <si>
    <t>15.23, 4, 3</t>
  </si>
  <si>
    <t>t=8.964, df=8</t>
  </si>
  <si>
    <t>-83.38 ± 9.302</t>
  </si>
  <si>
    <t>-104.8 to -61.93</t>
  </si>
  <si>
    <t>Infinity, 4, 4</t>
  </si>
  <si>
    <t>cko</t>
  </si>
  <si>
    <t>WT+ctx</t>
  </si>
  <si>
    <t>t=0.6175, df=4</t>
  </si>
  <si>
    <t>-25.00 ± 40.48</t>
  </si>
  <si>
    <t>-137.4 to 87.40</t>
  </si>
  <si>
    <t>11.04, 2, 2</t>
  </si>
  <si>
    <t>cko+ctx</t>
  </si>
  <si>
    <t>t=4.019, df=4</t>
  </si>
  <si>
    <t>-103.3 ± 25.71</t>
  </si>
  <si>
    <t>-174.7 to -31.95</t>
  </si>
  <si>
    <t>1.615, 2, 2</t>
  </si>
  <si>
    <t>t=1.909, df=4</t>
  </si>
  <si>
    <t>-80.00 ± 41.90</t>
  </si>
  <si>
    <t>-196.3 to 36.33</t>
  </si>
  <si>
    <t>5.945, 2, 2</t>
  </si>
  <si>
    <t>t=0.5337, df=4</t>
  </si>
  <si>
    <t>Difference between means (C - B) ± SEM</t>
  </si>
  <si>
    <t>23.33 ± 43.72</t>
  </si>
  <si>
    <t>-98.04 to 144.7</t>
  </si>
  <si>
    <t>3.680, 2, 2</t>
  </si>
  <si>
    <t>3.444, 2, 2</t>
  </si>
  <si>
    <t>t=2.772, df=4</t>
  </si>
  <si>
    <t>8.667 ± 3.127</t>
  </si>
  <si>
    <t>-0.01512 to 17.35</t>
  </si>
  <si>
    <t>1.839, 2, 2</t>
  </si>
  <si>
    <t>t=1.400, df=4</t>
  </si>
  <si>
    <t>4.667 ± 3.333</t>
  </si>
  <si>
    <t>-4.588 to 13.92</t>
  </si>
  <si>
    <t>10.11, 2, 2</t>
  </si>
  <si>
    <t>t=3.781, df=4</t>
  </si>
  <si>
    <t>-15.33 ± 4.055</t>
  </si>
  <si>
    <t>-26.59 to -4.074</t>
  </si>
  <si>
    <t>1.596, 2, 2</t>
  </si>
  <si>
    <t>t=7.385, df=4</t>
  </si>
  <si>
    <t>-20.00 ± 2.708</t>
  </si>
  <si>
    <t>-27.52 to -12.48</t>
  </si>
  <si>
    <t>6.333, 2, 2</t>
  </si>
  <si>
    <t>t=1.299, df=4</t>
  </si>
  <si>
    <t>6.333 ± 4.876</t>
  </si>
  <si>
    <t>-7.205 to 19.87</t>
  </si>
  <si>
    <t>1.078, 2, 2</t>
  </si>
  <si>
    <t>t=0.9540, df=4</t>
  </si>
  <si>
    <t>3.000 ± 3.145</t>
  </si>
  <si>
    <t>-5.731 to 11.73</t>
  </si>
  <si>
    <t>2.560, 2, 2</t>
  </si>
  <si>
    <t>t=3.250, df=4</t>
  </si>
  <si>
    <t>-14.00 ± 4.308</t>
  </si>
  <si>
    <t>-25.96 to -2.040</t>
  </si>
  <si>
    <t>1.609, 2, 2</t>
  </si>
  <si>
    <t>t=4.508, df=4</t>
  </si>
  <si>
    <t>-17.00 ± 3.771</t>
  </si>
  <si>
    <t>-27.47 to -6.529</t>
  </si>
  <si>
    <t>4.120, 2, 2</t>
  </si>
  <si>
    <t>t=0.9827, df=4</t>
  </si>
  <si>
    <t>5.000 ± 5.088</t>
  </si>
  <si>
    <t>-9.127 to 19.13</t>
  </si>
  <si>
    <t>1.080, 2, 2</t>
  </si>
  <si>
    <t>t=0.1098, df=4</t>
  </si>
  <si>
    <t>0.3333 ± 3.037</t>
  </si>
  <si>
    <t>-8.098 to 8.765</t>
  </si>
  <si>
    <t>1.677, 2, 2</t>
  </si>
  <si>
    <t>t=3.573, df=4</t>
  </si>
  <si>
    <t>-15.67 ± 4.384</t>
  </si>
  <si>
    <t>-27.84 to -3.494</t>
  </si>
  <si>
    <t>2.327, 2, 2</t>
  </si>
  <si>
    <t>t=3.893, df=4</t>
  </si>
  <si>
    <t>-16.00 ± 4.110</t>
  </si>
  <si>
    <t>-27.41 to -4.590</t>
  </si>
  <si>
    <t>3.903, 2, 2</t>
  </si>
  <si>
    <t>t=1.474, df=4</t>
  </si>
  <si>
    <t>3.333 ± 2.261</t>
  </si>
  <si>
    <t>-2.944 to 9.610</t>
  </si>
  <si>
    <t>4.111, 2, 2</t>
  </si>
  <si>
    <t>t=0.5721, df=4</t>
  </si>
  <si>
    <t>-2.000 ± 3.496</t>
  </si>
  <si>
    <t>-11.71 to 7.707</t>
  </si>
  <si>
    <t>2.548, 2, 2</t>
  </si>
  <si>
    <t>t=3.091, df=4</t>
  </si>
  <si>
    <t>-9.667 ± 3.127</t>
  </si>
  <si>
    <t>-18.35 to -0.9849</t>
  </si>
  <si>
    <t>8.778, 2, 2</t>
  </si>
  <si>
    <t>t=3.637, df=4</t>
  </si>
  <si>
    <t>-7.667 ± 2.108</t>
  </si>
  <si>
    <t>-13.52 to -1.813</t>
  </si>
  <si>
    <t>t=5.000, df=4</t>
  </si>
  <si>
    <t>16.67 ± 3.333</t>
  </si>
  <si>
    <t>7.412 to 25.92</t>
  </si>
  <si>
    <t>t=14.09, df=4</t>
  </si>
  <si>
    <t>105.0 ± 7.454</t>
  </si>
  <si>
    <t>84.31 to 125.7</t>
  </si>
  <si>
    <t>1.857, 2, 2</t>
  </si>
  <si>
    <t>t=23.69, df=4</t>
  </si>
  <si>
    <t>111.7 ± 4.714</t>
  </si>
  <si>
    <t>98.58 to 124.8</t>
  </si>
  <si>
    <t>7.000, 2, 2</t>
  </si>
  <si>
    <t>t=1.069, df=4</t>
  </si>
  <si>
    <t>6.667 ± 6.236</t>
  </si>
  <si>
    <t>-10.65 to 23.98</t>
  </si>
  <si>
    <t>13.00, 2, 2</t>
  </si>
  <si>
    <t>Fig 5-C ROS level</t>
    <phoneticPr fontId="29" type="noConversion"/>
  </si>
  <si>
    <t>Fig 5-D JC-1 Red/Green fluorescent intensity</t>
    <phoneticPr fontId="29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</si>
  <si>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+CTX</t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</si>
  <si>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;zp3-cre+CTX</t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</si>
  <si>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+PBS</t>
    </r>
    <phoneticPr fontId="29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</si>
  <si>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;zp3-cre+PBS</t>
    </r>
    <phoneticPr fontId="29" type="noConversion"/>
  </si>
  <si>
    <t>Fig 5-E ATP level</t>
    <phoneticPr fontId="29" type="noConversion"/>
  </si>
  <si>
    <t>Fig 5-F mtDNA copy number</t>
    <phoneticPr fontId="29" type="noConversion"/>
  </si>
  <si>
    <t>Fig 5-I  Aneuploidy Rate</t>
    <phoneticPr fontId="29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</si>
  <si>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 xml:space="preserve">+PBS-1 </t>
    </r>
    <phoneticPr fontId="29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</si>
  <si>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+PBS-2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</si>
  <si>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+PBS-3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</si>
  <si>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>;zp3-cre+PBS -1</t>
    </r>
    <phoneticPr fontId="29" type="noConversion"/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</si>
  <si>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>;zp3-cre+PBS -2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</si>
  <si>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>;zp3-cre+PBS -3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</si>
  <si>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+CTX-1</t>
    </r>
    <phoneticPr fontId="29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</si>
  <si>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+CTX-2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</si>
  <si>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+CTX-3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</si>
  <si>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>;zp4-cre+PBS-1</t>
    </r>
    <phoneticPr fontId="29" type="noConversion"/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</si>
  <si>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>;zp4-cre+PBS-2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</si>
  <si>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>;zp4-cre+PBS-3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</si>
  <si>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>fl/fl</t>
    </r>
    <phoneticPr fontId="29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</si>
  <si>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</t>
    </r>
    <phoneticPr fontId="29" type="noConversion"/>
  </si>
  <si>
    <t>Fig 5-J Abnormal mitochondrail 
distribution Rate</t>
    <phoneticPr fontId="29" type="noConversion"/>
  </si>
  <si>
    <t>Fig 5-K</t>
    <phoneticPr fontId="29" type="noConversion"/>
  </si>
  <si>
    <t>WT vs CKO+CTX</t>
    <phoneticPr fontId="29" type="noConversion"/>
  </si>
  <si>
    <t>WT+CTX-1</t>
  </si>
  <si>
    <t>WT+CTX-2</t>
  </si>
  <si>
    <t>WT+CTX-3</t>
  </si>
  <si>
    <t>CKO+CTX-1</t>
  </si>
  <si>
    <t>CKO+CTX-2</t>
  </si>
  <si>
    <t>CKO+CTX-3</t>
  </si>
  <si>
    <t>t=13.03, df=34</t>
  </si>
  <si>
    <t>6.641 ± 0.5096</t>
  </si>
  <si>
    <t>5.605 to 7.676</t>
  </si>
  <si>
    <t>1.838, 16, 18</t>
  </si>
  <si>
    <t>t=1.576, df=27</t>
  </si>
  <si>
    <t>1.012 ± 0.6426</t>
  </si>
  <si>
    <t>-0.3060 to 2.331</t>
  </si>
  <si>
    <t>2.855, 9, 18</t>
  </si>
  <si>
    <t>t=5.814, df=36</t>
  </si>
  <si>
    <t>11.99 ± 2.062</t>
  </si>
  <si>
    <t>7.807 to 16.17</t>
  </si>
  <si>
    <t>22.61, 20, 16</t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</si>
  <si>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;zp3-cre+PBS</t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</si>
  <si>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;zp3-cre+PBS</t>
    </r>
    <phoneticPr fontId="1" type="noConversion"/>
  </si>
  <si>
    <r>
      <t>Clpp</t>
    </r>
    <r>
      <rPr>
        <b/>
        <vertAlign val="superscript"/>
        <sz val="10"/>
        <rFont val="Arial"/>
        <family val="2"/>
      </rPr>
      <t>fl/fl</t>
    </r>
    <r>
      <rPr>
        <sz val="10"/>
        <rFont val="Arial"/>
        <family val="2"/>
      </rPr>
      <t>+PBS</t>
    </r>
    <phoneticPr fontId="1" type="noConversion"/>
  </si>
  <si>
    <t>t=6.526, df=29</t>
  </si>
  <si>
    <t>17.62 ± 2.699</t>
  </si>
  <si>
    <t>12.10 to 23.14</t>
  </si>
  <si>
    <t>14.55, 20, 9</t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</si>
  <si>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+PBS</t>
    </r>
  </si>
  <si>
    <t>t=4.904, df=28</t>
  </si>
  <si>
    <t>-0.5092 ± 0.1038</t>
  </si>
  <si>
    <t>-0.7219 to -0.2965</t>
  </si>
  <si>
    <t>1.850, 15, 13</t>
  </si>
  <si>
    <t>t=1.402, df=20</t>
  </si>
  <si>
    <t>-0.1317 ± 0.09392</t>
  </si>
  <si>
    <t>-0.3276 to 0.06420</t>
  </si>
  <si>
    <t>2.164, 13, 7</t>
  </si>
  <si>
    <t>t=2.256, df=38</t>
  </si>
  <si>
    <t>-0.2785 ± 0.1234</t>
  </si>
  <si>
    <t>-0.5283 to -0.02863</t>
  </si>
  <si>
    <t>1.708, 23, 15</t>
  </si>
  <si>
    <t>t=4.295, df=30</t>
  </si>
  <si>
    <t>-0.6560 ± 0.1527</t>
  </si>
  <si>
    <t>-0.9679 to -0.3440</t>
  </si>
  <si>
    <t>6.837, 23, 7</t>
  </si>
  <si>
    <t>t=2.512, df=23</t>
  </si>
  <si>
    <t>-45.30 ± 18.03</t>
  </si>
  <si>
    <t>-82.61 to -7.996</t>
  </si>
  <si>
    <t>1.632, 12, 11</t>
  </si>
  <si>
    <t>t=1.586, df=22</t>
  </si>
  <si>
    <t>-25.20 ± 15.89</t>
  </si>
  <si>
    <t>-58.15 to 7.742</t>
  </si>
  <si>
    <t>1.016, 11, 11</t>
  </si>
  <si>
    <t>t=4.785, df=23</t>
  </si>
  <si>
    <t>-94.00 ± 19.64</t>
  </si>
  <si>
    <t>-134.6 to -53.36</t>
  </si>
  <si>
    <t>1.075, 12, 11</t>
  </si>
  <si>
    <t>t=6.395, df=22</t>
  </si>
  <si>
    <t>-114.1 ± 17.84</t>
  </si>
  <si>
    <t>-151.1 to -77.10</t>
  </si>
  <si>
    <t>1.543, 11, 11</t>
  </si>
  <si>
    <t>t=6.330, df=15</t>
  </si>
  <si>
    <t>210469 ± 33252</t>
  </si>
  <si>
    <t>139594 to 281344</t>
  </si>
  <si>
    <t>4.070, 6, 9</t>
  </si>
  <si>
    <t>t=1.600, df=21</t>
  </si>
  <si>
    <t>-22438 ± 14023</t>
  </si>
  <si>
    <t>-51600 to 6725</t>
  </si>
  <si>
    <t>4.956, 9, 12</t>
  </si>
  <si>
    <t>t=3.629, df=15</t>
  </si>
  <si>
    <t>-171346 ± 47211</t>
  </si>
  <si>
    <t>-271973 to -70719</t>
  </si>
  <si>
    <t>1.173, 9, 6</t>
  </si>
  <si>
    <t>t=2.203, df=21</t>
  </si>
  <si>
    <t>61561 ± 27948</t>
  </si>
  <si>
    <t>3440 to 119682</t>
  </si>
  <si>
    <t>23.65, 9, 12</t>
  </si>
  <si>
    <t>t=6.439, df=4</t>
  </si>
  <si>
    <t>0.2827 ± 0.04391</t>
  </si>
  <si>
    <t>0.1608 to 0.4046</t>
  </si>
  <si>
    <t>2.102, 2, 2</t>
  </si>
  <si>
    <t>t=1.708, df=4</t>
  </si>
  <si>
    <t>0.04620 ± 0.02705</t>
  </si>
  <si>
    <t>-0.02888 to 0.1213</t>
  </si>
  <si>
    <t>5.658, 2, 2</t>
  </si>
  <si>
    <t>t=6.187, df=4</t>
  </si>
  <si>
    <t>0.2714 ± 0.04387</t>
  </si>
  <si>
    <t>0.1496 to 0.3932</t>
  </si>
  <si>
    <t>2.115, 2, 2</t>
  </si>
  <si>
    <t>t=18.83, df=4</t>
  </si>
  <si>
    <t>0.5080 ± 0.02698</t>
  </si>
  <si>
    <t>0.4331 to 0.5829</t>
  </si>
  <si>
    <t>5.625, 2, 2</t>
  </si>
  <si>
    <t>t=11.87, df=4</t>
  </si>
  <si>
    <t>0.2746 ± 0.02314</t>
  </si>
  <si>
    <t>0.2104 to 0.3389</t>
  </si>
  <si>
    <t>3.174, 2, 2</t>
  </si>
  <si>
    <t>t=2.543, df=2</t>
  </si>
  <si>
    <t>-0.08124 to 0.3161</t>
  </si>
  <si>
    <t>t=5.245, df=4</t>
  </si>
  <si>
    <t>0.3079 ± 0.05870</t>
  </si>
  <si>
    <t>0.1449 to 0.4708</t>
  </si>
  <si>
    <t>7.461, 2, 2</t>
  </si>
  <si>
    <t>t=6.866, df=4</t>
  </si>
  <si>
    <t>0.4651 ± 0.06774</t>
  </si>
  <si>
    <t>0.2770 to 0.6532</t>
  </si>
  <si>
    <t>1.959, 2, 2</t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</si>
  <si>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>;zp3-cre+PBS -1</t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</si>
  <si>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+PBS-1</t>
    </r>
  </si>
  <si>
    <t>t=3.654, df=4</t>
  </si>
  <si>
    <t>-0.3404 ± 0.09318</t>
  </si>
  <si>
    <t>-0.5991 to -0.08172</t>
  </si>
  <si>
    <t>14.57, 2, 2</t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</si>
  <si>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+CTX-1</t>
    </r>
  </si>
  <si>
    <t>t=3.720, df=4</t>
  </si>
  <si>
    <t>-0.3805 ± 0.1023</t>
  </si>
  <si>
    <t>-0.6644 to -0.09648</t>
  </si>
  <si>
    <t>3.476, 2, 2</t>
  </si>
  <si>
    <t>Difference between means (D - A) ± SEM</t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</si>
  <si>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>;zp4-cre+CTX-1</t>
    </r>
    <phoneticPr fontId="29" type="noConversion"/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</si>
  <si>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>;zp4-cre+CTX-2</t>
    </r>
    <r>
      <rPr>
        <sz val="11"/>
        <color theme="1"/>
        <rFont val="等线"/>
        <family val="2"/>
        <scheme val="minor"/>
      </rPr>
      <t/>
    </r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</si>
  <si>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>;zp4-cre+CTX-3</t>
    </r>
    <r>
      <rPr>
        <sz val="11"/>
        <color theme="1"/>
        <rFont val="等线"/>
        <family val="2"/>
        <scheme val="minor"/>
      </rPr>
      <t/>
    </r>
  </si>
  <si>
    <t>Clppfl/fl;zp3-cre+CTX</t>
  </si>
  <si>
    <t>t=5.292, df=4</t>
  </si>
  <si>
    <t>-0.5286 ± 0.09989</t>
  </si>
  <si>
    <t>-0.8060 to -0.2513</t>
  </si>
  <si>
    <t>4.386, 2, 2</t>
  </si>
  <si>
    <r>
      <t>Clpp</t>
    </r>
    <r>
      <rPr>
        <b/>
        <vertAlign val="superscript"/>
        <sz val="10"/>
        <rFont val="Arial"/>
        <family val="2"/>
      </rPr>
      <t xml:space="preserve">fl/fl </t>
    </r>
    <r>
      <rPr>
        <b/>
        <sz val="10"/>
        <rFont val="Arial"/>
        <family val="2"/>
      </rPr>
      <t xml:space="preserve">;zp3-cre+PBS </t>
    </r>
  </si>
  <si>
    <t>t=3.834, df=4</t>
  </si>
  <si>
    <t>-0.1882 ± 0.04909</t>
  </si>
  <si>
    <t>-0.3245 to -0.05190</t>
  </si>
  <si>
    <t>3.322, 2, 2</t>
  </si>
  <si>
    <t>t=2.289, df=4</t>
  </si>
  <si>
    <t>-0.1482 ± 0.06473</t>
  </si>
  <si>
    <t>-0.3279 to 0.03154</t>
  </si>
  <si>
    <t>1.262, 2, 2</t>
  </si>
  <si>
    <t>t=10.33, df=2</t>
  </si>
  <si>
    <t>-1.068 to -0.4398</t>
  </si>
  <si>
    <t>t=8.995, df=2</t>
  </si>
  <si>
    <t>-1.158 to -0.4086</t>
  </si>
  <si>
    <t>t=12.16, df=2</t>
  </si>
  <si>
    <t>-1.119 to -0.5341</t>
  </si>
  <si>
    <t>t=14.10, df=2</t>
  </si>
  <si>
    <t>-0.09486 to -0.05051</t>
  </si>
  <si>
    <t>t=2.139, df=4</t>
  </si>
  <si>
    <t>-0.04321 ± 0.02020</t>
  </si>
  <si>
    <t>-0.09929 to 0.01287</t>
  </si>
  <si>
    <t>275.7, 2, 2</t>
  </si>
  <si>
    <t>t=3.669, df=4</t>
  </si>
  <si>
    <t>0.4992 ± 0.1361</t>
  </si>
  <si>
    <t>0.1214 to 0.8771</t>
  </si>
  <si>
    <t>1.840, 2, 2</t>
  </si>
  <si>
    <t>t=3.790, df=2</t>
  </si>
  <si>
    <t>-0.04165 to 0.6580</t>
  </si>
  <si>
    <t>t=5.636, df=4</t>
  </si>
  <si>
    <t>0.4605 ± 0.08171</t>
  </si>
  <si>
    <t>0.2337 to 0.6874</t>
  </si>
  <si>
    <t>41.86, 2, 2</t>
  </si>
  <si>
    <t>t=0.3511, df=4</t>
  </si>
  <si>
    <t>-0.03870 ± 0.1102</t>
  </si>
  <si>
    <t>-0.3448 to 0.2674</t>
  </si>
  <si>
    <t>77.02, 2, 2</t>
  </si>
  <si>
    <t>t=2.498, df=2</t>
  </si>
  <si>
    <t>-0.1101 to 0.4148</t>
  </si>
  <si>
    <t>t=1.212, df=4</t>
  </si>
  <si>
    <t>0.1230 ± 0.1015</t>
  </si>
  <si>
    <t>-0.1588 to 0.4048</t>
  </si>
  <si>
    <t>8.238, 2, 2</t>
  </si>
  <si>
    <t>t=0.3528, df=4</t>
  </si>
  <si>
    <t>0.03582 ± 0.1015</t>
  </si>
  <si>
    <t>-0.2461 to 0.3177</t>
  </si>
  <si>
    <t>8.181, 2, 2</t>
  </si>
  <si>
    <t>t=0.2688, df=4</t>
  </si>
  <si>
    <t>-0.03138 ± 0.1168</t>
  </si>
  <si>
    <t>-0.3555 to 0.2928</t>
  </si>
  <si>
    <t>2.068, 2, 2</t>
  </si>
  <si>
    <t>t=2.071, df=4</t>
  </si>
  <si>
    <t>-0.1544 ± 0.07456</t>
  </si>
  <si>
    <t>-0.3614 to 0.05263</t>
  </si>
  <si>
    <t>3.985, 2, 2</t>
  </si>
  <si>
    <t>t=0.9007, df=4</t>
  </si>
  <si>
    <t>-0.06720 ± 0.07461</t>
  </si>
  <si>
    <t>-0.2744 to 0.1399</t>
  </si>
  <si>
    <t>3.957, 2, 2</t>
  </si>
  <si>
    <t>t=3.204, df=4</t>
  </si>
  <si>
    <t>-0.3798 ± 0.1185</t>
  </si>
  <si>
    <t>-0.7089 to -0.05067</t>
  </si>
  <si>
    <t>13.38, 2, 2</t>
  </si>
  <si>
    <t>t=0.9558, df=4</t>
  </si>
  <si>
    <t>-0.1537 ± 0.1608</t>
  </si>
  <si>
    <t>-0.6001 to 0.2927</t>
  </si>
  <si>
    <t>1.023, 2, 2</t>
  </si>
  <si>
    <t>t=1.928, df=4</t>
  </si>
  <si>
    <t>0.2261 ± 0.1173</t>
  </si>
  <si>
    <t>-0.09954 to 0.5517</t>
  </si>
  <si>
    <t>13.08, 2, 2</t>
  </si>
  <si>
    <t>t=2.203, df=4</t>
  </si>
  <si>
    <t>0.2691 ± 0.1222</t>
  </si>
  <si>
    <t>-0.07004 to 0.6083</t>
  </si>
  <si>
    <t>5.960, 2, 2</t>
  </si>
  <si>
    <t xml:space="preserve">Fig 1-E  qPCR to measure clpp knockout efficacy </t>
    <phoneticPr fontId="1" type="noConversion"/>
  </si>
  <si>
    <t xml:space="preserve">Fig 1-F.G  fertility testing </t>
    <phoneticPr fontId="1" type="noConversion"/>
  </si>
  <si>
    <t>Fig 1-G  No.of pups per litter(10 month)</t>
    <phoneticPr fontId="1" type="noConversion"/>
  </si>
  <si>
    <t>t=3.427, df=4</t>
  </si>
  <si>
    <t>-0.4228 ± 0.1234</t>
  </si>
  <si>
    <t>-0.7653 to -0.08031</t>
  </si>
  <si>
    <t>6.097, 2, 2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</si>
</sst>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"/>
    <numFmt numFmtId="177" formatCode="0.00_ "/>
    <numFmt numFmtId="178" formatCode="0.0"/>
    <numFmt numFmtId="179" formatCode="#,##0.000"/>
    <numFmt numFmtId="180" formatCode="0.0_);[Red]\(0.0\)"/>
    <numFmt numFmtId="181" formatCode="0.00_);[Red]\(0.00\)"/>
    <numFmt numFmtId="182" formatCode="0.0000000_);[Red]\(0.0000000\)"/>
    <numFmt numFmtId="183" formatCode="0_);[Red]\(0\)"/>
    <numFmt numFmtId="184" formatCode="0_ "/>
    <numFmt numFmtId="185" formatCode="0.0000_);[Red]\(0.0000\)"/>
  </numFmts>
  <fonts count="4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8.25"/>
      <name val="Microsoft Sans Serif"/>
      <family val="2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8.25"/>
      <color indexed="63"/>
      <name val="Microsoft Sans Serif"/>
      <family val="2"/>
      <charset val="134"/>
    </font>
    <font>
      <sz val="8.25"/>
      <color rgb="FF333333"/>
      <name val="Microsoft Sans Serif"/>
      <family val="2"/>
      <charset val="134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63"/>
      <name val="Arial"/>
      <family val="2"/>
    </font>
    <font>
      <sz val="12"/>
      <color theme="1"/>
      <name val="等线"/>
      <family val="3"/>
      <charset val="134"/>
      <scheme val="minor"/>
    </font>
    <font>
      <b/>
      <i/>
      <sz val="13"/>
      <color theme="1"/>
      <name val="Times New Roman"/>
      <family val="1"/>
    </font>
    <font>
      <b/>
      <i/>
      <vertAlign val="superscript"/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等线"/>
      <family val="2"/>
      <scheme val="minor"/>
    </font>
    <font>
      <sz val="9"/>
      <name val="等线"/>
      <family val="2"/>
      <scheme val="minor"/>
    </font>
    <font>
      <b/>
      <sz val="9"/>
      <color indexed="63"/>
      <name val="Arial"/>
      <family val="2"/>
    </font>
    <font>
      <b/>
      <sz val="10"/>
      <color indexed="63"/>
      <name val="Arial"/>
      <family val="2"/>
    </font>
    <font>
      <b/>
      <sz val="12"/>
      <color indexed="63"/>
      <name val="Arial"/>
      <family val="2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vertAlign val="superscript"/>
      <sz val="10"/>
      <name val="Arial"/>
      <family val="2"/>
    </font>
    <font>
      <b/>
      <i/>
      <vertAlign val="superscript"/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等线"/>
      <family val="3"/>
      <charset val="134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Arial"/>
      <family val="2"/>
    </font>
    <font>
      <sz val="9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2"/>
      <name val="Arial"/>
      <family val="2"/>
    </font>
    <font>
      <sz val="8.5"/>
      <name val="Microsoft Sans Serif"/>
      <family val="2"/>
      <charset val="134"/>
    </font>
    <font>
      <sz val="8.5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.25"/>
      <color rgb="FF333333"/>
      <name val="微软雅黑"/>
      <family val="2"/>
      <charset val="134"/>
    </font>
    <font>
      <sz val="8.25"/>
      <color rgb="FFFF0000"/>
      <name val="Microsoft Sans Serif"/>
      <family val="2"/>
      <charset val="134"/>
    </font>
    <font>
      <b/>
      <sz val="11"/>
      <color theme="1"/>
      <name val="Arial"/>
      <family val="2"/>
    </font>
    <font>
      <sz val="8.25"/>
      <color indexed="63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color rgb="FF333333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2" fillId="0" borderId="0">
      <protection locked="0"/>
    </xf>
    <xf numFmtId="0" fontId="3" fillId="0" borderId="0">
      <alignment vertical="center"/>
    </xf>
    <xf numFmtId="0" fontId="7" fillId="0" borderId="0"/>
    <xf numFmtId="0" fontId="10" fillId="0" borderId="0">
      <alignment vertical="center"/>
    </xf>
    <xf numFmtId="0" fontId="20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5" fillId="0" borderId="0" xfId="1" applyFont="1" applyAlignment="1" applyProtection="1">
      <alignment horizontal="center" vertical="center"/>
    </xf>
    <xf numFmtId="0" fontId="5" fillId="0" borderId="0" xfId="1" applyFont="1" applyAlignment="1">
      <alignment vertical="top"/>
      <protection locked="0"/>
    </xf>
    <xf numFmtId="0" fontId="2" fillId="0" borderId="0" xfId="1" applyAlignment="1">
      <alignment vertical="top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2" fillId="0" borderId="0" xfId="1" applyAlignment="1">
      <alignment vertical="top" wrapText="1"/>
      <protection locked="0"/>
    </xf>
    <xf numFmtId="176" fontId="5" fillId="0" borderId="0" xfId="1" applyNumberFormat="1" applyFont="1" applyAlignment="1">
      <alignment horizontal="center" vertical="center"/>
      <protection locked="0"/>
    </xf>
    <xf numFmtId="176" fontId="5" fillId="0" borderId="0" xfId="1" applyNumberFormat="1" applyFont="1" applyAlignment="1">
      <alignment horizontal="center" vertical="center" wrapText="1"/>
      <protection locked="0"/>
    </xf>
    <xf numFmtId="0" fontId="5" fillId="0" borderId="0" xfId="1" applyFont="1" applyAlignment="1">
      <alignment vertical="top" wrapText="1"/>
      <protection locked="0"/>
    </xf>
    <xf numFmtId="0" fontId="5" fillId="0" borderId="2" xfId="1" applyFont="1" applyBorder="1" applyAlignment="1" applyProtection="1">
      <alignment horizontal="center" vertical="center"/>
    </xf>
    <xf numFmtId="2" fontId="2" fillId="0" borderId="2" xfId="1" applyNumberFormat="1" applyBorder="1" applyAlignment="1">
      <alignment horizontal="center" vertical="center"/>
      <protection locked="0"/>
    </xf>
    <xf numFmtId="0" fontId="5" fillId="0" borderId="0" xfId="1" applyFont="1" applyAlignment="1" applyProtection="1">
      <alignment horizontal="center" vertical="top"/>
    </xf>
    <xf numFmtId="2" fontId="2" fillId="0" borderId="0" xfId="1" applyNumberFormat="1" applyAlignment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</xf>
    <xf numFmtId="2" fontId="2" fillId="0" borderId="1" xfId="1" applyNumberFormat="1" applyBorder="1" applyAlignment="1">
      <alignment horizontal="center" vertical="center"/>
      <protection locked="0"/>
    </xf>
    <xf numFmtId="2" fontId="5" fillId="0" borderId="2" xfId="1" applyNumberFormat="1" applyFont="1" applyBorder="1" applyAlignment="1" applyProtection="1">
      <alignment horizontal="center" vertical="center"/>
    </xf>
    <xf numFmtId="2" fontId="5" fillId="0" borderId="0" xfId="1" applyNumberFormat="1" applyFont="1" applyAlignment="1" applyProtection="1">
      <alignment horizontal="center" vertical="center"/>
    </xf>
    <xf numFmtId="2" fontId="5" fillId="0" borderId="1" xfId="1" applyNumberFormat="1" applyFont="1" applyBorder="1" applyAlignment="1" applyProtection="1">
      <alignment horizontal="center" vertical="center"/>
    </xf>
    <xf numFmtId="0" fontId="5" fillId="0" borderId="0" xfId="1" applyFont="1" applyAlignment="1" applyProtection="1">
      <alignment vertical="top"/>
    </xf>
    <xf numFmtId="2" fontId="5" fillId="0" borderId="0" xfId="1" applyNumberFormat="1" applyFont="1" applyAlignment="1" applyProtection="1">
      <alignment vertical="top"/>
    </xf>
    <xf numFmtId="49" fontId="5" fillId="0" borderId="0" xfId="1" applyNumberFormat="1" applyFont="1" applyAlignment="1" applyProtection="1">
      <alignment horizontal="center" vertical="center"/>
    </xf>
    <xf numFmtId="177" fontId="5" fillId="0" borderId="0" xfId="1" applyNumberFormat="1" applyFont="1" applyAlignment="1" applyProtection="1">
      <alignment vertical="top"/>
    </xf>
    <xf numFmtId="177" fontId="5" fillId="2" borderId="0" xfId="1" applyNumberFormat="1" applyFont="1" applyFill="1" applyAlignment="1" applyProtection="1">
      <alignment vertical="top"/>
    </xf>
    <xf numFmtId="178" fontId="5" fillId="0" borderId="0" xfId="1" applyNumberFormat="1" applyFont="1" applyAlignment="1" applyProtection="1">
      <alignment horizontal="center" vertical="top"/>
    </xf>
    <xf numFmtId="2" fontId="5" fillId="2" borderId="0" xfId="1" applyNumberFormat="1" applyFont="1" applyFill="1" applyAlignment="1" applyProtection="1">
      <alignment vertical="top"/>
    </xf>
    <xf numFmtId="178" fontId="5" fillId="0" borderId="0" xfId="1" applyNumberFormat="1" applyFont="1" applyAlignment="1">
      <alignment horizontal="center" vertical="center"/>
      <protection locked="0"/>
    </xf>
    <xf numFmtId="178" fontId="5" fillId="0" borderId="0" xfId="1" applyNumberFormat="1" applyFont="1" applyAlignment="1">
      <alignment horizontal="center" vertical="center" wrapText="1"/>
      <protection locked="0"/>
    </xf>
    <xf numFmtId="178" fontId="2" fillId="0" borderId="0" xfId="1" applyNumberFormat="1" applyAlignment="1">
      <alignment horizontal="center" vertical="center"/>
      <protection locked="0"/>
    </xf>
    <xf numFmtId="49" fontId="5" fillId="0" borderId="0" xfId="1" applyNumberFormat="1" applyFont="1" applyAlignment="1" applyProtection="1">
      <alignment vertical="top"/>
    </xf>
    <xf numFmtId="176" fontId="2" fillId="0" borderId="0" xfId="1" applyNumberFormat="1" applyAlignment="1">
      <alignment horizontal="center" vertical="center"/>
      <protection locked="0"/>
    </xf>
    <xf numFmtId="0" fontId="6" fillId="0" borderId="0" xfId="1" applyFont="1" applyAlignment="1" applyProtection="1">
      <alignment vertical="center"/>
    </xf>
    <xf numFmtId="0" fontId="8" fillId="0" borderId="0" xfId="0" applyFont="1"/>
    <xf numFmtId="179" fontId="8" fillId="0" borderId="0" xfId="0" applyNumberFormat="1" applyFont="1"/>
    <xf numFmtId="0" fontId="4" fillId="0" borderId="0" xfId="1" applyFont="1" applyAlignment="1">
      <alignment vertical="top"/>
      <protection locked="0"/>
    </xf>
    <xf numFmtId="0" fontId="9" fillId="0" borderId="0" xfId="1" applyFont="1" applyAlignment="1">
      <alignment vertical="top"/>
      <protection locked="0"/>
    </xf>
    <xf numFmtId="177" fontId="2" fillId="0" borderId="0" xfId="1" applyNumberFormat="1" applyAlignment="1">
      <alignment vertical="top"/>
      <protection locked="0"/>
    </xf>
    <xf numFmtId="0" fontId="2" fillId="0" borderId="0" xfId="1" applyAlignment="1">
      <alignment horizontal="center" vertical="top"/>
      <protection locked="0"/>
    </xf>
    <xf numFmtId="0" fontId="10" fillId="0" borderId="0" xfId="4">
      <alignment vertical="center"/>
    </xf>
    <xf numFmtId="180" fontId="10" fillId="0" borderId="0" xfId="4" applyNumberFormat="1">
      <alignment vertical="center"/>
    </xf>
    <xf numFmtId="14" fontId="10" fillId="0" borderId="0" xfId="4" applyNumberFormat="1">
      <alignment vertical="center"/>
    </xf>
    <xf numFmtId="0" fontId="5" fillId="0" borderId="0" xfId="1" applyFont="1" applyAlignment="1">
      <alignment vertical="center"/>
      <protection locked="0"/>
    </xf>
    <xf numFmtId="0" fontId="2" fillId="0" borderId="0" xfId="1" applyAlignment="1">
      <alignment vertical="center"/>
      <protection locked="0"/>
    </xf>
    <xf numFmtId="0" fontId="14" fillId="0" borderId="0" xfId="4" applyFont="1">
      <alignment vertical="center"/>
    </xf>
    <xf numFmtId="0" fontId="13" fillId="0" borderId="0" xfId="4" applyFont="1" applyAlignment="1">
      <alignment horizontal="left"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"/>
    </xf>
    <xf numFmtId="177" fontId="2" fillId="0" borderId="0" xfId="1" applyNumberFormat="1" applyAlignment="1">
      <alignment vertical="center"/>
      <protection locked="0"/>
    </xf>
    <xf numFmtId="0" fontId="16" fillId="0" borderId="0" xfId="1" applyFont="1" applyAlignment="1">
      <alignment vertical="top"/>
      <protection locked="0"/>
    </xf>
    <xf numFmtId="0" fontId="17" fillId="0" borderId="0" xfId="1" applyFont="1" applyAlignment="1">
      <alignment vertical="top"/>
      <protection locked="0"/>
    </xf>
    <xf numFmtId="0" fontId="18" fillId="0" borderId="0" xfId="1" applyFont="1" applyAlignment="1">
      <alignment vertical="top"/>
      <protection locked="0"/>
    </xf>
    <xf numFmtId="0" fontId="20" fillId="0" borderId="0" xfId="5">
      <alignment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6" fillId="0" borderId="0" xfId="1" applyFont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4" fillId="0" borderId="0" xfId="6" applyNumberFormat="1" applyFont="1" applyAlignment="1">
      <alignment horizontal="center" vertical="center"/>
    </xf>
    <xf numFmtId="2" fontId="4" fillId="0" borderId="0" xfId="6" applyNumberFormat="1" applyFont="1" applyAlignment="1">
      <alignment horizontal="center" vertical="center"/>
    </xf>
    <xf numFmtId="9" fontId="0" fillId="0" borderId="0" xfId="6" applyFont="1" applyAlignment="1">
      <alignment horizontal="center" vertical="center"/>
    </xf>
    <xf numFmtId="181" fontId="0" fillId="0" borderId="0" xfId="6" applyNumberFormat="1" applyFont="1" applyAlignment="1"/>
    <xf numFmtId="181" fontId="26" fillId="0" borderId="0" xfId="7" applyNumberFormat="1" applyFont="1" applyAlignment="1">
      <alignment horizontal="center" vertical="center"/>
    </xf>
    <xf numFmtId="0" fontId="4" fillId="0" borderId="0" xfId="7"/>
    <xf numFmtId="181" fontId="25" fillId="0" borderId="0" xfId="7" applyNumberFormat="1" applyFont="1" applyAlignment="1">
      <alignment horizontal="left" vertical="center"/>
    </xf>
    <xf numFmtId="0" fontId="26" fillId="0" borderId="0" xfId="7" applyFont="1" applyAlignment="1">
      <alignment horizontal="center" vertical="center"/>
    </xf>
    <xf numFmtId="0" fontId="5" fillId="0" borderId="0" xfId="1" applyFont="1" applyAlignment="1">
      <alignment horizontal="center" vertical="center"/>
      <protection locked="0"/>
    </xf>
    <xf numFmtId="177" fontId="5" fillId="0" borderId="0" xfId="1" applyNumberFormat="1" applyFont="1" applyAlignment="1" applyProtection="1">
      <alignment vertical="top" wrapText="1"/>
    </xf>
    <xf numFmtId="181" fontId="4" fillId="0" borderId="0" xfId="7" applyNumberFormat="1"/>
    <xf numFmtId="182" fontId="4" fillId="0" borderId="0" xfId="7" applyNumberFormat="1"/>
    <xf numFmtId="0" fontId="4" fillId="0" borderId="0" xfId="7" applyAlignment="1">
      <alignment horizontal="center" vertical="center"/>
    </xf>
    <xf numFmtId="181" fontId="25" fillId="0" borderId="0" xfId="7" applyNumberFormat="1" applyFont="1" applyAlignment="1">
      <alignment horizontal="left" vertical="center" wrapText="1"/>
    </xf>
    <xf numFmtId="9" fontId="0" fillId="0" borderId="0" xfId="6" applyFont="1" applyAlignment="1"/>
    <xf numFmtId="181" fontId="4" fillId="0" borderId="0" xfId="7" applyNumberFormat="1" applyAlignment="1">
      <alignment horizontal="center" vertical="center"/>
    </xf>
    <xf numFmtId="181" fontId="25" fillId="0" borderId="0" xfId="7" applyNumberFormat="1" applyFont="1" applyAlignment="1">
      <alignment horizontal="center" vertical="center"/>
    </xf>
    <xf numFmtId="181" fontId="25" fillId="0" borderId="0" xfId="7" applyNumberFormat="1" applyFont="1" applyAlignment="1">
      <alignment horizontal="center" vertical="center" wrapText="1"/>
    </xf>
    <xf numFmtId="181" fontId="26" fillId="0" borderId="0" xfId="7" applyNumberFormat="1" applyFont="1" applyAlignment="1">
      <alignment horizontal="left" vertical="center"/>
    </xf>
    <xf numFmtId="183" fontId="30" fillId="0" borderId="0" xfId="7" applyNumberFormat="1" applyFont="1"/>
    <xf numFmtId="0" fontId="31" fillId="0" borderId="0" xfId="7" applyFont="1"/>
    <xf numFmtId="183" fontId="4" fillId="0" borderId="0" xfId="7" applyNumberFormat="1"/>
    <xf numFmtId="181" fontId="4" fillId="0" borderId="0" xfId="1" applyNumberFormat="1" applyFont="1" applyAlignment="1">
      <alignment vertical="top"/>
      <protection locked="0"/>
    </xf>
    <xf numFmtId="177" fontId="6" fillId="0" borderId="1" xfId="1" applyNumberFormat="1" applyFont="1" applyBorder="1" applyAlignment="1" applyProtection="1">
      <alignment horizontal="center" vertical="center" wrapText="1"/>
    </xf>
    <xf numFmtId="181" fontId="32" fillId="0" borderId="2" xfId="1" applyNumberFormat="1" applyFont="1" applyBorder="1" applyAlignment="1">
      <alignment horizontal="center" vertical="center"/>
      <protection locked="0"/>
    </xf>
    <xf numFmtId="181" fontId="32" fillId="0" borderId="0" xfId="1" applyNumberFormat="1" applyFont="1" applyAlignment="1">
      <alignment horizontal="center" vertical="center"/>
      <protection locked="0"/>
    </xf>
    <xf numFmtId="0" fontId="4" fillId="0" borderId="0" xfId="7" applyAlignment="1">
      <alignment horizontal="center"/>
    </xf>
    <xf numFmtId="181" fontId="33" fillId="0" borderId="0" xfId="7" applyNumberFormat="1" applyFont="1" applyAlignment="1">
      <alignment horizontal="center" vertical="center"/>
    </xf>
    <xf numFmtId="0" fontId="4" fillId="0" borderId="1" xfId="7" applyBorder="1" applyAlignment="1">
      <alignment horizontal="center"/>
    </xf>
    <xf numFmtId="0" fontId="34" fillId="0" borderId="0" xfId="7" applyFont="1" applyAlignment="1">
      <alignment horizontal="center" vertical="center"/>
    </xf>
    <xf numFmtId="181" fontId="32" fillId="0" borderId="2" xfId="1" applyNumberFormat="1" applyFont="1" applyBorder="1" applyAlignment="1" applyProtection="1">
      <alignment horizontal="center" vertical="center"/>
    </xf>
    <xf numFmtId="181" fontId="2" fillId="0" borderId="0" xfId="1" applyNumberFormat="1" applyAlignment="1">
      <alignment horizontal="center" vertical="center"/>
      <protection locked="0"/>
    </xf>
    <xf numFmtId="0" fontId="35" fillId="0" borderId="0" xfId="7" applyFont="1" applyAlignment="1">
      <alignment horizontal="center" vertical="center"/>
    </xf>
    <xf numFmtId="181" fontId="2" fillId="0" borderId="1" xfId="1" applyNumberFormat="1" applyBorder="1" applyAlignment="1" applyProtection="1">
      <alignment horizontal="center" vertical="center"/>
    </xf>
    <xf numFmtId="181" fontId="5" fillId="0" borderId="2" xfId="1" applyNumberFormat="1" applyFont="1" applyBorder="1" applyAlignment="1">
      <alignment horizontal="center" vertical="center"/>
      <protection locked="0"/>
    </xf>
    <xf numFmtId="181" fontId="2" fillId="0" borderId="2" xfId="1" applyNumberFormat="1" applyBorder="1" applyAlignment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  <protection locked="0"/>
    </xf>
    <xf numFmtId="0" fontId="4" fillId="0" borderId="0" xfId="1" applyFont="1" applyAlignment="1">
      <alignment horizontal="left" vertical="top"/>
      <protection locked="0"/>
    </xf>
    <xf numFmtId="177" fontId="4" fillId="0" borderId="0" xfId="1" applyNumberFormat="1" applyFont="1" applyAlignment="1">
      <alignment vertical="top"/>
      <protection locked="0"/>
    </xf>
    <xf numFmtId="181" fontId="5" fillId="0" borderId="1" xfId="1" applyNumberFormat="1" applyFont="1" applyBorder="1" applyAlignment="1" applyProtection="1">
      <alignment horizontal="center" vertical="center"/>
    </xf>
    <xf numFmtId="177" fontId="5" fillId="0" borderId="0" xfId="1" applyNumberFormat="1" applyFont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top"/>
    </xf>
    <xf numFmtId="177" fontId="36" fillId="0" borderId="0" xfId="1" applyNumberFormat="1" applyFont="1" applyAlignment="1" applyProtection="1">
      <alignment vertical="top"/>
    </xf>
    <xf numFmtId="177" fontId="37" fillId="0" borderId="0" xfId="1" applyNumberFormat="1" applyFont="1" applyAlignment="1" applyProtection="1">
      <alignment vertical="top"/>
    </xf>
    <xf numFmtId="177" fontId="37" fillId="0" borderId="0" xfId="1" applyNumberFormat="1" applyFont="1" applyAlignment="1">
      <alignment vertical="top"/>
      <protection locked="0"/>
    </xf>
    <xf numFmtId="184" fontId="2" fillId="0" borderId="0" xfId="1" applyNumberFormat="1" applyAlignment="1">
      <alignment vertical="top"/>
      <protection locked="0"/>
    </xf>
    <xf numFmtId="183" fontId="2" fillId="0" borderId="0" xfId="1" applyNumberFormat="1" applyAlignment="1">
      <alignment vertical="top"/>
      <protection locked="0"/>
    </xf>
    <xf numFmtId="0" fontId="26" fillId="0" borderId="0" xfId="7" applyFont="1"/>
    <xf numFmtId="0" fontId="26" fillId="0" borderId="0" xfId="7" applyFont="1" applyAlignment="1">
      <alignment horizontal="center"/>
    </xf>
    <xf numFmtId="10" fontId="38" fillId="0" borderId="0" xfId="7" applyNumberFormat="1" applyFont="1" applyAlignment="1">
      <alignment horizontal="center" vertical="center"/>
    </xf>
    <xf numFmtId="10" fontId="28" fillId="0" borderId="0" xfId="7" applyNumberFormat="1" applyFont="1" applyAlignment="1">
      <alignment horizontal="center" vertical="center"/>
    </xf>
    <xf numFmtId="10" fontId="4" fillId="0" borderId="0" xfId="7" applyNumberFormat="1" applyAlignment="1">
      <alignment horizontal="center" vertical="center"/>
    </xf>
    <xf numFmtId="9" fontId="0" fillId="0" borderId="0" xfId="8" applyFont="1" applyAlignment="1">
      <alignment horizontal="center" vertical="center"/>
    </xf>
    <xf numFmtId="0" fontId="39" fillId="0" borderId="0" xfId="1" applyFont="1" applyAlignment="1">
      <alignment horizontal="center" vertical="center"/>
      <protection locked="0"/>
    </xf>
    <xf numFmtId="177" fontId="39" fillId="0" borderId="0" xfId="1" applyNumberFormat="1" applyFont="1" applyAlignment="1" applyProtection="1">
      <alignment vertical="top" wrapText="1"/>
    </xf>
    <xf numFmtId="177" fontId="39" fillId="0" borderId="0" xfId="1" applyNumberFormat="1" applyFont="1" applyAlignment="1" applyProtection="1">
      <alignment vertical="top"/>
    </xf>
    <xf numFmtId="0" fontId="26" fillId="0" borderId="0" xfId="7" applyFont="1" applyAlignment="1">
      <alignment horizontal="left"/>
    </xf>
    <xf numFmtId="0" fontId="4" fillId="0" borderId="0" xfId="7" applyAlignment="1">
      <alignment horizontal="left"/>
    </xf>
    <xf numFmtId="0" fontId="40" fillId="0" borderId="0" xfId="7" applyFont="1" applyAlignment="1">
      <alignment horizontal="left" vertical="top"/>
    </xf>
    <xf numFmtId="0" fontId="41" fillId="0" borderId="0" xfId="7" applyFont="1" applyAlignment="1">
      <alignment horizontal="left" vertical="center"/>
    </xf>
    <xf numFmtId="0" fontId="26" fillId="0" borderId="0" xfId="7" applyFont="1" applyAlignment="1">
      <alignment horizontal="left" vertical="center"/>
    </xf>
    <xf numFmtId="0" fontId="26" fillId="0" borderId="1" xfId="7" applyFont="1" applyBorder="1" applyAlignment="1">
      <alignment horizontal="center" vertical="center" wrapText="1"/>
    </xf>
    <xf numFmtId="181" fontId="0" fillId="0" borderId="0" xfId="8" applyNumberFormat="1" applyFont="1" applyAlignment="1"/>
    <xf numFmtId="185" fontId="4" fillId="0" borderId="0" xfId="7" applyNumberFormat="1" applyAlignment="1">
      <alignment horizontal="center" vertical="center"/>
    </xf>
    <xf numFmtId="0" fontId="0" fillId="0" borderId="0" xfId="1" applyFont="1" applyAlignment="1">
      <alignment horizontal="center" vertical="top"/>
      <protection locked="0"/>
    </xf>
    <xf numFmtId="177" fontId="0" fillId="0" borderId="0" xfId="1" applyNumberFormat="1" applyFont="1" applyAlignment="1">
      <alignment vertical="top"/>
      <protection locked="0"/>
    </xf>
    <xf numFmtId="0" fontId="9" fillId="0" borderId="0" xfId="1" applyFont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 wrapText="1"/>
    </xf>
    <xf numFmtId="0" fontId="26" fillId="0" borderId="1" xfId="7" applyFont="1" applyBorder="1" applyAlignment="1">
      <alignment horizontal="left" wrapText="1"/>
    </xf>
    <xf numFmtId="185" fontId="0" fillId="0" borderId="0" xfId="1" applyNumberFormat="1" applyFont="1" applyAlignment="1">
      <alignment horizontal="center" vertical="center"/>
      <protection locked="0"/>
    </xf>
    <xf numFmtId="181" fontId="0" fillId="0" borderId="0" xfId="1" applyNumberFormat="1" applyFont="1" applyAlignment="1">
      <alignment horizontal="center" vertical="center"/>
      <protection locked="0"/>
    </xf>
    <xf numFmtId="181" fontId="0" fillId="0" borderId="2" xfId="1" applyNumberFormat="1" applyFont="1" applyBorder="1" applyAlignment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</xf>
    <xf numFmtId="181" fontId="0" fillId="0" borderId="2" xfId="1" applyNumberFormat="1" applyFont="1" applyBorder="1" applyAlignment="1" applyProtection="1">
      <alignment horizontal="center" vertical="center"/>
    </xf>
    <xf numFmtId="181" fontId="0" fillId="0" borderId="1" xfId="1" applyNumberFormat="1" applyFont="1" applyBorder="1" applyAlignment="1" applyProtection="1">
      <alignment horizontal="center" vertical="center"/>
    </xf>
    <xf numFmtId="181" fontId="9" fillId="0" borderId="2" xfId="1" applyNumberFormat="1" applyFont="1" applyBorder="1" applyAlignment="1">
      <alignment horizontal="center" vertical="center"/>
      <protection locked="0"/>
    </xf>
    <xf numFmtId="0" fontId="9" fillId="0" borderId="0" xfId="1" applyFont="1" applyAlignment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  <protection locked="0"/>
    </xf>
    <xf numFmtId="181" fontId="9" fillId="0" borderId="1" xfId="1" applyNumberFormat="1" applyFont="1" applyBorder="1" applyAlignment="1" applyProtection="1">
      <alignment horizontal="center" vertical="center"/>
    </xf>
    <xf numFmtId="0" fontId="9" fillId="0" borderId="0" xfId="1" applyFont="1" applyAlignment="1" applyProtection="1">
      <alignment horizontal="center" vertical="top"/>
    </xf>
    <xf numFmtId="177" fontId="9" fillId="0" borderId="0" xfId="1" applyNumberFormat="1" applyFont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top"/>
    </xf>
    <xf numFmtId="177" fontId="9" fillId="0" borderId="0" xfId="1" applyNumberFormat="1" applyFont="1" applyAlignment="1" applyProtection="1">
      <alignment vertical="top"/>
    </xf>
    <xf numFmtId="177" fontId="42" fillId="0" borderId="0" xfId="1" applyNumberFormat="1" applyFont="1" applyAlignment="1" applyProtection="1">
      <alignment vertical="top"/>
    </xf>
    <xf numFmtId="177" fontId="9" fillId="2" borderId="0" xfId="1" applyNumberFormat="1" applyFont="1" applyFill="1" applyAlignment="1" applyProtection="1">
      <alignment vertical="top"/>
    </xf>
    <xf numFmtId="177" fontId="43" fillId="0" borderId="0" xfId="1" applyNumberFormat="1" applyFont="1" applyAlignment="1" applyProtection="1">
      <alignment vertical="top"/>
    </xf>
    <xf numFmtId="0" fontId="4" fillId="0" borderId="0" xfId="1" applyFont="1" applyAlignment="1">
      <alignment horizontal="center" vertical="center"/>
      <protection locked="0"/>
    </xf>
    <xf numFmtId="177" fontId="4" fillId="0" borderId="0" xfId="1" applyNumberFormat="1" applyFont="1" applyAlignment="1">
      <alignment horizontal="center" vertical="center"/>
      <protection locked="0"/>
    </xf>
    <xf numFmtId="177" fontId="43" fillId="0" borderId="0" xfId="1" applyNumberFormat="1" applyFont="1" applyAlignment="1">
      <alignment vertical="top"/>
      <protection locked="0"/>
    </xf>
    <xf numFmtId="184" fontId="0" fillId="0" borderId="0" xfId="1" applyNumberFormat="1" applyFont="1" applyAlignment="1">
      <alignment vertical="top"/>
      <protection locked="0"/>
    </xf>
    <xf numFmtId="183" fontId="0" fillId="0" borderId="0" xfId="1" applyNumberFormat="1" applyFont="1" applyAlignment="1">
      <alignment vertical="top"/>
      <protection locked="0"/>
    </xf>
    <xf numFmtId="0" fontId="20" fillId="0" borderId="0" xfId="5" applyAlignment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19" fillId="0" borderId="0" xfId="4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177" fontId="5" fillId="0" borderId="0" xfId="1" applyNumberFormat="1" applyFont="1" applyAlignment="1" applyProtection="1">
      <alignment horizontal="center" vertical="top"/>
    </xf>
    <xf numFmtId="0" fontId="4" fillId="0" borderId="0" xfId="7" applyAlignment="1">
      <alignment horizontal="center" vertical="center"/>
    </xf>
    <xf numFmtId="177" fontId="6" fillId="3" borderId="0" xfId="1" applyNumberFormat="1" applyFont="1" applyFill="1" applyAlignment="1" applyProtection="1">
      <alignment horizontal="center" vertical="center"/>
    </xf>
    <xf numFmtId="177" fontId="6" fillId="0" borderId="0" xfId="1" applyNumberFormat="1" applyFont="1" applyAlignment="1" applyProtection="1">
      <alignment horizontal="center" vertical="center"/>
    </xf>
    <xf numFmtId="0" fontId="4" fillId="0" borderId="0" xfId="7" applyAlignment="1">
      <alignment horizontal="center"/>
    </xf>
    <xf numFmtId="0" fontId="26" fillId="0" borderId="0" xfId="7" applyFont="1" applyAlignment="1">
      <alignment horizontal="center"/>
    </xf>
    <xf numFmtId="10" fontId="38" fillId="0" borderId="0" xfId="7" applyNumberFormat="1" applyFont="1" applyAlignment="1">
      <alignment horizontal="center" vertical="center"/>
    </xf>
    <xf numFmtId="0" fontId="40" fillId="0" borderId="0" xfId="7" applyFont="1" applyAlignment="1">
      <alignment horizontal="center" vertical="center"/>
    </xf>
    <xf numFmtId="177" fontId="9" fillId="0" borderId="0" xfId="1" applyNumberFormat="1" applyFont="1" applyAlignment="1" applyProtection="1">
      <alignment horizontal="center" vertical="top"/>
    </xf>
    <xf numFmtId="177" fontId="42" fillId="3" borderId="0" xfId="1" applyNumberFormat="1" applyFont="1" applyFill="1" applyAlignment="1" applyProtection="1">
      <alignment horizontal="center" vertical="center"/>
    </xf>
    <xf numFmtId="177" fontId="42" fillId="4" borderId="0" xfId="1" applyNumberFormat="1" applyFont="1" applyFill="1" applyAlignment="1" applyProtection="1">
      <alignment horizontal="center" vertical="center"/>
    </xf>
    <xf numFmtId="177" fontId="42" fillId="0" borderId="0" xfId="1" applyNumberFormat="1" applyFont="1" applyAlignment="1" applyProtection="1">
      <alignment horizontal="center" vertical="center"/>
    </xf>
  </cellXfs>
  <cellStyles count="9">
    <cellStyle name="百分比 2" xfId="6" xr:uid="{388D2E8A-35A5-4C11-AB6E-67F3C816898E}"/>
    <cellStyle name="百分比 3" xfId="8" xr:uid="{E03684A5-1B10-4C6A-9746-0B04025209BB}"/>
    <cellStyle name="常规" xfId="0" builtinId="0"/>
    <cellStyle name="常规 2" xfId="1" xr:uid="{3BAEE043-BED0-4DDE-A580-2C2DAB52F219}"/>
    <cellStyle name="常规 3" xfId="2" xr:uid="{AFF79ED6-E3BE-4983-A93C-EAE86AEF1CF5}"/>
    <cellStyle name="常规 4" xfId="3" xr:uid="{3F16CEBE-7FD9-4D99-B3D2-D1CA530DCA9F}"/>
    <cellStyle name="常规 5" xfId="4" xr:uid="{63B82F81-D7AC-4FF7-9EF0-F184068B7BEB}"/>
    <cellStyle name="常规 6" xfId="5" xr:uid="{6D283746-A856-4BE4-8A0F-0E6728C4120F}"/>
    <cellStyle name="常规 7" xfId="7" xr:uid="{790A5F64-E0E2-4044-9DBA-D4316616D8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'Fig 1-F,G'!$P$2</c:f>
              <c:strCache>
                <c:ptCount val="1"/>
                <c:pt idx="0">
                  <c:v>Clppfl/fl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Pt>
            <c:idx val="20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C90F-4521-A229-A3A2D98E2A4F}"/>
              </c:ext>
            </c:extLst>
          </c:dPt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'Fig 1-F,G'!$R$3:$R$271</c:f>
                <c:numCache>
                  <c:formatCode>General</c:formatCode>
                  <c:ptCount val="269"/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  <c:pt idx="41">
                    <c:v>1</c:v>
                  </c:pt>
                  <c:pt idx="42">
                    <c:v>1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  <c:pt idx="48">
                    <c:v>1</c:v>
                  </c:pt>
                  <c:pt idx="49">
                    <c:v>1</c:v>
                  </c:pt>
                  <c:pt idx="50">
                    <c:v>1</c:v>
                  </c:pt>
                  <c:pt idx="51">
                    <c:v>1</c:v>
                  </c:pt>
                  <c:pt idx="52">
                    <c:v>1</c:v>
                  </c:pt>
                  <c:pt idx="53">
                    <c:v>1</c:v>
                  </c:pt>
                  <c:pt idx="54">
                    <c:v>1</c:v>
                  </c:pt>
                  <c:pt idx="55">
                    <c:v>1</c:v>
                  </c:pt>
                  <c:pt idx="56">
                    <c:v>1</c:v>
                  </c:pt>
                  <c:pt idx="57">
                    <c:v>1</c:v>
                  </c:pt>
                  <c:pt idx="58">
                    <c:v>1</c:v>
                  </c:pt>
                  <c:pt idx="59">
                    <c:v>1</c:v>
                  </c:pt>
                  <c:pt idx="60">
                    <c:v>1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65">
                    <c:v>1</c:v>
                  </c:pt>
                  <c:pt idx="66">
                    <c:v>1</c:v>
                  </c:pt>
                  <c:pt idx="67">
                    <c:v>1</c:v>
                  </c:pt>
                  <c:pt idx="68">
                    <c:v>1</c:v>
                  </c:pt>
                  <c:pt idx="69">
                    <c:v>1</c:v>
                  </c:pt>
                  <c:pt idx="70">
                    <c:v>1</c:v>
                  </c:pt>
                  <c:pt idx="71">
                    <c:v>1</c:v>
                  </c:pt>
                  <c:pt idx="72">
                    <c:v>1</c:v>
                  </c:pt>
                  <c:pt idx="73">
                    <c:v>1</c:v>
                  </c:pt>
                  <c:pt idx="74">
                    <c:v>1</c:v>
                  </c:pt>
                  <c:pt idx="75">
                    <c:v>1</c:v>
                  </c:pt>
                  <c:pt idx="76">
                    <c:v>1</c:v>
                  </c:pt>
                  <c:pt idx="77">
                    <c:v>1</c:v>
                  </c:pt>
                  <c:pt idx="78">
                    <c:v>1</c:v>
                  </c:pt>
                  <c:pt idx="79">
                    <c:v>1</c:v>
                  </c:pt>
                  <c:pt idx="80">
                    <c:v>1</c:v>
                  </c:pt>
                  <c:pt idx="81">
                    <c:v>1</c:v>
                  </c:pt>
                  <c:pt idx="82">
                    <c:v>1</c:v>
                  </c:pt>
                  <c:pt idx="83">
                    <c:v>1</c:v>
                  </c:pt>
                  <c:pt idx="84">
                    <c:v>1</c:v>
                  </c:pt>
                  <c:pt idx="85">
                    <c:v>1</c:v>
                  </c:pt>
                  <c:pt idx="86">
                    <c:v>1</c:v>
                  </c:pt>
                  <c:pt idx="87">
                    <c:v>1</c:v>
                  </c:pt>
                  <c:pt idx="88">
                    <c:v>1</c:v>
                  </c:pt>
                  <c:pt idx="89">
                    <c:v>1</c:v>
                  </c:pt>
                  <c:pt idx="90">
                    <c:v>1</c:v>
                  </c:pt>
                  <c:pt idx="91">
                    <c:v>1</c:v>
                  </c:pt>
                  <c:pt idx="92">
                    <c:v>1</c:v>
                  </c:pt>
                  <c:pt idx="93">
                    <c:v>1</c:v>
                  </c:pt>
                  <c:pt idx="94">
                    <c:v>1</c:v>
                  </c:pt>
                  <c:pt idx="95">
                    <c:v>1</c:v>
                  </c:pt>
                  <c:pt idx="96">
                    <c:v>1</c:v>
                  </c:pt>
                  <c:pt idx="97">
                    <c:v>1</c:v>
                  </c:pt>
                  <c:pt idx="98">
                    <c:v>1</c:v>
                  </c:pt>
                  <c:pt idx="99">
                    <c:v>1</c:v>
                  </c:pt>
                  <c:pt idx="100">
                    <c:v>1</c:v>
                  </c:pt>
                  <c:pt idx="101">
                    <c:v>1</c:v>
                  </c:pt>
                  <c:pt idx="102">
                    <c:v>1</c:v>
                  </c:pt>
                  <c:pt idx="103">
                    <c:v>1</c:v>
                  </c:pt>
                  <c:pt idx="104">
                    <c:v>1</c:v>
                  </c:pt>
                  <c:pt idx="105">
                    <c:v>1</c:v>
                  </c:pt>
                  <c:pt idx="106">
                    <c:v>1</c:v>
                  </c:pt>
                  <c:pt idx="107">
                    <c:v>1</c:v>
                  </c:pt>
                  <c:pt idx="108">
                    <c:v>1</c:v>
                  </c:pt>
                  <c:pt idx="109">
                    <c:v>1</c:v>
                  </c:pt>
                  <c:pt idx="110">
                    <c:v>1</c:v>
                  </c:pt>
                  <c:pt idx="111">
                    <c:v>1</c:v>
                  </c:pt>
                  <c:pt idx="112">
                    <c:v>1</c:v>
                  </c:pt>
                  <c:pt idx="113">
                    <c:v>1</c:v>
                  </c:pt>
                  <c:pt idx="114">
                    <c:v>1</c:v>
                  </c:pt>
                  <c:pt idx="115">
                    <c:v>1</c:v>
                  </c:pt>
                  <c:pt idx="116">
                    <c:v>1</c:v>
                  </c:pt>
                  <c:pt idx="117">
                    <c:v>1</c:v>
                  </c:pt>
                  <c:pt idx="118">
                    <c:v>1</c:v>
                  </c:pt>
                  <c:pt idx="119">
                    <c:v>1</c:v>
                  </c:pt>
                  <c:pt idx="120">
                    <c:v>1</c:v>
                  </c:pt>
                  <c:pt idx="121">
                    <c:v>1</c:v>
                  </c:pt>
                  <c:pt idx="122">
                    <c:v>1</c:v>
                  </c:pt>
                  <c:pt idx="123">
                    <c:v>1</c:v>
                  </c:pt>
                  <c:pt idx="124">
                    <c:v>1</c:v>
                  </c:pt>
                  <c:pt idx="125">
                    <c:v>1</c:v>
                  </c:pt>
                  <c:pt idx="126">
                    <c:v>1</c:v>
                  </c:pt>
                  <c:pt idx="127">
                    <c:v>1</c:v>
                  </c:pt>
                  <c:pt idx="128">
                    <c:v>1</c:v>
                  </c:pt>
                  <c:pt idx="129">
                    <c:v>1</c:v>
                  </c:pt>
                  <c:pt idx="130">
                    <c:v>1</c:v>
                  </c:pt>
                  <c:pt idx="131">
                    <c:v>1</c:v>
                  </c:pt>
                  <c:pt idx="132">
                    <c:v>1</c:v>
                  </c:pt>
                  <c:pt idx="133">
                    <c:v>1</c:v>
                  </c:pt>
                  <c:pt idx="134">
                    <c:v>1</c:v>
                  </c:pt>
                  <c:pt idx="135">
                    <c:v>1</c:v>
                  </c:pt>
                  <c:pt idx="136">
                    <c:v>1</c:v>
                  </c:pt>
                  <c:pt idx="137">
                    <c:v>1</c:v>
                  </c:pt>
                  <c:pt idx="138">
                    <c:v>1</c:v>
                  </c:pt>
                  <c:pt idx="139">
                    <c:v>1</c:v>
                  </c:pt>
                  <c:pt idx="140">
                    <c:v>1</c:v>
                  </c:pt>
                  <c:pt idx="141">
                    <c:v>1</c:v>
                  </c:pt>
                  <c:pt idx="142">
                    <c:v>1</c:v>
                  </c:pt>
                  <c:pt idx="143">
                    <c:v>1</c:v>
                  </c:pt>
                  <c:pt idx="144">
                    <c:v>1</c:v>
                  </c:pt>
                  <c:pt idx="145">
                    <c:v>1</c:v>
                  </c:pt>
                  <c:pt idx="146">
                    <c:v>1</c:v>
                  </c:pt>
                  <c:pt idx="147">
                    <c:v>1</c:v>
                  </c:pt>
                  <c:pt idx="148">
                    <c:v>1</c:v>
                  </c:pt>
                  <c:pt idx="149">
                    <c:v>1</c:v>
                  </c:pt>
                  <c:pt idx="150">
                    <c:v>1</c:v>
                  </c:pt>
                  <c:pt idx="151">
                    <c:v>1</c:v>
                  </c:pt>
                  <c:pt idx="152">
                    <c:v>1</c:v>
                  </c:pt>
                  <c:pt idx="153">
                    <c:v>1</c:v>
                  </c:pt>
                  <c:pt idx="154">
                    <c:v>1</c:v>
                  </c:pt>
                  <c:pt idx="155">
                    <c:v>1</c:v>
                  </c:pt>
                  <c:pt idx="156">
                    <c:v>1</c:v>
                  </c:pt>
                  <c:pt idx="157">
                    <c:v>1</c:v>
                  </c:pt>
                  <c:pt idx="158">
                    <c:v>1</c:v>
                  </c:pt>
                  <c:pt idx="159">
                    <c:v>1</c:v>
                  </c:pt>
                  <c:pt idx="160">
                    <c:v>1</c:v>
                  </c:pt>
                  <c:pt idx="161">
                    <c:v>1</c:v>
                  </c:pt>
                  <c:pt idx="162">
                    <c:v>1</c:v>
                  </c:pt>
                  <c:pt idx="163">
                    <c:v>1</c:v>
                  </c:pt>
                  <c:pt idx="164">
                    <c:v>1</c:v>
                  </c:pt>
                  <c:pt idx="165">
                    <c:v>1</c:v>
                  </c:pt>
                  <c:pt idx="166">
                    <c:v>1</c:v>
                  </c:pt>
                  <c:pt idx="167">
                    <c:v>1</c:v>
                  </c:pt>
                  <c:pt idx="168">
                    <c:v>1</c:v>
                  </c:pt>
                  <c:pt idx="169">
                    <c:v>1</c:v>
                  </c:pt>
                  <c:pt idx="170">
                    <c:v>1</c:v>
                  </c:pt>
                  <c:pt idx="171">
                    <c:v>1</c:v>
                  </c:pt>
                  <c:pt idx="172">
                    <c:v>1</c:v>
                  </c:pt>
                  <c:pt idx="173">
                    <c:v>1</c:v>
                  </c:pt>
                  <c:pt idx="174">
                    <c:v>1</c:v>
                  </c:pt>
                  <c:pt idx="175">
                    <c:v>1</c:v>
                  </c:pt>
                  <c:pt idx="176">
                    <c:v>1</c:v>
                  </c:pt>
                  <c:pt idx="177">
                    <c:v>1</c:v>
                  </c:pt>
                  <c:pt idx="178">
                    <c:v>1</c:v>
                  </c:pt>
                  <c:pt idx="179">
                    <c:v>1</c:v>
                  </c:pt>
                  <c:pt idx="180">
                    <c:v>1</c:v>
                  </c:pt>
                  <c:pt idx="181">
                    <c:v>1</c:v>
                  </c:pt>
                  <c:pt idx="182">
                    <c:v>1</c:v>
                  </c:pt>
                  <c:pt idx="183">
                    <c:v>1</c:v>
                  </c:pt>
                  <c:pt idx="184">
                    <c:v>1</c:v>
                  </c:pt>
                  <c:pt idx="185">
                    <c:v>1</c:v>
                  </c:pt>
                  <c:pt idx="186">
                    <c:v>1</c:v>
                  </c:pt>
                  <c:pt idx="187">
                    <c:v>1</c:v>
                  </c:pt>
                  <c:pt idx="188">
                    <c:v>1</c:v>
                  </c:pt>
                  <c:pt idx="189">
                    <c:v>1</c:v>
                  </c:pt>
                  <c:pt idx="190">
                    <c:v>1</c:v>
                  </c:pt>
                  <c:pt idx="191">
                    <c:v>1</c:v>
                  </c:pt>
                  <c:pt idx="192">
                    <c:v>1</c:v>
                  </c:pt>
                  <c:pt idx="193">
                    <c:v>1</c:v>
                  </c:pt>
                  <c:pt idx="194">
                    <c:v>1</c:v>
                  </c:pt>
                  <c:pt idx="195">
                    <c:v>1</c:v>
                  </c:pt>
                  <c:pt idx="196">
                    <c:v>1</c:v>
                  </c:pt>
                  <c:pt idx="197">
                    <c:v>1</c:v>
                  </c:pt>
                  <c:pt idx="198">
                    <c:v>1</c:v>
                  </c:pt>
                  <c:pt idx="199">
                    <c:v>1</c:v>
                  </c:pt>
                  <c:pt idx="200">
                    <c:v>1</c:v>
                  </c:pt>
                  <c:pt idx="201">
                    <c:v>1</c:v>
                  </c:pt>
                  <c:pt idx="202">
                    <c:v>1</c:v>
                  </c:pt>
                  <c:pt idx="203">
                    <c:v>1</c:v>
                  </c:pt>
                  <c:pt idx="204">
                    <c:v>1</c:v>
                  </c:pt>
                  <c:pt idx="205">
                    <c:v>1</c:v>
                  </c:pt>
                  <c:pt idx="206">
                    <c:v>1</c:v>
                  </c:pt>
                  <c:pt idx="207">
                    <c:v>1</c:v>
                  </c:pt>
                  <c:pt idx="208">
                    <c:v>1</c:v>
                  </c:pt>
                  <c:pt idx="209">
                    <c:v>1</c:v>
                  </c:pt>
                  <c:pt idx="210">
                    <c:v>1</c:v>
                  </c:pt>
                  <c:pt idx="211">
                    <c:v>1</c:v>
                  </c:pt>
                  <c:pt idx="212">
                    <c:v>1</c:v>
                  </c:pt>
                  <c:pt idx="213">
                    <c:v>1</c:v>
                  </c:pt>
                  <c:pt idx="214">
                    <c:v>1</c:v>
                  </c:pt>
                  <c:pt idx="215">
                    <c:v>1</c:v>
                  </c:pt>
                  <c:pt idx="216">
                    <c:v>1</c:v>
                  </c:pt>
                  <c:pt idx="217">
                    <c:v>1</c:v>
                  </c:pt>
                  <c:pt idx="218">
                    <c:v>1</c:v>
                  </c:pt>
                  <c:pt idx="219">
                    <c:v>1</c:v>
                  </c:pt>
                  <c:pt idx="220">
                    <c:v>1</c:v>
                  </c:pt>
                  <c:pt idx="221">
                    <c:v>1</c:v>
                  </c:pt>
                  <c:pt idx="222">
                    <c:v>1</c:v>
                  </c:pt>
                  <c:pt idx="223">
                    <c:v>1</c:v>
                  </c:pt>
                  <c:pt idx="224">
                    <c:v>1</c:v>
                  </c:pt>
                  <c:pt idx="225">
                    <c:v>1</c:v>
                  </c:pt>
                  <c:pt idx="226">
                    <c:v>1</c:v>
                  </c:pt>
                  <c:pt idx="227">
                    <c:v>1</c:v>
                  </c:pt>
                  <c:pt idx="228">
                    <c:v>1</c:v>
                  </c:pt>
                  <c:pt idx="229">
                    <c:v>1</c:v>
                  </c:pt>
                  <c:pt idx="230">
                    <c:v>1</c:v>
                  </c:pt>
                  <c:pt idx="231">
                    <c:v>1</c:v>
                  </c:pt>
                  <c:pt idx="232">
                    <c:v>1</c:v>
                  </c:pt>
                  <c:pt idx="233">
                    <c:v>1</c:v>
                  </c:pt>
                  <c:pt idx="234">
                    <c:v>1</c:v>
                  </c:pt>
                  <c:pt idx="235">
                    <c:v>1</c:v>
                  </c:pt>
                  <c:pt idx="236">
                    <c:v>1</c:v>
                  </c:pt>
                  <c:pt idx="237">
                    <c:v>1</c:v>
                  </c:pt>
                  <c:pt idx="238">
                    <c:v>1</c:v>
                  </c:pt>
                  <c:pt idx="239">
                    <c:v>1</c:v>
                  </c:pt>
                  <c:pt idx="240">
                    <c:v>1</c:v>
                  </c:pt>
                  <c:pt idx="241">
                    <c:v>1</c:v>
                  </c:pt>
                  <c:pt idx="242">
                    <c:v>1</c:v>
                  </c:pt>
                  <c:pt idx="243">
                    <c:v>1</c:v>
                  </c:pt>
                  <c:pt idx="244">
                    <c:v>1</c:v>
                  </c:pt>
                  <c:pt idx="245">
                    <c:v>1</c:v>
                  </c:pt>
                  <c:pt idx="246">
                    <c:v>1</c:v>
                  </c:pt>
                  <c:pt idx="247">
                    <c:v>1</c:v>
                  </c:pt>
                  <c:pt idx="248">
                    <c:v>1</c:v>
                  </c:pt>
                  <c:pt idx="249">
                    <c:v>1</c:v>
                  </c:pt>
                  <c:pt idx="250">
                    <c:v>1</c:v>
                  </c:pt>
                  <c:pt idx="251">
                    <c:v>1</c:v>
                  </c:pt>
                  <c:pt idx="252">
                    <c:v>1</c:v>
                  </c:pt>
                  <c:pt idx="253">
                    <c:v>1</c:v>
                  </c:pt>
                  <c:pt idx="254">
                    <c:v>1</c:v>
                  </c:pt>
                  <c:pt idx="255">
                    <c:v>1</c:v>
                  </c:pt>
                  <c:pt idx="256">
                    <c:v>1</c:v>
                  </c:pt>
                  <c:pt idx="257">
                    <c:v>1</c:v>
                  </c:pt>
                  <c:pt idx="258">
                    <c:v>1</c:v>
                  </c:pt>
                  <c:pt idx="259">
                    <c:v>1</c:v>
                  </c:pt>
                  <c:pt idx="260">
                    <c:v>1</c:v>
                  </c:pt>
                  <c:pt idx="261">
                    <c:v>1</c:v>
                  </c:pt>
                  <c:pt idx="262">
                    <c:v>1</c:v>
                  </c:pt>
                  <c:pt idx="263">
                    <c:v>1</c:v>
                  </c:pt>
                  <c:pt idx="264">
                    <c:v>1</c:v>
                  </c:pt>
                  <c:pt idx="265">
                    <c:v>1</c:v>
                  </c:pt>
                  <c:pt idx="266">
                    <c:v>1</c:v>
                  </c:pt>
                  <c:pt idx="267">
                    <c:v>1</c:v>
                  </c:pt>
                  <c:pt idx="268">
                    <c:v>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plus"/>
            <c:errValType val="cust"/>
            <c:noEndCap val="1"/>
            <c:plus>
              <c:numRef>
                <c:f>'Fig 1-F,G'!$S$3:$S$271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0.83333333333333337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1.1666666666666665</c:v>
                  </c:pt>
                  <c:pt idx="31">
                    <c:v>0</c:v>
                  </c:pt>
                  <c:pt idx="32">
                    <c:v>0</c:v>
                  </c:pt>
                  <c:pt idx="33">
                    <c:v>1.1666666666666665</c:v>
                  </c:pt>
                  <c:pt idx="34">
                    <c:v>0</c:v>
                  </c:pt>
                  <c:pt idx="35">
                    <c:v>0</c:v>
                  </c:pt>
                  <c:pt idx="36">
                    <c:v>1.5000000000000004</c:v>
                  </c:pt>
                  <c:pt idx="37">
                    <c:v>0</c:v>
                  </c:pt>
                  <c:pt idx="38">
                    <c:v>0</c:v>
                  </c:pt>
                  <c:pt idx="39">
                    <c:v>1.333333333333333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0.5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1.6666666666666661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1.8333333333333339</c:v>
                  </c:pt>
                  <c:pt idx="68">
                    <c:v>1.5</c:v>
                  </c:pt>
                  <c:pt idx="69">
                    <c:v>1.1666666666666661</c:v>
                  </c:pt>
                  <c:pt idx="70">
                    <c:v>0</c:v>
                  </c:pt>
                  <c:pt idx="71">
                    <c:v>1.6666666666666679</c:v>
                  </c:pt>
                  <c:pt idx="72">
                    <c:v>0</c:v>
                  </c:pt>
                  <c:pt idx="73">
                    <c:v>0</c:v>
                  </c:pt>
                  <c:pt idx="74">
                    <c:v>0</c:v>
                  </c:pt>
                  <c:pt idx="75">
                    <c:v>0</c:v>
                  </c:pt>
                  <c:pt idx="76">
                    <c:v>0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2.1666666666666661</c:v>
                  </c:pt>
                  <c:pt idx="86">
                    <c:v>0</c:v>
                  </c:pt>
                  <c:pt idx="87">
                    <c:v>0</c:v>
                  </c:pt>
                  <c:pt idx="88">
                    <c:v>1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1.8333333333333321</c:v>
                  </c:pt>
                  <c:pt idx="98">
                    <c:v>0</c:v>
                  </c:pt>
                  <c:pt idx="99">
                    <c:v>0</c:v>
                  </c:pt>
                  <c:pt idx="100">
                    <c:v>0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2.5</c:v>
                  </c:pt>
                  <c:pt idx="108">
                    <c:v>0</c:v>
                  </c:pt>
                  <c:pt idx="109">
                    <c:v>1.6666666666666679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1.3333333333333321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0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0.5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1.5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1.8333333333333357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0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0</c:v>
                  </c:pt>
                  <c:pt idx="146">
                    <c:v>1.3333333333333321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1.6666666666666679</c:v>
                  </c:pt>
                  <c:pt idx="151">
                    <c:v>0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</c:v>
                  </c:pt>
                  <c:pt idx="156">
                    <c:v>0</c:v>
                  </c:pt>
                  <c:pt idx="157">
                    <c:v>1.3333333333333321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1.1666666666666643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</c:v>
                  </c:pt>
                  <c:pt idx="169">
                    <c:v>0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1</c:v>
                  </c:pt>
                  <c:pt idx="175">
                    <c:v>1.8333333333333357</c:v>
                  </c:pt>
                  <c:pt idx="176">
                    <c:v>1.3333333333333357</c:v>
                  </c:pt>
                  <c:pt idx="177">
                    <c:v>0</c:v>
                  </c:pt>
                  <c:pt idx="178">
                    <c:v>0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0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0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1</c:v>
                  </c:pt>
                  <c:pt idx="194">
                    <c:v>1.1666666666666643</c:v>
                  </c:pt>
                  <c:pt idx="195">
                    <c:v>1.5</c:v>
                  </c:pt>
                  <c:pt idx="196">
                    <c:v>0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0.6666666666666643</c:v>
                  </c:pt>
                  <c:pt idx="204">
                    <c:v>0</c:v>
                  </c:pt>
                  <c:pt idx="205">
                    <c:v>0</c:v>
                  </c:pt>
                  <c:pt idx="206">
                    <c:v>0</c:v>
                  </c:pt>
                  <c:pt idx="207">
                    <c:v>1.3333333333333357</c:v>
                  </c:pt>
                  <c:pt idx="208">
                    <c:v>0</c:v>
                  </c:pt>
                  <c:pt idx="209">
                    <c:v>0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0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0.8333333333333357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0.6666666666666643</c:v>
                  </c:pt>
                  <c:pt idx="225">
                    <c:v>0</c:v>
                  </c:pt>
                  <c:pt idx="226">
                    <c:v>0</c:v>
                  </c:pt>
                  <c:pt idx="227">
                    <c:v>0</c:v>
                  </c:pt>
                  <c:pt idx="228">
                    <c:v>0</c:v>
                  </c:pt>
                  <c:pt idx="229">
                    <c:v>0</c:v>
                  </c:pt>
                  <c:pt idx="230">
                    <c:v>0</c:v>
                  </c:pt>
                  <c:pt idx="231">
                    <c:v>0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1">
                    <c:v>1.8333333333333357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0.6666666666666643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</c:v>
                  </c:pt>
                  <c:pt idx="257">
                    <c:v>0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0</c:v>
                  </c:pt>
                  <c:pt idx="262">
                    <c:v>0.6666666666666643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1</c:v>
                  </c:pt>
                  <c:pt idx="268">
                    <c:v>1.1666666666666714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'Fig 1-F,G'!$O$3:$O$272</c:f>
              <c:strCache>
                <c:ptCount val="27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  <c:pt idx="28">
                  <c:v>DAY 29</c:v>
                </c:pt>
                <c:pt idx="29">
                  <c:v>DAY 30</c:v>
                </c:pt>
                <c:pt idx="30">
                  <c:v>DAY 31</c:v>
                </c:pt>
                <c:pt idx="31">
                  <c:v>DAY 32</c:v>
                </c:pt>
                <c:pt idx="32">
                  <c:v>DAY 33</c:v>
                </c:pt>
                <c:pt idx="33">
                  <c:v>DAY 34</c:v>
                </c:pt>
                <c:pt idx="34">
                  <c:v>DAY 35</c:v>
                </c:pt>
                <c:pt idx="35">
                  <c:v>DAY 36</c:v>
                </c:pt>
                <c:pt idx="36">
                  <c:v>DAY 37</c:v>
                </c:pt>
                <c:pt idx="37">
                  <c:v>DAY 38</c:v>
                </c:pt>
                <c:pt idx="38">
                  <c:v>DAY 39</c:v>
                </c:pt>
                <c:pt idx="39">
                  <c:v>DAY 40</c:v>
                </c:pt>
                <c:pt idx="40">
                  <c:v>DAY 41</c:v>
                </c:pt>
                <c:pt idx="41">
                  <c:v>DAY 42</c:v>
                </c:pt>
                <c:pt idx="42">
                  <c:v>DAY 43</c:v>
                </c:pt>
                <c:pt idx="43">
                  <c:v>DAY 44</c:v>
                </c:pt>
                <c:pt idx="44">
                  <c:v>DAY 45</c:v>
                </c:pt>
                <c:pt idx="45">
                  <c:v>DAY 46</c:v>
                </c:pt>
                <c:pt idx="46">
                  <c:v>DAY 47</c:v>
                </c:pt>
                <c:pt idx="47">
                  <c:v>DAY 48</c:v>
                </c:pt>
                <c:pt idx="48">
                  <c:v>DAY 49</c:v>
                </c:pt>
                <c:pt idx="49">
                  <c:v>DAY 50</c:v>
                </c:pt>
                <c:pt idx="50">
                  <c:v>DAY 51</c:v>
                </c:pt>
                <c:pt idx="51">
                  <c:v>DAY 52</c:v>
                </c:pt>
                <c:pt idx="52">
                  <c:v>DAY 53</c:v>
                </c:pt>
                <c:pt idx="53">
                  <c:v>DAY 54</c:v>
                </c:pt>
                <c:pt idx="54">
                  <c:v>DAY 55</c:v>
                </c:pt>
                <c:pt idx="55">
                  <c:v>DAY 56</c:v>
                </c:pt>
                <c:pt idx="56">
                  <c:v>DAY 57</c:v>
                </c:pt>
                <c:pt idx="57">
                  <c:v>DAY 58</c:v>
                </c:pt>
                <c:pt idx="58">
                  <c:v>DAY 59</c:v>
                </c:pt>
                <c:pt idx="59">
                  <c:v>DAY 60</c:v>
                </c:pt>
                <c:pt idx="60">
                  <c:v>DAY 61</c:v>
                </c:pt>
                <c:pt idx="61">
                  <c:v>DAY 62</c:v>
                </c:pt>
                <c:pt idx="62">
                  <c:v>DAY 63</c:v>
                </c:pt>
                <c:pt idx="63">
                  <c:v>DAY 64</c:v>
                </c:pt>
                <c:pt idx="64">
                  <c:v>DAY 65</c:v>
                </c:pt>
                <c:pt idx="65">
                  <c:v>DAY 66</c:v>
                </c:pt>
                <c:pt idx="66">
                  <c:v>DAY 67</c:v>
                </c:pt>
                <c:pt idx="67">
                  <c:v>DAY 68</c:v>
                </c:pt>
                <c:pt idx="68">
                  <c:v>DAY 69</c:v>
                </c:pt>
                <c:pt idx="69">
                  <c:v>DAY 70</c:v>
                </c:pt>
                <c:pt idx="70">
                  <c:v>DAY 71</c:v>
                </c:pt>
                <c:pt idx="71">
                  <c:v>DAY 72</c:v>
                </c:pt>
                <c:pt idx="72">
                  <c:v>DAY 73</c:v>
                </c:pt>
                <c:pt idx="73">
                  <c:v>DAY 74</c:v>
                </c:pt>
                <c:pt idx="74">
                  <c:v>DAY 75</c:v>
                </c:pt>
                <c:pt idx="75">
                  <c:v>DAY 76</c:v>
                </c:pt>
                <c:pt idx="76">
                  <c:v>DAY 77</c:v>
                </c:pt>
                <c:pt idx="77">
                  <c:v>DAY 78</c:v>
                </c:pt>
                <c:pt idx="78">
                  <c:v>DAY 79</c:v>
                </c:pt>
                <c:pt idx="79">
                  <c:v>DAY 80</c:v>
                </c:pt>
                <c:pt idx="80">
                  <c:v>DAY 81</c:v>
                </c:pt>
                <c:pt idx="81">
                  <c:v>DAY 82</c:v>
                </c:pt>
                <c:pt idx="82">
                  <c:v>DAY 83</c:v>
                </c:pt>
                <c:pt idx="83">
                  <c:v>DAY 84</c:v>
                </c:pt>
                <c:pt idx="84">
                  <c:v>DAY 85</c:v>
                </c:pt>
                <c:pt idx="85">
                  <c:v>DAY 86</c:v>
                </c:pt>
                <c:pt idx="86">
                  <c:v>DAY 87</c:v>
                </c:pt>
                <c:pt idx="87">
                  <c:v>DAY 88</c:v>
                </c:pt>
                <c:pt idx="88">
                  <c:v>DAY 89</c:v>
                </c:pt>
                <c:pt idx="89">
                  <c:v>DAY 90</c:v>
                </c:pt>
                <c:pt idx="90">
                  <c:v>DAY 91</c:v>
                </c:pt>
                <c:pt idx="91">
                  <c:v>DAY 92</c:v>
                </c:pt>
                <c:pt idx="92">
                  <c:v>DAY 93</c:v>
                </c:pt>
                <c:pt idx="93">
                  <c:v>DAY 94</c:v>
                </c:pt>
                <c:pt idx="94">
                  <c:v>DAY 95</c:v>
                </c:pt>
                <c:pt idx="95">
                  <c:v>DAY 96</c:v>
                </c:pt>
                <c:pt idx="96">
                  <c:v>DAY 97</c:v>
                </c:pt>
                <c:pt idx="97">
                  <c:v>DAY 98</c:v>
                </c:pt>
                <c:pt idx="98">
                  <c:v>DAY 99</c:v>
                </c:pt>
                <c:pt idx="99">
                  <c:v>DAY 100</c:v>
                </c:pt>
                <c:pt idx="100">
                  <c:v>DAY 101</c:v>
                </c:pt>
                <c:pt idx="101">
                  <c:v>DAY 102</c:v>
                </c:pt>
                <c:pt idx="102">
                  <c:v>DAY 103</c:v>
                </c:pt>
                <c:pt idx="103">
                  <c:v>DAY 104</c:v>
                </c:pt>
                <c:pt idx="104">
                  <c:v>DAY 105</c:v>
                </c:pt>
                <c:pt idx="105">
                  <c:v>DAY 106</c:v>
                </c:pt>
                <c:pt idx="106">
                  <c:v>DAY 107</c:v>
                </c:pt>
                <c:pt idx="107">
                  <c:v>DAY 108</c:v>
                </c:pt>
                <c:pt idx="108">
                  <c:v>DAY 109</c:v>
                </c:pt>
                <c:pt idx="109">
                  <c:v>DAY 110</c:v>
                </c:pt>
                <c:pt idx="110">
                  <c:v>DAY 111</c:v>
                </c:pt>
                <c:pt idx="111">
                  <c:v>DAY 112</c:v>
                </c:pt>
                <c:pt idx="112">
                  <c:v>DAY 113</c:v>
                </c:pt>
                <c:pt idx="113">
                  <c:v>DAY 114</c:v>
                </c:pt>
                <c:pt idx="114">
                  <c:v>DAY 115</c:v>
                </c:pt>
                <c:pt idx="115">
                  <c:v>DAY 116</c:v>
                </c:pt>
                <c:pt idx="116">
                  <c:v>DAY 117</c:v>
                </c:pt>
                <c:pt idx="117">
                  <c:v>DAY 118</c:v>
                </c:pt>
                <c:pt idx="118">
                  <c:v>DAY 119</c:v>
                </c:pt>
                <c:pt idx="119">
                  <c:v>DAY 120</c:v>
                </c:pt>
                <c:pt idx="120">
                  <c:v>DAY 121</c:v>
                </c:pt>
                <c:pt idx="121">
                  <c:v>DAY 122</c:v>
                </c:pt>
                <c:pt idx="122">
                  <c:v>DAY 123</c:v>
                </c:pt>
                <c:pt idx="123">
                  <c:v>DAY 124</c:v>
                </c:pt>
                <c:pt idx="124">
                  <c:v>DAY 125</c:v>
                </c:pt>
                <c:pt idx="125">
                  <c:v>DAY 126</c:v>
                </c:pt>
                <c:pt idx="126">
                  <c:v>DAY 127</c:v>
                </c:pt>
                <c:pt idx="127">
                  <c:v>DAY 128</c:v>
                </c:pt>
                <c:pt idx="128">
                  <c:v>DAY 129</c:v>
                </c:pt>
                <c:pt idx="129">
                  <c:v>DAY 130</c:v>
                </c:pt>
                <c:pt idx="130">
                  <c:v>DAY 131</c:v>
                </c:pt>
                <c:pt idx="131">
                  <c:v>DAY 132</c:v>
                </c:pt>
                <c:pt idx="132">
                  <c:v>DAY 133</c:v>
                </c:pt>
                <c:pt idx="133">
                  <c:v>DAY 134</c:v>
                </c:pt>
                <c:pt idx="134">
                  <c:v>DAY 135</c:v>
                </c:pt>
                <c:pt idx="135">
                  <c:v>DAY 136</c:v>
                </c:pt>
                <c:pt idx="136">
                  <c:v>DAY 137</c:v>
                </c:pt>
                <c:pt idx="137">
                  <c:v>DAY 138</c:v>
                </c:pt>
                <c:pt idx="138">
                  <c:v>DAY 139</c:v>
                </c:pt>
                <c:pt idx="139">
                  <c:v>DAY 140</c:v>
                </c:pt>
                <c:pt idx="140">
                  <c:v>DAY 141</c:v>
                </c:pt>
                <c:pt idx="141">
                  <c:v>DAY 142</c:v>
                </c:pt>
                <c:pt idx="142">
                  <c:v>DAY 143</c:v>
                </c:pt>
                <c:pt idx="143">
                  <c:v>DAY 144</c:v>
                </c:pt>
                <c:pt idx="144">
                  <c:v>DAY 145</c:v>
                </c:pt>
                <c:pt idx="145">
                  <c:v>DAY 146</c:v>
                </c:pt>
                <c:pt idx="146">
                  <c:v>DAY 147</c:v>
                </c:pt>
                <c:pt idx="147">
                  <c:v>DAY 148</c:v>
                </c:pt>
                <c:pt idx="148">
                  <c:v>DAY 149</c:v>
                </c:pt>
                <c:pt idx="149">
                  <c:v>DAY 150</c:v>
                </c:pt>
                <c:pt idx="150">
                  <c:v>DAY 151</c:v>
                </c:pt>
                <c:pt idx="151">
                  <c:v>DAY 152</c:v>
                </c:pt>
                <c:pt idx="152">
                  <c:v>DAY 153</c:v>
                </c:pt>
                <c:pt idx="153">
                  <c:v>DAY 154</c:v>
                </c:pt>
                <c:pt idx="154">
                  <c:v>DAY 155</c:v>
                </c:pt>
                <c:pt idx="155">
                  <c:v>DAY 156</c:v>
                </c:pt>
                <c:pt idx="156">
                  <c:v>DAY 157</c:v>
                </c:pt>
                <c:pt idx="157">
                  <c:v>DAY 158</c:v>
                </c:pt>
                <c:pt idx="158">
                  <c:v>DAY 159</c:v>
                </c:pt>
                <c:pt idx="159">
                  <c:v>DAY 160</c:v>
                </c:pt>
                <c:pt idx="160">
                  <c:v>DAY 161</c:v>
                </c:pt>
                <c:pt idx="161">
                  <c:v>DAY 162</c:v>
                </c:pt>
                <c:pt idx="162">
                  <c:v>DAY 163</c:v>
                </c:pt>
                <c:pt idx="163">
                  <c:v>DAY 164</c:v>
                </c:pt>
                <c:pt idx="164">
                  <c:v>DAY 165</c:v>
                </c:pt>
                <c:pt idx="165">
                  <c:v>DAY 166</c:v>
                </c:pt>
                <c:pt idx="166">
                  <c:v>DAY 167</c:v>
                </c:pt>
                <c:pt idx="167">
                  <c:v>DAY 168</c:v>
                </c:pt>
                <c:pt idx="168">
                  <c:v>DAY 169</c:v>
                </c:pt>
                <c:pt idx="169">
                  <c:v>DAY 170</c:v>
                </c:pt>
                <c:pt idx="170">
                  <c:v>DAY 171</c:v>
                </c:pt>
                <c:pt idx="171">
                  <c:v>DAY 172</c:v>
                </c:pt>
                <c:pt idx="172">
                  <c:v>DAY 173</c:v>
                </c:pt>
                <c:pt idx="173">
                  <c:v>DAY 174</c:v>
                </c:pt>
                <c:pt idx="174">
                  <c:v>DAY 175</c:v>
                </c:pt>
                <c:pt idx="175">
                  <c:v>DAY 176</c:v>
                </c:pt>
                <c:pt idx="176">
                  <c:v>DAY 177</c:v>
                </c:pt>
                <c:pt idx="177">
                  <c:v>DAY 178</c:v>
                </c:pt>
                <c:pt idx="178">
                  <c:v>DAY 179</c:v>
                </c:pt>
                <c:pt idx="179">
                  <c:v>DAY 180</c:v>
                </c:pt>
                <c:pt idx="180">
                  <c:v>DAY 181</c:v>
                </c:pt>
                <c:pt idx="181">
                  <c:v>DAY 182</c:v>
                </c:pt>
                <c:pt idx="182">
                  <c:v>DAY 183</c:v>
                </c:pt>
                <c:pt idx="183">
                  <c:v>DAY 184</c:v>
                </c:pt>
                <c:pt idx="184">
                  <c:v>DAY 185</c:v>
                </c:pt>
                <c:pt idx="185">
                  <c:v>DAY 186</c:v>
                </c:pt>
                <c:pt idx="186">
                  <c:v>DAY 187</c:v>
                </c:pt>
                <c:pt idx="187">
                  <c:v>DAY 188</c:v>
                </c:pt>
                <c:pt idx="188">
                  <c:v>DAY 189</c:v>
                </c:pt>
                <c:pt idx="189">
                  <c:v>DAY 190</c:v>
                </c:pt>
                <c:pt idx="190">
                  <c:v>DAY 191</c:v>
                </c:pt>
                <c:pt idx="191">
                  <c:v>DAY 192</c:v>
                </c:pt>
                <c:pt idx="192">
                  <c:v>DAY 193</c:v>
                </c:pt>
                <c:pt idx="193">
                  <c:v>DAY 194</c:v>
                </c:pt>
                <c:pt idx="194">
                  <c:v>DAY 195</c:v>
                </c:pt>
                <c:pt idx="195">
                  <c:v>DAY 196</c:v>
                </c:pt>
                <c:pt idx="196">
                  <c:v>DAY 197</c:v>
                </c:pt>
                <c:pt idx="197">
                  <c:v>DAY 198</c:v>
                </c:pt>
                <c:pt idx="198">
                  <c:v>DAY 199</c:v>
                </c:pt>
                <c:pt idx="199">
                  <c:v>DAY 200</c:v>
                </c:pt>
                <c:pt idx="200">
                  <c:v>DAY 201</c:v>
                </c:pt>
                <c:pt idx="201">
                  <c:v>DAY 202</c:v>
                </c:pt>
                <c:pt idx="202">
                  <c:v>DAY 203</c:v>
                </c:pt>
                <c:pt idx="203">
                  <c:v>DAY 204</c:v>
                </c:pt>
                <c:pt idx="204">
                  <c:v>DAY 205</c:v>
                </c:pt>
                <c:pt idx="205">
                  <c:v>DAY 206</c:v>
                </c:pt>
                <c:pt idx="206">
                  <c:v>DAY 207</c:v>
                </c:pt>
                <c:pt idx="207">
                  <c:v>DAY 208</c:v>
                </c:pt>
                <c:pt idx="208">
                  <c:v>DAY 209</c:v>
                </c:pt>
                <c:pt idx="209">
                  <c:v>DAY 210</c:v>
                </c:pt>
                <c:pt idx="210">
                  <c:v>DAY 211</c:v>
                </c:pt>
                <c:pt idx="211">
                  <c:v>DAY 212</c:v>
                </c:pt>
                <c:pt idx="212">
                  <c:v>DAY 213</c:v>
                </c:pt>
                <c:pt idx="213">
                  <c:v>DAY 214</c:v>
                </c:pt>
                <c:pt idx="214">
                  <c:v>DAY 215</c:v>
                </c:pt>
                <c:pt idx="215">
                  <c:v>DAY 216</c:v>
                </c:pt>
                <c:pt idx="216">
                  <c:v>DAY 217</c:v>
                </c:pt>
                <c:pt idx="217">
                  <c:v>DAY 218</c:v>
                </c:pt>
                <c:pt idx="218">
                  <c:v>DAY 219</c:v>
                </c:pt>
                <c:pt idx="219">
                  <c:v>DAY 220</c:v>
                </c:pt>
                <c:pt idx="220">
                  <c:v>DAY 221</c:v>
                </c:pt>
                <c:pt idx="221">
                  <c:v>DAY 222</c:v>
                </c:pt>
                <c:pt idx="222">
                  <c:v>DAY 223</c:v>
                </c:pt>
                <c:pt idx="223">
                  <c:v>DAY 224</c:v>
                </c:pt>
                <c:pt idx="224">
                  <c:v>DAY 225</c:v>
                </c:pt>
                <c:pt idx="225">
                  <c:v>DAY 226</c:v>
                </c:pt>
                <c:pt idx="226">
                  <c:v>DAY 227</c:v>
                </c:pt>
                <c:pt idx="227">
                  <c:v>DAY 228</c:v>
                </c:pt>
                <c:pt idx="228">
                  <c:v>DAY 229</c:v>
                </c:pt>
                <c:pt idx="229">
                  <c:v>DAY 230</c:v>
                </c:pt>
                <c:pt idx="230">
                  <c:v>DAY 231</c:v>
                </c:pt>
                <c:pt idx="231">
                  <c:v>DAY 232</c:v>
                </c:pt>
                <c:pt idx="232">
                  <c:v>DAY 233</c:v>
                </c:pt>
                <c:pt idx="233">
                  <c:v>DAY 234</c:v>
                </c:pt>
                <c:pt idx="234">
                  <c:v>DAY 235</c:v>
                </c:pt>
                <c:pt idx="235">
                  <c:v>DAY 236</c:v>
                </c:pt>
                <c:pt idx="236">
                  <c:v>DAY 237</c:v>
                </c:pt>
                <c:pt idx="237">
                  <c:v>DAY 238</c:v>
                </c:pt>
                <c:pt idx="238">
                  <c:v>DAY 239</c:v>
                </c:pt>
                <c:pt idx="239">
                  <c:v>DAY 240</c:v>
                </c:pt>
                <c:pt idx="240">
                  <c:v>DAY 241</c:v>
                </c:pt>
                <c:pt idx="241">
                  <c:v>DAY 242</c:v>
                </c:pt>
                <c:pt idx="242">
                  <c:v>DAY 243</c:v>
                </c:pt>
                <c:pt idx="243">
                  <c:v>DAY 244</c:v>
                </c:pt>
                <c:pt idx="244">
                  <c:v>DAY 245</c:v>
                </c:pt>
                <c:pt idx="245">
                  <c:v>DAY 246</c:v>
                </c:pt>
                <c:pt idx="246">
                  <c:v>DAY 247</c:v>
                </c:pt>
                <c:pt idx="247">
                  <c:v>DAY 248</c:v>
                </c:pt>
                <c:pt idx="248">
                  <c:v>DAY 249</c:v>
                </c:pt>
                <c:pt idx="249">
                  <c:v>DAY 250</c:v>
                </c:pt>
                <c:pt idx="250">
                  <c:v>DAY 251</c:v>
                </c:pt>
                <c:pt idx="251">
                  <c:v>DAY 252</c:v>
                </c:pt>
                <c:pt idx="252">
                  <c:v>DAY 253</c:v>
                </c:pt>
                <c:pt idx="253">
                  <c:v>DAY 254</c:v>
                </c:pt>
                <c:pt idx="254">
                  <c:v>DAY 255</c:v>
                </c:pt>
                <c:pt idx="255">
                  <c:v>DAY 256</c:v>
                </c:pt>
                <c:pt idx="256">
                  <c:v>DAY 257</c:v>
                </c:pt>
                <c:pt idx="257">
                  <c:v>DAY 258</c:v>
                </c:pt>
                <c:pt idx="258">
                  <c:v>DAY 259</c:v>
                </c:pt>
                <c:pt idx="259">
                  <c:v>DAY 260</c:v>
                </c:pt>
                <c:pt idx="260">
                  <c:v>DAY 261</c:v>
                </c:pt>
                <c:pt idx="261">
                  <c:v>DAY 262</c:v>
                </c:pt>
                <c:pt idx="262">
                  <c:v>DAY 263</c:v>
                </c:pt>
                <c:pt idx="263">
                  <c:v>DAY 264</c:v>
                </c:pt>
                <c:pt idx="264">
                  <c:v>DAY 265</c:v>
                </c:pt>
                <c:pt idx="265">
                  <c:v>DAY 266</c:v>
                </c:pt>
                <c:pt idx="266">
                  <c:v>DAY 267</c:v>
                </c:pt>
                <c:pt idx="267">
                  <c:v>DAY 268</c:v>
                </c:pt>
                <c:pt idx="268">
                  <c:v>DAY 269</c:v>
                </c:pt>
                <c:pt idx="269">
                  <c:v>DAY 270</c:v>
                </c:pt>
              </c:strCache>
            </c:strRef>
          </c:xVal>
          <c:yVal>
            <c:numRef>
              <c:f>'Fig 1-F,G'!$P$3:$P$272</c:f>
              <c:numCache>
                <c:formatCode>0.0_);[Red]\(0.0\)</c:formatCode>
                <c:ptCount val="2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0.83333333333333337</c:v>
                </c:pt>
                <c:pt idx="28">
                  <c:v>0.83333333333333337</c:v>
                </c:pt>
                <c:pt idx="29">
                  <c:v>0.83333333333333337</c:v>
                </c:pt>
                <c:pt idx="30">
                  <c:v>0.83333333333333337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3.1666666666666665</c:v>
                </c:pt>
                <c:pt idx="35">
                  <c:v>3.1666666666666665</c:v>
                </c:pt>
                <c:pt idx="36">
                  <c:v>3.1666666666666665</c:v>
                </c:pt>
                <c:pt idx="37">
                  <c:v>4.666666666666667</c:v>
                </c:pt>
                <c:pt idx="38">
                  <c:v>4.666666666666667</c:v>
                </c:pt>
                <c:pt idx="39">
                  <c:v>4.666666666666667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6.5</c:v>
                </c:pt>
                <c:pt idx="57">
                  <c:v>6.5</c:v>
                </c:pt>
                <c:pt idx="58">
                  <c:v>6.5</c:v>
                </c:pt>
                <c:pt idx="59">
                  <c:v>6.5</c:v>
                </c:pt>
                <c:pt idx="60">
                  <c:v>6.5</c:v>
                </c:pt>
                <c:pt idx="61">
                  <c:v>6.5</c:v>
                </c:pt>
                <c:pt idx="62">
                  <c:v>6.5</c:v>
                </c:pt>
                <c:pt idx="63">
                  <c:v>6.5</c:v>
                </c:pt>
                <c:pt idx="64">
                  <c:v>8.1666666666666661</c:v>
                </c:pt>
                <c:pt idx="65">
                  <c:v>8.1666666666666661</c:v>
                </c:pt>
                <c:pt idx="66">
                  <c:v>8.1666666666666661</c:v>
                </c:pt>
                <c:pt idx="67">
                  <c:v>8.1666666666666661</c:v>
                </c:pt>
                <c:pt idx="68">
                  <c:v>10</c:v>
                </c:pt>
                <c:pt idx="69">
                  <c:v>11.5</c:v>
                </c:pt>
                <c:pt idx="70">
                  <c:v>12.666666666666666</c:v>
                </c:pt>
                <c:pt idx="71">
                  <c:v>12.666666666666666</c:v>
                </c:pt>
                <c:pt idx="72">
                  <c:v>14.333333333333334</c:v>
                </c:pt>
                <c:pt idx="73">
                  <c:v>14.333333333333334</c:v>
                </c:pt>
                <c:pt idx="74">
                  <c:v>14.333333333333334</c:v>
                </c:pt>
                <c:pt idx="75">
                  <c:v>14.333333333333334</c:v>
                </c:pt>
                <c:pt idx="76">
                  <c:v>14.333333333333334</c:v>
                </c:pt>
                <c:pt idx="77">
                  <c:v>14.333333333333334</c:v>
                </c:pt>
                <c:pt idx="78">
                  <c:v>14.333333333333334</c:v>
                </c:pt>
                <c:pt idx="79">
                  <c:v>14.333333333333334</c:v>
                </c:pt>
                <c:pt idx="80">
                  <c:v>14.333333333333334</c:v>
                </c:pt>
                <c:pt idx="81">
                  <c:v>14.333333333333334</c:v>
                </c:pt>
                <c:pt idx="82">
                  <c:v>14.333333333333334</c:v>
                </c:pt>
                <c:pt idx="83">
                  <c:v>14.333333333333334</c:v>
                </c:pt>
                <c:pt idx="84">
                  <c:v>14.333333333333334</c:v>
                </c:pt>
                <c:pt idx="85">
                  <c:v>14.333333333333334</c:v>
                </c:pt>
                <c:pt idx="86">
                  <c:v>16.5</c:v>
                </c:pt>
                <c:pt idx="87">
                  <c:v>16.5</c:v>
                </c:pt>
                <c:pt idx="88">
                  <c:v>16.5</c:v>
                </c:pt>
                <c:pt idx="89">
                  <c:v>17.5</c:v>
                </c:pt>
                <c:pt idx="90">
                  <c:v>17.5</c:v>
                </c:pt>
                <c:pt idx="91">
                  <c:v>17.5</c:v>
                </c:pt>
                <c:pt idx="92">
                  <c:v>17.5</c:v>
                </c:pt>
                <c:pt idx="93">
                  <c:v>17.5</c:v>
                </c:pt>
                <c:pt idx="94">
                  <c:v>17.5</c:v>
                </c:pt>
                <c:pt idx="95">
                  <c:v>17.5</c:v>
                </c:pt>
                <c:pt idx="96">
                  <c:v>17.5</c:v>
                </c:pt>
                <c:pt idx="97">
                  <c:v>17.5</c:v>
                </c:pt>
                <c:pt idx="98">
                  <c:v>19.333333333333332</c:v>
                </c:pt>
                <c:pt idx="99">
                  <c:v>19.333333333333332</c:v>
                </c:pt>
                <c:pt idx="100">
                  <c:v>19.333333333333332</c:v>
                </c:pt>
                <c:pt idx="101">
                  <c:v>19.333333333333332</c:v>
                </c:pt>
                <c:pt idx="102">
                  <c:v>19.333333333333332</c:v>
                </c:pt>
                <c:pt idx="103">
                  <c:v>19.333333333333332</c:v>
                </c:pt>
                <c:pt idx="104">
                  <c:v>19.333333333333332</c:v>
                </c:pt>
                <c:pt idx="105">
                  <c:v>19.333333333333332</c:v>
                </c:pt>
                <c:pt idx="106">
                  <c:v>19.333333333333332</c:v>
                </c:pt>
                <c:pt idx="107">
                  <c:v>19.333333333333332</c:v>
                </c:pt>
                <c:pt idx="108">
                  <c:v>21.833333333333332</c:v>
                </c:pt>
                <c:pt idx="109">
                  <c:v>21.833333333333332</c:v>
                </c:pt>
                <c:pt idx="110">
                  <c:v>23.5</c:v>
                </c:pt>
                <c:pt idx="111">
                  <c:v>23.5</c:v>
                </c:pt>
                <c:pt idx="112">
                  <c:v>23.5</c:v>
                </c:pt>
                <c:pt idx="113">
                  <c:v>23.5</c:v>
                </c:pt>
                <c:pt idx="114">
                  <c:v>23.5</c:v>
                </c:pt>
                <c:pt idx="115">
                  <c:v>23.5</c:v>
                </c:pt>
                <c:pt idx="116">
                  <c:v>23.5</c:v>
                </c:pt>
                <c:pt idx="117">
                  <c:v>23.5</c:v>
                </c:pt>
                <c:pt idx="118">
                  <c:v>23.5</c:v>
                </c:pt>
                <c:pt idx="119">
                  <c:v>24.833333333333332</c:v>
                </c:pt>
                <c:pt idx="120">
                  <c:v>24.833333333333332</c:v>
                </c:pt>
                <c:pt idx="121">
                  <c:v>24.833333333333332</c:v>
                </c:pt>
                <c:pt idx="122">
                  <c:v>24.833333333333332</c:v>
                </c:pt>
                <c:pt idx="123">
                  <c:v>24.833333333333332</c:v>
                </c:pt>
                <c:pt idx="124">
                  <c:v>24.833333333333332</c:v>
                </c:pt>
                <c:pt idx="125">
                  <c:v>24.833333333333332</c:v>
                </c:pt>
                <c:pt idx="126">
                  <c:v>24.833333333333332</c:v>
                </c:pt>
                <c:pt idx="127">
                  <c:v>24.833333333333332</c:v>
                </c:pt>
                <c:pt idx="128">
                  <c:v>24.833333333333332</c:v>
                </c:pt>
                <c:pt idx="129">
                  <c:v>24.833333333333332</c:v>
                </c:pt>
                <c:pt idx="130">
                  <c:v>24.833333333333332</c:v>
                </c:pt>
                <c:pt idx="131">
                  <c:v>24.833333333333332</c:v>
                </c:pt>
                <c:pt idx="132">
                  <c:v>25.333333333333332</c:v>
                </c:pt>
                <c:pt idx="133">
                  <c:v>25.333333333333332</c:v>
                </c:pt>
                <c:pt idx="134">
                  <c:v>25.333333333333332</c:v>
                </c:pt>
                <c:pt idx="135">
                  <c:v>26.833333333333332</c:v>
                </c:pt>
                <c:pt idx="136">
                  <c:v>26.833333333333332</c:v>
                </c:pt>
                <c:pt idx="137">
                  <c:v>26.833333333333332</c:v>
                </c:pt>
                <c:pt idx="138">
                  <c:v>26.833333333333332</c:v>
                </c:pt>
                <c:pt idx="139">
                  <c:v>26.833333333333332</c:v>
                </c:pt>
                <c:pt idx="140">
                  <c:v>28.666666666666668</c:v>
                </c:pt>
                <c:pt idx="141">
                  <c:v>28.666666666666668</c:v>
                </c:pt>
                <c:pt idx="142">
                  <c:v>28.666666666666668</c:v>
                </c:pt>
                <c:pt idx="143">
                  <c:v>28.666666666666668</c:v>
                </c:pt>
                <c:pt idx="144">
                  <c:v>28.666666666666668</c:v>
                </c:pt>
                <c:pt idx="145">
                  <c:v>28.666666666666668</c:v>
                </c:pt>
                <c:pt idx="146">
                  <c:v>28.666666666666668</c:v>
                </c:pt>
                <c:pt idx="147">
                  <c:v>30</c:v>
                </c:pt>
                <c:pt idx="148">
                  <c:v>30</c:v>
                </c:pt>
                <c:pt idx="149">
                  <c:v>30</c:v>
                </c:pt>
                <c:pt idx="150">
                  <c:v>30</c:v>
                </c:pt>
                <c:pt idx="151">
                  <c:v>31.666666666666668</c:v>
                </c:pt>
                <c:pt idx="152">
                  <c:v>31.666666666666668</c:v>
                </c:pt>
                <c:pt idx="153">
                  <c:v>31.666666666666668</c:v>
                </c:pt>
                <c:pt idx="154">
                  <c:v>31.666666666666668</c:v>
                </c:pt>
                <c:pt idx="155">
                  <c:v>31.666666666666668</c:v>
                </c:pt>
                <c:pt idx="156">
                  <c:v>31.666666666666668</c:v>
                </c:pt>
                <c:pt idx="157">
                  <c:v>31.666666666666668</c:v>
                </c:pt>
                <c:pt idx="158">
                  <c:v>33</c:v>
                </c:pt>
                <c:pt idx="159">
                  <c:v>33</c:v>
                </c:pt>
                <c:pt idx="160">
                  <c:v>33</c:v>
                </c:pt>
                <c:pt idx="161">
                  <c:v>33</c:v>
                </c:pt>
                <c:pt idx="162">
                  <c:v>33</c:v>
                </c:pt>
                <c:pt idx="163">
                  <c:v>34.166666666666664</c:v>
                </c:pt>
                <c:pt idx="164">
                  <c:v>34.166666666666664</c:v>
                </c:pt>
                <c:pt idx="165">
                  <c:v>34.166666666666664</c:v>
                </c:pt>
                <c:pt idx="166">
                  <c:v>34.166666666666664</c:v>
                </c:pt>
                <c:pt idx="167">
                  <c:v>34.166666666666664</c:v>
                </c:pt>
                <c:pt idx="168">
                  <c:v>34.166666666666664</c:v>
                </c:pt>
                <c:pt idx="169">
                  <c:v>34.166666666666664</c:v>
                </c:pt>
                <c:pt idx="170">
                  <c:v>34.166666666666664</c:v>
                </c:pt>
                <c:pt idx="171">
                  <c:v>34.166666666666664</c:v>
                </c:pt>
                <c:pt idx="172">
                  <c:v>34.166666666666664</c:v>
                </c:pt>
                <c:pt idx="173">
                  <c:v>34.166666666666664</c:v>
                </c:pt>
                <c:pt idx="174">
                  <c:v>34.166666666666664</c:v>
                </c:pt>
                <c:pt idx="175">
                  <c:v>35.166666666666664</c:v>
                </c:pt>
                <c:pt idx="176">
                  <c:v>37</c:v>
                </c:pt>
                <c:pt idx="177">
                  <c:v>38.333333333333336</c:v>
                </c:pt>
                <c:pt idx="178">
                  <c:v>38.333333333333336</c:v>
                </c:pt>
                <c:pt idx="179">
                  <c:v>38.333333333333336</c:v>
                </c:pt>
                <c:pt idx="180">
                  <c:v>38.333333333333336</c:v>
                </c:pt>
                <c:pt idx="181">
                  <c:v>38.333333333333336</c:v>
                </c:pt>
                <c:pt idx="182">
                  <c:v>38.333333333333336</c:v>
                </c:pt>
                <c:pt idx="183">
                  <c:v>38.333333333333336</c:v>
                </c:pt>
                <c:pt idx="184">
                  <c:v>38.333333333333336</c:v>
                </c:pt>
                <c:pt idx="185">
                  <c:v>38.333333333333336</c:v>
                </c:pt>
                <c:pt idx="186">
                  <c:v>38.333333333333336</c:v>
                </c:pt>
                <c:pt idx="187">
                  <c:v>38.333333333333336</c:v>
                </c:pt>
                <c:pt idx="188">
                  <c:v>38.333333333333336</c:v>
                </c:pt>
                <c:pt idx="189">
                  <c:v>38.333333333333336</c:v>
                </c:pt>
                <c:pt idx="190">
                  <c:v>38.333333333333336</c:v>
                </c:pt>
                <c:pt idx="191">
                  <c:v>38.333333333333336</c:v>
                </c:pt>
                <c:pt idx="192">
                  <c:v>38.333333333333336</c:v>
                </c:pt>
                <c:pt idx="193">
                  <c:v>38.333333333333336</c:v>
                </c:pt>
                <c:pt idx="194">
                  <c:v>39.333333333333336</c:v>
                </c:pt>
                <c:pt idx="195">
                  <c:v>40.5</c:v>
                </c:pt>
                <c:pt idx="196">
                  <c:v>42</c:v>
                </c:pt>
                <c:pt idx="197">
                  <c:v>42</c:v>
                </c:pt>
                <c:pt idx="198">
                  <c:v>42</c:v>
                </c:pt>
                <c:pt idx="199">
                  <c:v>42</c:v>
                </c:pt>
                <c:pt idx="200">
                  <c:v>42</c:v>
                </c:pt>
                <c:pt idx="201">
                  <c:v>42</c:v>
                </c:pt>
                <c:pt idx="202">
                  <c:v>42</c:v>
                </c:pt>
                <c:pt idx="203">
                  <c:v>42</c:v>
                </c:pt>
                <c:pt idx="204">
                  <c:v>42.666666666666664</c:v>
                </c:pt>
                <c:pt idx="205">
                  <c:v>42.666666666666664</c:v>
                </c:pt>
                <c:pt idx="206">
                  <c:v>42.666666666666664</c:v>
                </c:pt>
                <c:pt idx="207">
                  <c:v>42.666666666666664</c:v>
                </c:pt>
                <c:pt idx="208">
                  <c:v>44</c:v>
                </c:pt>
                <c:pt idx="209">
                  <c:v>44</c:v>
                </c:pt>
                <c:pt idx="210">
                  <c:v>44</c:v>
                </c:pt>
                <c:pt idx="211">
                  <c:v>44</c:v>
                </c:pt>
                <c:pt idx="212">
                  <c:v>44</c:v>
                </c:pt>
                <c:pt idx="213">
                  <c:v>44</c:v>
                </c:pt>
                <c:pt idx="214">
                  <c:v>44</c:v>
                </c:pt>
                <c:pt idx="215">
                  <c:v>44</c:v>
                </c:pt>
                <c:pt idx="216">
                  <c:v>44</c:v>
                </c:pt>
                <c:pt idx="217">
                  <c:v>44</c:v>
                </c:pt>
                <c:pt idx="218">
                  <c:v>44</c:v>
                </c:pt>
                <c:pt idx="219">
                  <c:v>44</c:v>
                </c:pt>
                <c:pt idx="220">
                  <c:v>44</c:v>
                </c:pt>
                <c:pt idx="221">
                  <c:v>44.833333333333336</c:v>
                </c:pt>
                <c:pt idx="222">
                  <c:v>44.833333333333336</c:v>
                </c:pt>
                <c:pt idx="223">
                  <c:v>44.833333333333336</c:v>
                </c:pt>
                <c:pt idx="224">
                  <c:v>44.833333333333336</c:v>
                </c:pt>
                <c:pt idx="225">
                  <c:v>45.5</c:v>
                </c:pt>
                <c:pt idx="226">
                  <c:v>45.5</c:v>
                </c:pt>
                <c:pt idx="227">
                  <c:v>45.5</c:v>
                </c:pt>
                <c:pt idx="228">
                  <c:v>45.5</c:v>
                </c:pt>
                <c:pt idx="229">
                  <c:v>45.5</c:v>
                </c:pt>
                <c:pt idx="230">
                  <c:v>45.5</c:v>
                </c:pt>
                <c:pt idx="231">
                  <c:v>45.5</c:v>
                </c:pt>
                <c:pt idx="232">
                  <c:v>45.5</c:v>
                </c:pt>
                <c:pt idx="233">
                  <c:v>45.5</c:v>
                </c:pt>
                <c:pt idx="234">
                  <c:v>45.5</c:v>
                </c:pt>
                <c:pt idx="235">
                  <c:v>45.5</c:v>
                </c:pt>
                <c:pt idx="236">
                  <c:v>45.5</c:v>
                </c:pt>
                <c:pt idx="237">
                  <c:v>45.5</c:v>
                </c:pt>
                <c:pt idx="238">
                  <c:v>45.5</c:v>
                </c:pt>
                <c:pt idx="239">
                  <c:v>45.5</c:v>
                </c:pt>
                <c:pt idx="240">
                  <c:v>45.5</c:v>
                </c:pt>
                <c:pt idx="241">
                  <c:v>45.5</c:v>
                </c:pt>
                <c:pt idx="242">
                  <c:v>47.333333333333336</c:v>
                </c:pt>
                <c:pt idx="243">
                  <c:v>47.333333333333336</c:v>
                </c:pt>
                <c:pt idx="244">
                  <c:v>47.333333333333336</c:v>
                </c:pt>
                <c:pt idx="245">
                  <c:v>47.333333333333336</c:v>
                </c:pt>
                <c:pt idx="246">
                  <c:v>47.333333333333336</c:v>
                </c:pt>
                <c:pt idx="247">
                  <c:v>48</c:v>
                </c:pt>
                <c:pt idx="248">
                  <c:v>48</c:v>
                </c:pt>
                <c:pt idx="249">
                  <c:v>48</c:v>
                </c:pt>
                <c:pt idx="250">
                  <c:v>48</c:v>
                </c:pt>
                <c:pt idx="251">
                  <c:v>48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48</c:v>
                </c:pt>
                <c:pt idx="256">
                  <c:v>48</c:v>
                </c:pt>
                <c:pt idx="257">
                  <c:v>48</c:v>
                </c:pt>
                <c:pt idx="258">
                  <c:v>48</c:v>
                </c:pt>
                <c:pt idx="259">
                  <c:v>48</c:v>
                </c:pt>
                <c:pt idx="260">
                  <c:v>48</c:v>
                </c:pt>
                <c:pt idx="261">
                  <c:v>48</c:v>
                </c:pt>
                <c:pt idx="262">
                  <c:v>48</c:v>
                </c:pt>
                <c:pt idx="263">
                  <c:v>48.666666666666664</c:v>
                </c:pt>
                <c:pt idx="264">
                  <c:v>48.666666666666664</c:v>
                </c:pt>
                <c:pt idx="265">
                  <c:v>48.666666666666664</c:v>
                </c:pt>
                <c:pt idx="266">
                  <c:v>48.666666666666664</c:v>
                </c:pt>
                <c:pt idx="267">
                  <c:v>48.666666666666664</c:v>
                </c:pt>
                <c:pt idx="268">
                  <c:v>49.666666666666664</c:v>
                </c:pt>
                <c:pt idx="269">
                  <c:v>50.833333333333336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90F-4521-A229-A3A2D98E2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935792"/>
        <c:axId val="1452932880"/>
      </c:scatterChart>
      <c:valAx>
        <c:axId val="14529357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2932880"/>
        <c:crossesAt val="0"/>
        <c:crossBetween val="midCat"/>
      </c:valAx>
      <c:valAx>
        <c:axId val="1452932880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293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3.4229104335126298E-2"/>
          <c:y val="7.5458263973798054E-2"/>
          <c:w val="0.94442537576580654"/>
          <c:h val="0.870354858367701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 1-F,G'!$Q$2</c:f>
              <c:strCache>
                <c:ptCount val="1"/>
                <c:pt idx="0">
                  <c:v>Clppfl/fl;ZP3-Cre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none"/>
          </c:marker>
          <c:errBars>
            <c:errDir val="x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1</c:v>
                </c:pt>
              </c:numLit>
            </c:plus>
            <c:minus>
              <c:numRef>
                <c:f>'Fig 1-F,G'!$R$3:$R$272272</c:f>
                <c:numCache>
                  <c:formatCode>General</c:formatCode>
                  <c:ptCount val="272270"/>
                  <c:pt idx="0">
                    <c:v>1</c:v>
                  </c:pt>
                  <c:pt idx="1">
                    <c:v>1</c:v>
                  </c:pt>
                  <c:pt idx="2">
                    <c:v>1</c:v>
                  </c:pt>
                  <c:pt idx="3">
                    <c:v>1</c:v>
                  </c:pt>
                  <c:pt idx="4">
                    <c:v>1</c:v>
                  </c:pt>
                  <c:pt idx="5">
                    <c:v>1</c:v>
                  </c:pt>
                  <c:pt idx="6">
                    <c:v>1</c:v>
                  </c:pt>
                  <c:pt idx="7">
                    <c:v>1</c:v>
                  </c:pt>
                  <c:pt idx="8">
                    <c:v>1</c:v>
                  </c:pt>
                  <c:pt idx="9">
                    <c:v>1</c:v>
                  </c:pt>
                  <c:pt idx="10">
                    <c:v>1</c:v>
                  </c:pt>
                  <c:pt idx="11">
                    <c:v>1</c:v>
                  </c:pt>
                  <c:pt idx="12">
                    <c:v>1</c:v>
                  </c:pt>
                  <c:pt idx="13">
                    <c:v>1</c:v>
                  </c:pt>
                  <c:pt idx="14">
                    <c:v>1</c:v>
                  </c:pt>
                  <c:pt idx="15">
                    <c:v>1</c:v>
                  </c:pt>
                  <c:pt idx="16">
                    <c:v>1</c:v>
                  </c:pt>
                  <c:pt idx="17">
                    <c:v>1</c:v>
                  </c:pt>
                  <c:pt idx="18">
                    <c:v>1</c:v>
                  </c:pt>
                  <c:pt idx="19">
                    <c:v>1</c:v>
                  </c:pt>
                  <c:pt idx="20">
                    <c:v>1</c:v>
                  </c:pt>
                  <c:pt idx="21">
                    <c:v>1</c:v>
                  </c:pt>
                  <c:pt idx="22">
                    <c:v>1</c:v>
                  </c:pt>
                  <c:pt idx="23">
                    <c:v>1</c:v>
                  </c:pt>
                  <c:pt idx="24">
                    <c:v>1</c:v>
                  </c:pt>
                  <c:pt idx="25">
                    <c:v>1</c:v>
                  </c:pt>
                  <c:pt idx="26">
                    <c:v>1</c:v>
                  </c:pt>
                  <c:pt idx="27">
                    <c:v>1</c:v>
                  </c:pt>
                  <c:pt idx="28">
                    <c:v>1</c:v>
                  </c:pt>
                  <c:pt idx="29">
                    <c:v>1</c:v>
                  </c:pt>
                  <c:pt idx="30">
                    <c:v>1</c:v>
                  </c:pt>
                  <c:pt idx="31">
                    <c:v>1</c:v>
                  </c:pt>
                  <c:pt idx="32">
                    <c:v>1</c:v>
                  </c:pt>
                  <c:pt idx="33">
                    <c:v>1</c:v>
                  </c:pt>
                  <c:pt idx="34">
                    <c:v>1</c:v>
                  </c:pt>
                  <c:pt idx="35">
                    <c:v>1</c:v>
                  </c:pt>
                  <c:pt idx="36">
                    <c:v>1</c:v>
                  </c:pt>
                  <c:pt idx="37">
                    <c:v>1</c:v>
                  </c:pt>
                  <c:pt idx="38">
                    <c:v>1</c:v>
                  </c:pt>
                  <c:pt idx="39">
                    <c:v>1</c:v>
                  </c:pt>
                  <c:pt idx="40">
                    <c:v>1</c:v>
                  </c:pt>
                  <c:pt idx="41">
                    <c:v>1</c:v>
                  </c:pt>
                  <c:pt idx="42">
                    <c:v>1</c:v>
                  </c:pt>
                  <c:pt idx="43">
                    <c:v>1</c:v>
                  </c:pt>
                  <c:pt idx="44">
                    <c:v>1</c:v>
                  </c:pt>
                  <c:pt idx="45">
                    <c:v>1</c:v>
                  </c:pt>
                  <c:pt idx="46">
                    <c:v>1</c:v>
                  </c:pt>
                  <c:pt idx="47">
                    <c:v>1</c:v>
                  </c:pt>
                  <c:pt idx="48">
                    <c:v>1</c:v>
                  </c:pt>
                  <c:pt idx="49">
                    <c:v>1</c:v>
                  </c:pt>
                  <c:pt idx="50">
                    <c:v>1</c:v>
                  </c:pt>
                  <c:pt idx="51">
                    <c:v>1</c:v>
                  </c:pt>
                  <c:pt idx="52">
                    <c:v>1</c:v>
                  </c:pt>
                  <c:pt idx="53">
                    <c:v>1</c:v>
                  </c:pt>
                  <c:pt idx="54">
                    <c:v>1</c:v>
                  </c:pt>
                  <c:pt idx="55">
                    <c:v>1</c:v>
                  </c:pt>
                  <c:pt idx="56">
                    <c:v>1</c:v>
                  </c:pt>
                  <c:pt idx="57">
                    <c:v>1</c:v>
                  </c:pt>
                  <c:pt idx="58">
                    <c:v>1</c:v>
                  </c:pt>
                  <c:pt idx="59">
                    <c:v>1</c:v>
                  </c:pt>
                  <c:pt idx="60">
                    <c:v>1</c:v>
                  </c:pt>
                  <c:pt idx="61">
                    <c:v>1</c:v>
                  </c:pt>
                  <c:pt idx="62">
                    <c:v>1</c:v>
                  </c:pt>
                  <c:pt idx="63">
                    <c:v>1</c:v>
                  </c:pt>
                  <c:pt idx="64">
                    <c:v>1</c:v>
                  </c:pt>
                  <c:pt idx="65">
                    <c:v>1</c:v>
                  </c:pt>
                  <c:pt idx="66">
                    <c:v>1</c:v>
                  </c:pt>
                  <c:pt idx="67">
                    <c:v>1</c:v>
                  </c:pt>
                  <c:pt idx="68">
                    <c:v>1</c:v>
                  </c:pt>
                  <c:pt idx="69">
                    <c:v>1</c:v>
                  </c:pt>
                  <c:pt idx="70">
                    <c:v>1</c:v>
                  </c:pt>
                  <c:pt idx="71">
                    <c:v>1</c:v>
                  </c:pt>
                  <c:pt idx="72">
                    <c:v>1</c:v>
                  </c:pt>
                  <c:pt idx="73">
                    <c:v>1</c:v>
                  </c:pt>
                  <c:pt idx="74">
                    <c:v>1</c:v>
                  </c:pt>
                  <c:pt idx="75">
                    <c:v>1</c:v>
                  </c:pt>
                  <c:pt idx="76">
                    <c:v>1</c:v>
                  </c:pt>
                  <c:pt idx="77">
                    <c:v>1</c:v>
                  </c:pt>
                  <c:pt idx="78">
                    <c:v>1</c:v>
                  </c:pt>
                  <c:pt idx="79">
                    <c:v>1</c:v>
                  </c:pt>
                  <c:pt idx="80">
                    <c:v>1</c:v>
                  </c:pt>
                  <c:pt idx="81">
                    <c:v>1</c:v>
                  </c:pt>
                  <c:pt idx="82">
                    <c:v>1</c:v>
                  </c:pt>
                  <c:pt idx="83">
                    <c:v>1</c:v>
                  </c:pt>
                  <c:pt idx="84">
                    <c:v>1</c:v>
                  </c:pt>
                  <c:pt idx="85">
                    <c:v>1</c:v>
                  </c:pt>
                  <c:pt idx="86">
                    <c:v>1</c:v>
                  </c:pt>
                  <c:pt idx="87">
                    <c:v>1</c:v>
                  </c:pt>
                  <c:pt idx="88">
                    <c:v>1</c:v>
                  </c:pt>
                  <c:pt idx="89">
                    <c:v>1</c:v>
                  </c:pt>
                  <c:pt idx="90">
                    <c:v>1</c:v>
                  </c:pt>
                  <c:pt idx="91">
                    <c:v>1</c:v>
                  </c:pt>
                  <c:pt idx="92">
                    <c:v>1</c:v>
                  </c:pt>
                  <c:pt idx="93">
                    <c:v>1</c:v>
                  </c:pt>
                  <c:pt idx="94">
                    <c:v>1</c:v>
                  </c:pt>
                  <c:pt idx="95">
                    <c:v>1</c:v>
                  </c:pt>
                  <c:pt idx="96">
                    <c:v>1</c:v>
                  </c:pt>
                  <c:pt idx="97">
                    <c:v>1</c:v>
                  </c:pt>
                  <c:pt idx="98">
                    <c:v>1</c:v>
                  </c:pt>
                  <c:pt idx="99">
                    <c:v>1</c:v>
                  </c:pt>
                  <c:pt idx="100">
                    <c:v>1</c:v>
                  </c:pt>
                  <c:pt idx="101">
                    <c:v>1</c:v>
                  </c:pt>
                  <c:pt idx="102">
                    <c:v>1</c:v>
                  </c:pt>
                  <c:pt idx="103">
                    <c:v>1</c:v>
                  </c:pt>
                  <c:pt idx="104">
                    <c:v>1</c:v>
                  </c:pt>
                  <c:pt idx="105">
                    <c:v>1</c:v>
                  </c:pt>
                  <c:pt idx="106">
                    <c:v>1</c:v>
                  </c:pt>
                  <c:pt idx="107">
                    <c:v>1</c:v>
                  </c:pt>
                  <c:pt idx="108">
                    <c:v>1</c:v>
                  </c:pt>
                  <c:pt idx="109">
                    <c:v>1</c:v>
                  </c:pt>
                  <c:pt idx="110">
                    <c:v>1</c:v>
                  </c:pt>
                  <c:pt idx="111">
                    <c:v>1</c:v>
                  </c:pt>
                  <c:pt idx="112">
                    <c:v>1</c:v>
                  </c:pt>
                  <c:pt idx="113">
                    <c:v>1</c:v>
                  </c:pt>
                  <c:pt idx="114">
                    <c:v>1</c:v>
                  </c:pt>
                  <c:pt idx="115">
                    <c:v>1</c:v>
                  </c:pt>
                  <c:pt idx="116">
                    <c:v>1</c:v>
                  </c:pt>
                  <c:pt idx="117">
                    <c:v>1</c:v>
                  </c:pt>
                  <c:pt idx="118">
                    <c:v>1</c:v>
                  </c:pt>
                  <c:pt idx="119">
                    <c:v>1</c:v>
                  </c:pt>
                  <c:pt idx="120">
                    <c:v>1</c:v>
                  </c:pt>
                  <c:pt idx="121">
                    <c:v>1</c:v>
                  </c:pt>
                  <c:pt idx="122">
                    <c:v>1</c:v>
                  </c:pt>
                  <c:pt idx="123">
                    <c:v>1</c:v>
                  </c:pt>
                  <c:pt idx="124">
                    <c:v>1</c:v>
                  </c:pt>
                  <c:pt idx="125">
                    <c:v>1</c:v>
                  </c:pt>
                  <c:pt idx="126">
                    <c:v>1</c:v>
                  </c:pt>
                  <c:pt idx="127">
                    <c:v>1</c:v>
                  </c:pt>
                  <c:pt idx="128">
                    <c:v>1</c:v>
                  </c:pt>
                  <c:pt idx="129">
                    <c:v>1</c:v>
                  </c:pt>
                  <c:pt idx="130">
                    <c:v>1</c:v>
                  </c:pt>
                  <c:pt idx="131">
                    <c:v>1</c:v>
                  </c:pt>
                  <c:pt idx="132">
                    <c:v>1</c:v>
                  </c:pt>
                  <c:pt idx="133">
                    <c:v>1</c:v>
                  </c:pt>
                  <c:pt idx="134">
                    <c:v>1</c:v>
                  </c:pt>
                  <c:pt idx="135">
                    <c:v>1</c:v>
                  </c:pt>
                  <c:pt idx="136">
                    <c:v>1</c:v>
                  </c:pt>
                  <c:pt idx="137">
                    <c:v>1</c:v>
                  </c:pt>
                  <c:pt idx="138">
                    <c:v>1</c:v>
                  </c:pt>
                  <c:pt idx="139">
                    <c:v>1</c:v>
                  </c:pt>
                  <c:pt idx="140">
                    <c:v>1</c:v>
                  </c:pt>
                  <c:pt idx="141">
                    <c:v>1</c:v>
                  </c:pt>
                  <c:pt idx="142">
                    <c:v>1</c:v>
                  </c:pt>
                  <c:pt idx="143">
                    <c:v>1</c:v>
                  </c:pt>
                  <c:pt idx="144">
                    <c:v>1</c:v>
                  </c:pt>
                  <c:pt idx="145">
                    <c:v>1</c:v>
                  </c:pt>
                  <c:pt idx="146">
                    <c:v>1</c:v>
                  </c:pt>
                  <c:pt idx="147">
                    <c:v>1</c:v>
                  </c:pt>
                  <c:pt idx="148">
                    <c:v>1</c:v>
                  </c:pt>
                  <c:pt idx="149">
                    <c:v>1</c:v>
                  </c:pt>
                  <c:pt idx="150">
                    <c:v>1</c:v>
                  </c:pt>
                  <c:pt idx="151">
                    <c:v>1</c:v>
                  </c:pt>
                  <c:pt idx="152">
                    <c:v>1</c:v>
                  </c:pt>
                  <c:pt idx="153">
                    <c:v>1</c:v>
                  </c:pt>
                  <c:pt idx="154">
                    <c:v>1</c:v>
                  </c:pt>
                  <c:pt idx="155">
                    <c:v>1</c:v>
                  </c:pt>
                  <c:pt idx="156">
                    <c:v>1</c:v>
                  </c:pt>
                  <c:pt idx="157">
                    <c:v>1</c:v>
                  </c:pt>
                  <c:pt idx="158">
                    <c:v>1</c:v>
                  </c:pt>
                  <c:pt idx="159">
                    <c:v>1</c:v>
                  </c:pt>
                  <c:pt idx="160">
                    <c:v>1</c:v>
                  </c:pt>
                  <c:pt idx="161">
                    <c:v>1</c:v>
                  </c:pt>
                  <c:pt idx="162">
                    <c:v>1</c:v>
                  </c:pt>
                  <c:pt idx="163">
                    <c:v>1</c:v>
                  </c:pt>
                  <c:pt idx="164">
                    <c:v>1</c:v>
                  </c:pt>
                  <c:pt idx="165">
                    <c:v>1</c:v>
                  </c:pt>
                  <c:pt idx="166">
                    <c:v>1</c:v>
                  </c:pt>
                  <c:pt idx="167">
                    <c:v>1</c:v>
                  </c:pt>
                  <c:pt idx="168">
                    <c:v>1</c:v>
                  </c:pt>
                  <c:pt idx="169">
                    <c:v>1</c:v>
                  </c:pt>
                  <c:pt idx="170">
                    <c:v>1</c:v>
                  </c:pt>
                  <c:pt idx="171">
                    <c:v>1</c:v>
                  </c:pt>
                  <c:pt idx="172">
                    <c:v>1</c:v>
                  </c:pt>
                  <c:pt idx="173">
                    <c:v>1</c:v>
                  </c:pt>
                  <c:pt idx="174">
                    <c:v>1</c:v>
                  </c:pt>
                  <c:pt idx="175">
                    <c:v>1</c:v>
                  </c:pt>
                  <c:pt idx="176">
                    <c:v>1</c:v>
                  </c:pt>
                  <c:pt idx="177">
                    <c:v>1</c:v>
                  </c:pt>
                  <c:pt idx="178">
                    <c:v>1</c:v>
                  </c:pt>
                  <c:pt idx="179">
                    <c:v>1</c:v>
                  </c:pt>
                  <c:pt idx="180">
                    <c:v>1</c:v>
                  </c:pt>
                  <c:pt idx="181">
                    <c:v>1</c:v>
                  </c:pt>
                  <c:pt idx="182">
                    <c:v>1</c:v>
                  </c:pt>
                  <c:pt idx="183">
                    <c:v>1</c:v>
                  </c:pt>
                  <c:pt idx="184">
                    <c:v>1</c:v>
                  </c:pt>
                  <c:pt idx="185">
                    <c:v>1</c:v>
                  </c:pt>
                  <c:pt idx="186">
                    <c:v>1</c:v>
                  </c:pt>
                  <c:pt idx="187">
                    <c:v>1</c:v>
                  </c:pt>
                  <c:pt idx="188">
                    <c:v>1</c:v>
                  </c:pt>
                  <c:pt idx="189">
                    <c:v>1</c:v>
                  </c:pt>
                  <c:pt idx="190">
                    <c:v>1</c:v>
                  </c:pt>
                  <c:pt idx="191">
                    <c:v>1</c:v>
                  </c:pt>
                  <c:pt idx="192">
                    <c:v>1</c:v>
                  </c:pt>
                  <c:pt idx="193">
                    <c:v>1</c:v>
                  </c:pt>
                  <c:pt idx="194">
                    <c:v>1</c:v>
                  </c:pt>
                  <c:pt idx="195">
                    <c:v>1</c:v>
                  </c:pt>
                  <c:pt idx="196">
                    <c:v>1</c:v>
                  </c:pt>
                  <c:pt idx="197">
                    <c:v>1</c:v>
                  </c:pt>
                  <c:pt idx="198">
                    <c:v>1</c:v>
                  </c:pt>
                  <c:pt idx="199">
                    <c:v>1</c:v>
                  </c:pt>
                  <c:pt idx="200">
                    <c:v>1</c:v>
                  </c:pt>
                  <c:pt idx="201">
                    <c:v>1</c:v>
                  </c:pt>
                  <c:pt idx="202">
                    <c:v>1</c:v>
                  </c:pt>
                  <c:pt idx="203">
                    <c:v>1</c:v>
                  </c:pt>
                  <c:pt idx="204">
                    <c:v>1</c:v>
                  </c:pt>
                  <c:pt idx="205">
                    <c:v>1</c:v>
                  </c:pt>
                  <c:pt idx="206">
                    <c:v>1</c:v>
                  </c:pt>
                  <c:pt idx="207">
                    <c:v>1</c:v>
                  </c:pt>
                  <c:pt idx="208">
                    <c:v>1</c:v>
                  </c:pt>
                  <c:pt idx="209">
                    <c:v>1</c:v>
                  </c:pt>
                  <c:pt idx="210">
                    <c:v>1</c:v>
                  </c:pt>
                  <c:pt idx="211">
                    <c:v>1</c:v>
                  </c:pt>
                  <c:pt idx="212">
                    <c:v>1</c:v>
                  </c:pt>
                  <c:pt idx="213">
                    <c:v>1</c:v>
                  </c:pt>
                  <c:pt idx="214">
                    <c:v>1</c:v>
                  </c:pt>
                  <c:pt idx="215">
                    <c:v>1</c:v>
                  </c:pt>
                  <c:pt idx="216">
                    <c:v>1</c:v>
                  </c:pt>
                  <c:pt idx="217">
                    <c:v>1</c:v>
                  </c:pt>
                  <c:pt idx="218">
                    <c:v>1</c:v>
                  </c:pt>
                  <c:pt idx="219">
                    <c:v>1</c:v>
                  </c:pt>
                  <c:pt idx="220">
                    <c:v>1</c:v>
                  </c:pt>
                  <c:pt idx="221">
                    <c:v>1</c:v>
                  </c:pt>
                  <c:pt idx="222">
                    <c:v>1</c:v>
                  </c:pt>
                  <c:pt idx="223">
                    <c:v>1</c:v>
                  </c:pt>
                  <c:pt idx="224">
                    <c:v>1</c:v>
                  </c:pt>
                  <c:pt idx="225">
                    <c:v>1</c:v>
                  </c:pt>
                  <c:pt idx="226">
                    <c:v>1</c:v>
                  </c:pt>
                  <c:pt idx="227">
                    <c:v>1</c:v>
                  </c:pt>
                  <c:pt idx="228">
                    <c:v>1</c:v>
                  </c:pt>
                  <c:pt idx="229">
                    <c:v>1</c:v>
                  </c:pt>
                  <c:pt idx="230">
                    <c:v>1</c:v>
                  </c:pt>
                  <c:pt idx="231">
                    <c:v>1</c:v>
                  </c:pt>
                  <c:pt idx="232">
                    <c:v>1</c:v>
                  </c:pt>
                  <c:pt idx="233">
                    <c:v>1</c:v>
                  </c:pt>
                  <c:pt idx="234">
                    <c:v>1</c:v>
                  </c:pt>
                  <c:pt idx="235">
                    <c:v>1</c:v>
                  </c:pt>
                  <c:pt idx="236">
                    <c:v>1</c:v>
                  </c:pt>
                  <c:pt idx="237">
                    <c:v>1</c:v>
                  </c:pt>
                  <c:pt idx="238">
                    <c:v>1</c:v>
                  </c:pt>
                  <c:pt idx="239">
                    <c:v>1</c:v>
                  </c:pt>
                  <c:pt idx="240">
                    <c:v>1</c:v>
                  </c:pt>
                  <c:pt idx="241">
                    <c:v>1</c:v>
                  </c:pt>
                  <c:pt idx="242">
                    <c:v>1</c:v>
                  </c:pt>
                  <c:pt idx="243">
                    <c:v>1</c:v>
                  </c:pt>
                  <c:pt idx="244">
                    <c:v>1</c:v>
                  </c:pt>
                  <c:pt idx="245">
                    <c:v>1</c:v>
                  </c:pt>
                  <c:pt idx="246">
                    <c:v>1</c:v>
                  </c:pt>
                  <c:pt idx="247">
                    <c:v>1</c:v>
                  </c:pt>
                  <c:pt idx="248">
                    <c:v>1</c:v>
                  </c:pt>
                  <c:pt idx="249">
                    <c:v>1</c:v>
                  </c:pt>
                  <c:pt idx="250">
                    <c:v>1</c:v>
                  </c:pt>
                  <c:pt idx="251">
                    <c:v>1</c:v>
                  </c:pt>
                  <c:pt idx="252">
                    <c:v>1</c:v>
                  </c:pt>
                  <c:pt idx="253">
                    <c:v>1</c:v>
                  </c:pt>
                  <c:pt idx="254">
                    <c:v>1</c:v>
                  </c:pt>
                  <c:pt idx="255">
                    <c:v>1</c:v>
                  </c:pt>
                  <c:pt idx="256">
                    <c:v>1</c:v>
                  </c:pt>
                  <c:pt idx="257">
                    <c:v>1</c:v>
                  </c:pt>
                  <c:pt idx="258">
                    <c:v>1</c:v>
                  </c:pt>
                  <c:pt idx="259">
                    <c:v>1</c:v>
                  </c:pt>
                  <c:pt idx="260">
                    <c:v>1</c:v>
                  </c:pt>
                  <c:pt idx="261">
                    <c:v>1</c:v>
                  </c:pt>
                  <c:pt idx="262">
                    <c:v>1</c:v>
                  </c:pt>
                  <c:pt idx="263">
                    <c:v>1</c:v>
                  </c:pt>
                  <c:pt idx="264">
                    <c:v>1</c:v>
                  </c:pt>
                  <c:pt idx="265">
                    <c:v>1</c:v>
                  </c:pt>
                  <c:pt idx="266">
                    <c:v>1</c:v>
                  </c:pt>
                  <c:pt idx="267">
                    <c:v>1</c:v>
                  </c:pt>
                  <c:pt idx="268">
                    <c:v>1</c:v>
                  </c:pt>
                  <c:pt idx="269">
                    <c:v>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y"/>
            <c:errBarType val="plus"/>
            <c:errValType val="cust"/>
            <c:noEndCap val="1"/>
            <c:plus>
              <c:numRef>
                <c:f>'Fig 1-F,G'!$T$3:$T$271</c:f>
                <c:numCache>
                  <c:formatCode>General</c:formatCode>
                  <c:ptCount val="26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2.5</c:v>
                  </c:pt>
                  <c:pt idx="31">
                    <c:v>1.1666666666666665</c:v>
                  </c:pt>
                  <c:pt idx="32">
                    <c:v>0</c:v>
                  </c:pt>
                  <c:pt idx="33">
                    <c:v>1.6666666666666665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1.166666666666667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1.333333333333333</c:v>
                  </c:pt>
                  <c:pt idx="50">
                    <c:v>0</c:v>
                  </c:pt>
                  <c:pt idx="51">
                    <c:v>0.83333333333333304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0.16666666666666785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  <c:pt idx="63">
                    <c:v>0</c:v>
                  </c:pt>
                  <c:pt idx="64">
                    <c:v>0</c:v>
                  </c:pt>
                  <c:pt idx="65">
                    <c:v>0</c:v>
                  </c:pt>
                  <c:pt idx="66">
                    <c:v>0</c:v>
                  </c:pt>
                  <c:pt idx="67">
                    <c:v>0</c:v>
                  </c:pt>
                  <c:pt idx="68">
                    <c:v>0</c:v>
                  </c:pt>
                  <c:pt idx="69">
                    <c:v>0</c:v>
                  </c:pt>
                  <c:pt idx="70">
                    <c:v>0</c:v>
                  </c:pt>
                  <c:pt idx="71">
                    <c:v>0</c:v>
                  </c:pt>
                  <c:pt idx="72">
                    <c:v>0.83333333333333215</c:v>
                  </c:pt>
                  <c:pt idx="73">
                    <c:v>0</c:v>
                  </c:pt>
                  <c:pt idx="74">
                    <c:v>0</c:v>
                  </c:pt>
                  <c:pt idx="75">
                    <c:v>0.33333333333333393</c:v>
                  </c:pt>
                  <c:pt idx="76">
                    <c:v>1</c:v>
                  </c:pt>
                  <c:pt idx="77">
                    <c:v>0</c:v>
                  </c:pt>
                  <c:pt idx="78">
                    <c:v>0</c:v>
                  </c:pt>
                  <c:pt idx="79">
                    <c:v>0</c:v>
                  </c:pt>
                  <c:pt idx="80">
                    <c:v>0</c:v>
                  </c:pt>
                  <c:pt idx="81">
                    <c:v>0</c:v>
                  </c:pt>
                  <c:pt idx="82">
                    <c:v>0</c:v>
                  </c:pt>
                  <c:pt idx="83">
                    <c:v>0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87">
                    <c:v>0</c:v>
                  </c:pt>
                  <c:pt idx="88">
                    <c:v>1.1666666666666661</c:v>
                  </c:pt>
                  <c:pt idx="89">
                    <c:v>0</c:v>
                  </c:pt>
                  <c:pt idx="90">
                    <c:v>0</c:v>
                  </c:pt>
                  <c:pt idx="91">
                    <c:v>0</c:v>
                  </c:pt>
                  <c:pt idx="92">
                    <c:v>0</c:v>
                  </c:pt>
                  <c:pt idx="93">
                    <c:v>0</c:v>
                  </c:pt>
                  <c:pt idx="94">
                    <c:v>0</c:v>
                  </c:pt>
                  <c:pt idx="95">
                    <c:v>0</c:v>
                  </c:pt>
                  <c:pt idx="96">
                    <c:v>0</c:v>
                  </c:pt>
                  <c:pt idx="97">
                    <c:v>0</c:v>
                  </c:pt>
                  <c:pt idx="98">
                    <c:v>0</c:v>
                  </c:pt>
                  <c:pt idx="99">
                    <c:v>1.1666666666666679</c:v>
                  </c:pt>
                  <c:pt idx="100">
                    <c:v>0.66666666666666607</c:v>
                  </c:pt>
                  <c:pt idx="101">
                    <c:v>0</c:v>
                  </c:pt>
                  <c:pt idx="102">
                    <c:v>0</c:v>
                  </c:pt>
                  <c:pt idx="103">
                    <c:v>0</c:v>
                  </c:pt>
                  <c:pt idx="104">
                    <c:v>0.66666666666666607</c:v>
                  </c:pt>
                  <c:pt idx="105">
                    <c:v>0</c:v>
                  </c:pt>
                  <c:pt idx="106">
                    <c:v>0</c:v>
                  </c:pt>
                  <c:pt idx="107">
                    <c:v>0</c:v>
                  </c:pt>
                  <c:pt idx="108">
                    <c:v>0</c:v>
                  </c:pt>
                  <c:pt idx="109">
                    <c:v>0</c:v>
                  </c:pt>
                  <c:pt idx="110">
                    <c:v>0</c:v>
                  </c:pt>
                  <c:pt idx="111">
                    <c:v>0</c:v>
                  </c:pt>
                  <c:pt idx="112">
                    <c:v>0</c:v>
                  </c:pt>
                  <c:pt idx="113">
                    <c:v>0.33333333333333393</c:v>
                  </c:pt>
                  <c:pt idx="114">
                    <c:v>0</c:v>
                  </c:pt>
                  <c:pt idx="115">
                    <c:v>0</c:v>
                  </c:pt>
                  <c:pt idx="116">
                    <c:v>0</c:v>
                  </c:pt>
                  <c:pt idx="117">
                    <c:v>0</c:v>
                  </c:pt>
                  <c:pt idx="118">
                    <c:v>0</c:v>
                  </c:pt>
                  <c:pt idx="119">
                    <c:v>0</c:v>
                  </c:pt>
                  <c:pt idx="120">
                    <c:v>0</c:v>
                  </c:pt>
                  <c:pt idx="121">
                    <c:v>0</c:v>
                  </c:pt>
                  <c:pt idx="122">
                    <c:v>0</c:v>
                  </c:pt>
                  <c:pt idx="123">
                    <c:v>0</c:v>
                  </c:pt>
                  <c:pt idx="124">
                    <c:v>0</c:v>
                  </c:pt>
                  <c:pt idx="125">
                    <c:v>1</c:v>
                  </c:pt>
                  <c:pt idx="126">
                    <c:v>0</c:v>
                  </c:pt>
                  <c:pt idx="127">
                    <c:v>0</c:v>
                  </c:pt>
                  <c:pt idx="128">
                    <c:v>0</c:v>
                  </c:pt>
                  <c:pt idx="129">
                    <c:v>0</c:v>
                  </c:pt>
                  <c:pt idx="130">
                    <c:v>0</c:v>
                  </c:pt>
                  <c:pt idx="131">
                    <c:v>1</c:v>
                  </c:pt>
                  <c:pt idx="132">
                    <c:v>0</c:v>
                  </c:pt>
                  <c:pt idx="133">
                    <c:v>0</c:v>
                  </c:pt>
                  <c:pt idx="134">
                    <c:v>0</c:v>
                  </c:pt>
                  <c:pt idx="135">
                    <c:v>0</c:v>
                  </c:pt>
                  <c:pt idx="136">
                    <c:v>0</c:v>
                  </c:pt>
                  <c:pt idx="137">
                    <c:v>0</c:v>
                  </c:pt>
                  <c:pt idx="138">
                    <c:v>0</c:v>
                  </c:pt>
                  <c:pt idx="139">
                    <c:v>0</c:v>
                  </c:pt>
                  <c:pt idx="140">
                    <c:v>0</c:v>
                  </c:pt>
                  <c:pt idx="141">
                    <c:v>0</c:v>
                  </c:pt>
                  <c:pt idx="142">
                    <c:v>1.1666666666666679</c:v>
                  </c:pt>
                  <c:pt idx="143">
                    <c:v>0</c:v>
                  </c:pt>
                  <c:pt idx="144">
                    <c:v>0</c:v>
                  </c:pt>
                  <c:pt idx="145">
                    <c:v>1.3333333333333321</c:v>
                  </c:pt>
                  <c:pt idx="146">
                    <c:v>0</c:v>
                  </c:pt>
                  <c:pt idx="147">
                    <c:v>0</c:v>
                  </c:pt>
                  <c:pt idx="148">
                    <c:v>0</c:v>
                  </c:pt>
                  <c:pt idx="149">
                    <c:v>0</c:v>
                  </c:pt>
                  <c:pt idx="150">
                    <c:v>0</c:v>
                  </c:pt>
                  <c:pt idx="151">
                    <c:v>0.66666666666666785</c:v>
                  </c:pt>
                  <c:pt idx="152">
                    <c:v>0</c:v>
                  </c:pt>
                  <c:pt idx="153">
                    <c:v>0</c:v>
                  </c:pt>
                  <c:pt idx="154">
                    <c:v>0</c:v>
                  </c:pt>
                  <c:pt idx="155">
                    <c:v>0.83333333333333215</c:v>
                  </c:pt>
                  <c:pt idx="156">
                    <c:v>0</c:v>
                  </c:pt>
                  <c:pt idx="157">
                    <c:v>0.5</c:v>
                  </c:pt>
                  <c:pt idx="158">
                    <c:v>0</c:v>
                  </c:pt>
                  <c:pt idx="159">
                    <c:v>0</c:v>
                  </c:pt>
                  <c:pt idx="160">
                    <c:v>0</c:v>
                  </c:pt>
                  <c:pt idx="161">
                    <c:v>0</c:v>
                  </c:pt>
                  <c:pt idx="162">
                    <c:v>0</c:v>
                  </c:pt>
                  <c:pt idx="163">
                    <c:v>0</c:v>
                  </c:pt>
                  <c:pt idx="164">
                    <c:v>0</c:v>
                  </c:pt>
                  <c:pt idx="165">
                    <c:v>0</c:v>
                  </c:pt>
                  <c:pt idx="166">
                    <c:v>0</c:v>
                  </c:pt>
                  <c:pt idx="167">
                    <c:v>0</c:v>
                  </c:pt>
                  <c:pt idx="168">
                    <c:v>0.33333333333333215</c:v>
                  </c:pt>
                  <c:pt idx="169">
                    <c:v>1</c:v>
                  </c:pt>
                  <c:pt idx="170">
                    <c:v>0</c:v>
                  </c:pt>
                  <c:pt idx="171">
                    <c:v>0</c:v>
                  </c:pt>
                  <c:pt idx="172">
                    <c:v>0</c:v>
                  </c:pt>
                  <c:pt idx="173">
                    <c:v>0</c:v>
                  </c:pt>
                  <c:pt idx="174">
                    <c:v>0</c:v>
                  </c:pt>
                  <c:pt idx="175">
                    <c:v>0</c:v>
                  </c:pt>
                  <c:pt idx="176">
                    <c:v>0</c:v>
                  </c:pt>
                  <c:pt idx="177">
                    <c:v>0</c:v>
                  </c:pt>
                  <c:pt idx="178">
                    <c:v>1.1666666666666679</c:v>
                  </c:pt>
                  <c:pt idx="179">
                    <c:v>0</c:v>
                  </c:pt>
                  <c:pt idx="180">
                    <c:v>0</c:v>
                  </c:pt>
                  <c:pt idx="181">
                    <c:v>1.3333333333333321</c:v>
                  </c:pt>
                  <c:pt idx="182">
                    <c:v>0</c:v>
                  </c:pt>
                  <c:pt idx="183">
                    <c:v>0</c:v>
                  </c:pt>
                  <c:pt idx="184">
                    <c:v>0</c:v>
                  </c:pt>
                  <c:pt idx="185">
                    <c:v>0</c:v>
                  </c:pt>
                  <c:pt idx="186">
                    <c:v>0</c:v>
                  </c:pt>
                  <c:pt idx="187">
                    <c:v>0</c:v>
                  </c:pt>
                  <c:pt idx="188">
                    <c:v>0</c:v>
                  </c:pt>
                  <c:pt idx="189">
                    <c:v>0</c:v>
                  </c:pt>
                  <c:pt idx="190">
                    <c:v>1</c:v>
                  </c:pt>
                  <c:pt idx="191">
                    <c:v>0</c:v>
                  </c:pt>
                  <c:pt idx="192">
                    <c:v>0</c:v>
                  </c:pt>
                  <c:pt idx="193">
                    <c:v>0</c:v>
                  </c:pt>
                  <c:pt idx="194">
                    <c:v>0</c:v>
                  </c:pt>
                  <c:pt idx="195">
                    <c:v>0</c:v>
                  </c:pt>
                  <c:pt idx="196">
                    <c:v>0.3333333333333357</c:v>
                  </c:pt>
                  <c:pt idx="197">
                    <c:v>0</c:v>
                  </c:pt>
                  <c:pt idx="198">
                    <c:v>0</c:v>
                  </c:pt>
                  <c:pt idx="199">
                    <c:v>0</c:v>
                  </c:pt>
                  <c:pt idx="200">
                    <c:v>0</c:v>
                  </c:pt>
                  <c:pt idx="201">
                    <c:v>0</c:v>
                  </c:pt>
                  <c:pt idx="202">
                    <c:v>0</c:v>
                  </c:pt>
                  <c:pt idx="203">
                    <c:v>0.6666666666666643</c:v>
                  </c:pt>
                  <c:pt idx="204">
                    <c:v>0.66666666666666785</c:v>
                  </c:pt>
                  <c:pt idx="205">
                    <c:v>0.5</c:v>
                  </c:pt>
                  <c:pt idx="206">
                    <c:v>0</c:v>
                  </c:pt>
                  <c:pt idx="207">
                    <c:v>0</c:v>
                  </c:pt>
                  <c:pt idx="208">
                    <c:v>0</c:v>
                  </c:pt>
                  <c:pt idx="209">
                    <c:v>0.33333333333333215</c:v>
                  </c:pt>
                  <c:pt idx="210">
                    <c:v>0</c:v>
                  </c:pt>
                  <c:pt idx="211">
                    <c:v>0</c:v>
                  </c:pt>
                  <c:pt idx="212">
                    <c:v>0</c:v>
                  </c:pt>
                  <c:pt idx="213">
                    <c:v>0</c:v>
                  </c:pt>
                  <c:pt idx="214">
                    <c:v>0</c:v>
                  </c:pt>
                  <c:pt idx="215">
                    <c:v>0</c:v>
                  </c:pt>
                  <c:pt idx="216">
                    <c:v>0.66666666666666785</c:v>
                  </c:pt>
                  <c:pt idx="217">
                    <c:v>0</c:v>
                  </c:pt>
                  <c:pt idx="218">
                    <c:v>0</c:v>
                  </c:pt>
                  <c:pt idx="219">
                    <c:v>0</c:v>
                  </c:pt>
                  <c:pt idx="220">
                    <c:v>0</c:v>
                  </c:pt>
                  <c:pt idx="221">
                    <c:v>0</c:v>
                  </c:pt>
                  <c:pt idx="222">
                    <c:v>0</c:v>
                  </c:pt>
                  <c:pt idx="223">
                    <c:v>0</c:v>
                  </c:pt>
                  <c:pt idx="224">
                    <c:v>0</c:v>
                  </c:pt>
                  <c:pt idx="225">
                    <c:v>0</c:v>
                  </c:pt>
                  <c:pt idx="226">
                    <c:v>0</c:v>
                  </c:pt>
                  <c:pt idx="227">
                    <c:v>0</c:v>
                  </c:pt>
                  <c:pt idx="228">
                    <c:v>0</c:v>
                  </c:pt>
                  <c:pt idx="229">
                    <c:v>0.5</c:v>
                  </c:pt>
                  <c:pt idx="230">
                    <c:v>0.66666666666666785</c:v>
                  </c:pt>
                  <c:pt idx="231">
                    <c:v>0.33333333333333215</c:v>
                  </c:pt>
                  <c:pt idx="232">
                    <c:v>0</c:v>
                  </c:pt>
                  <c:pt idx="233">
                    <c:v>0</c:v>
                  </c:pt>
                  <c:pt idx="234">
                    <c:v>0</c:v>
                  </c:pt>
                  <c:pt idx="235">
                    <c:v>0</c:v>
                  </c:pt>
                  <c:pt idx="236">
                    <c:v>0</c:v>
                  </c:pt>
                  <c:pt idx="237">
                    <c:v>0</c:v>
                  </c:pt>
                  <c:pt idx="238">
                    <c:v>0</c:v>
                  </c:pt>
                  <c:pt idx="239">
                    <c:v>0</c:v>
                  </c:pt>
                  <c:pt idx="240">
                    <c:v>0</c:v>
                  </c:pt>
                  <c:pt idx="241">
                    <c:v>0</c:v>
                  </c:pt>
                  <c:pt idx="242">
                    <c:v>0</c:v>
                  </c:pt>
                  <c:pt idx="243">
                    <c:v>0</c:v>
                  </c:pt>
                  <c:pt idx="244">
                    <c:v>0</c:v>
                  </c:pt>
                  <c:pt idx="245">
                    <c:v>0</c:v>
                  </c:pt>
                  <c:pt idx="246">
                    <c:v>0</c:v>
                  </c:pt>
                  <c:pt idx="247">
                    <c:v>0</c:v>
                  </c:pt>
                  <c:pt idx="248">
                    <c:v>0</c:v>
                  </c:pt>
                  <c:pt idx="249">
                    <c:v>0</c:v>
                  </c:pt>
                  <c:pt idx="250">
                    <c:v>0</c:v>
                  </c:pt>
                  <c:pt idx="251">
                    <c:v>0</c:v>
                  </c:pt>
                  <c:pt idx="252">
                    <c:v>0</c:v>
                  </c:pt>
                  <c:pt idx="253">
                    <c:v>0.16666666666666785</c:v>
                  </c:pt>
                  <c:pt idx="254">
                    <c:v>0</c:v>
                  </c:pt>
                  <c:pt idx="255">
                    <c:v>0</c:v>
                  </c:pt>
                  <c:pt idx="256">
                    <c:v>0.33333333333333215</c:v>
                  </c:pt>
                  <c:pt idx="257">
                    <c:v>0.5</c:v>
                  </c:pt>
                  <c:pt idx="258">
                    <c:v>0</c:v>
                  </c:pt>
                  <c:pt idx="259">
                    <c:v>0</c:v>
                  </c:pt>
                  <c:pt idx="260">
                    <c:v>0</c:v>
                  </c:pt>
                  <c:pt idx="261">
                    <c:v>1</c:v>
                  </c:pt>
                  <c:pt idx="262">
                    <c:v>0</c:v>
                  </c:pt>
                  <c:pt idx="263">
                    <c:v>0</c:v>
                  </c:pt>
                  <c:pt idx="264">
                    <c:v>0</c:v>
                  </c:pt>
                  <c:pt idx="265">
                    <c:v>0</c:v>
                  </c:pt>
                  <c:pt idx="266">
                    <c:v>0</c:v>
                  </c:pt>
                  <c:pt idx="267">
                    <c:v>0</c:v>
                  </c:pt>
                  <c:pt idx="268">
                    <c:v>0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'Fig 1-F,G'!$O$3:$O$272</c:f>
              <c:strCache>
                <c:ptCount val="270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  <c:pt idx="6">
                  <c:v>DAY 7</c:v>
                </c:pt>
                <c:pt idx="7">
                  <c:v>DAY 8</c:v>
                </c:pt>
                <c:pt idx="8">
                  <c:v>DAY 9</c:v>
                </c:pt>
                <c:pt idx="9">
                  <c:v>DAY 10</c:v>
                </c:pt>
                <c:pt idx="10">
                  <c:v>DAY 11</c:v>
                </c:pt>
                <c:pt idx="11">
                  <c:v>DAY 12</c:v>
                </c:pt>
                <c:pt idx="12">
                  <c:v>DAY 13</c:v>
                </c:pt>
                <c:pt idx="13">
                  <c:v>DAY 14</c:v>
                </c:pt>
                <c:pt idx="14">
                  <c:v>DAY 15</c:v>
                </c:pt>
                <c:pt idx="15">
                  <c:v>DAY 16</c:v>
                </c:pt>
                <c:pt idx="16">
                  <c:v>DAY 17</c:v>
                </c:pt>
                <c:pt idx="17">
                  <c:v>DAY 18</c:v>
                </c:pt>
                <c:pt idx="18">
                  <c:v>DAY 19</c:v>
                </c:pt>
                <c:pt idx="19">
                  <c:v>DAY 20</c:v>
                </c:pt>
                <c:pt idx="20">
                  <c:v>DAY 21</c:v>
                </c:pt>
                <c:pt idx="21">
                  <c:v>DAY 22</c:v>
                </c:pt>
                <c:pt idx="22">
                  <c:v>DAY 23</c:v>
                </c:pt>
                <c:pt idx="23">
                  <c:v>DAY 24</c:v>
                </c:pt>
                <c:pt idx="24">
                  <c:v>DAY 25</c:v>
                </c:pt>
                <c:pt idx="25">
                  <c:v>DAY 26</c:v>
                </c:pt>
                <c:pt idx="26">
                  <c:v>DAY 27</c:v>
                </c:pt>
                <c:pt idx="27">
                  <c:v>DAY 28</c:v>
                </c:pt>
                <c:pt idx="28">
                  <c:v>DAY 29</c:v>
                </c:pt>
                <c:pt idx="29">
                  <c:v>DAY 30</c:v>
                </c:pt>
                <c:pt idx="30">
                  <c:v>DAY 31</c:v>
                </c:pt>
                <c:pt idx="31">
                  <c:v>DAY 32</c:v>
                </c:pt>
                <c:pt idx="32">
                  <c:v>DAY 33</c:v>
                </c:pt>
                <c:pt idx="33">
                  <c:v>DAY 34</c:v>
                </c:pt>
                <c:pt idx="34">
                  <c:v>DAY 35</c:v>
                </c:pt>
                <c:pt idx="35">
                  <c:v>DAY 36</c:v>
                </c:pt>
                <c:pt idx="36">
                  <c:v>DAY 37</c:v>
                </c:pt>
                <c:pt idx="37">
                  <c:v>DAY 38</c:v>
                </c:pt>
                <c:pt idx="38">
                  <c:v>DAY 39</c:v>
                </c:pt>
                <c:pt idx="39">
                  <c:v>DAY 40</c:v>
                </c:pt>
                <c:pt idx="40">
                  <c:v>DAY 41</c:v>
                </c:pt>
                <c:pt idx="41">
                  <c:v>DAY 42</c:v>
                </c:pt>
                <c:pt idx="42">
                  <c:v>DAY 43</c:v>
                </c:pt>
                <c:pt idx="43">
                  <c:v>DAY 44</c:v>
                </c:pt>
                <c:pt idx="44">
                  <c:v>DAY 45</c:v>
                </c:pt>
                <c:pt idx="45">
                  <c:v>DAY 46</c:v>
                </c:pt>
                <c:pt idx="46">
                  <c:v>DAY 47</c:v>
                </c:pt>
                <c:pt idx="47">
                  <c:v>DAY 48</c:v>
                </c:pt>
                <c:pt idx="48">
                  <c:v>DAY 49</c:v>
                </c:pt>
                <c:pt idx="49">
                  <c:v>DAY 50</c:v>
                </c:pt>
                <c:pt idx="50">
                  <c:v>DAY 51</c:v>
                </c:pt>
                <c:pt idx="51">
                  <c:v>DAY 52</c:v>
                </c:pt>
                <c:pt idx="52">
                  <c:v>DAY 53</c:v>
                </c:pt>
                <c:pt idx="53">
                  <c:v>DAY 54</c:v>
                </c:pt>
                <c:pt idx="54">
                  <c:v>DAY 55</c:v>
                </c:pt>
                <c:pt idx="55">
                  <c:v>DAY 56</c:v>
                </c:pt>
                <c:pt idx="56">
                  <c:v>DAY 57</c:v>
                </c:pt>
                <c:pt idx="57">
                  <c:v>DAY 58</c:v>
                </c:pt>
                <c:pt idx="58">
                  <c:v>DAY 59</c:v>
                </c:pt>
                <c:pt idx="59">
                  <c:v>DAY 60</c:v>
                </c:pt>
                <c:pt idx="60">
                  <c:v>DAY 61</c:v>
                </c:pt>
                <c:pt idx="61">
                  <c:v>DAY 62</c:v>
                </c:pt>
                <c:pt idx="62">
                  <c:v>DAY 63</c:v>
                </c:pt>
                <c:pt idx="63">
                  <c:v>DAY 64</c:v>
                </c:pt>
                <c:pt idx="64">
                  <c:v>DAY 65</c:v>
                </c:pt>
                <c:pt idx="65">
                  <c:v>DAY 66</c:v>
                </c:pt>
                <c:pt idx="66">
                  <c:v>DAY 67</c:v>
                </c:pt>
                <c:pt idx="67">
                  <c:v>DAY 68</c:v>
                </c:pt>
                <c:pt idx="68">
                  <c:v>DAY 69</c:v>
                </c:pt>
                <c:pt idx="69">
                  <c:v>DAY 70</c:v>
                </c:pt>
                <c:pt idx="70">
                  <c:v>DAY 71</c:v>
                </c:pt>
                <c:pt idx="71">
                  <c:v>DAY 72</c:v>
                </c:pt>
                <c:pt idx="72">
                  <c:v>DAY 73</c:v>
                </c:pt>
                <c:pt idx="73">
                  <c:v>DAY 74</c:v>
                </c:pt>
                <c:pt idx="74">
                  <c:v>DAY 75</c:v>
                </c:pt>
                <c:pt idx="75">
                  <c:v>DAY 76</c:v>
                </c:pt>
                <c:pt idx="76">
                  <c:v>DAY 77</c:v>
                </c:pt>
                <c:pt idx="77">
                  <c:v>DAY 78</c:v>
                </c:pt>
                <c:pt idx="78">
                  <c:v>DAY 79</c:v>
                </c:pt>
                <c:pt idx="79">
                  <c:v>DAY 80</c:v>
                </c:pt>
                <c:pt idx="80">
                  <c:v>DAY 81</c:v>
                </c:pt>
                <c:pt idx="81">
                  <c:v>DAY 82</c:v>
                </c:pt>
                <c:pt idx="82">
                  <c:v>DAY 83</c:v>
                </c:pt>
                <c:pt idx="83">
                  <c:v>DAY 84</c:v>
                </c:pt>
                <c:pt idx="84">
                  <c:v>DAY 85</c:v>
                </c:pt>
                <c:pt idx="85">
                  <c:v>DAY 86</c:v>
                </c:pt>
                <c:pt idx="86">
                  <c:v>DAY 87</c:v>
                </c:pt>
                <c:pt idx="87">
                  <c:v>DAY 88</c:v>
                </c:pt>
                <c:pt idx="88">
                  <c:v>DAY 89</c:v>
                </c:pt>
                <c:pt idx="89">
                  <c:v>DAY 90</c:v>
                </c:pt>
                <c:pt idx="90">
                  <c:v>DAY 91</c:v>
                </c:pt>
                <c:pt idx="91">
                  <c:v>DAY 92</c:v>
                </c:pt>
                <c:pt idx="92">
                  <c:v>DAY 93</c:v>
                </c:pt>
                <c:pt idx="93">
                  <c:v>DAY 94</c:v>
                </c:pt>
                <c:pt idx="94">
                  <c:v>DAY 95</c:v>
                </c:pt>
                <c:pt idx="95">
                  <c:v>DAY 96</c:v>
                </c:pt>
                <c:pt idx="96">
                  <c:v>DAY 97</c:v>
                </c:pt>
                <c:pt idx="97">
                  <c:v>DAY 98</c:v>
                </c:pt>
                <c:pt idx="98">
                  <c:v>DAY 99</c:v>
                </c:pt>
                <c:pt idx="99">
                  <c:v>DAY 100</c:v>
                </c:pt>
                <c:pt idx="100">
                  <c:v>DAY 101</c:v>
                </c:pt>
                <c:pt idx="101">
                  <c:v>DAY 102</c:v>
                </c:pt>
                <c:pt idx="102">
                  <c:v>DAY 103</c:v>
                </c:pt>
                <c:pt idx="103">
                  <c:v>DAY 104</c:v>
                </c:pt>
                <c:pt idx="104">
                  <c:v>DAY 105</c:v>
                </c:pt>
                <c:pt idx="105">
                  <c:v>DAY 106</c:v>
                </c:pt>
                <c:pt idx="106">
                  <c:v>DAY 107</c:v>
                </c:pt>
                <c:pt idx="107">
                  <c:v>DAY 108</c:v>
                </c:pt>
                <c:pt idx="108">
                  <c:v>DAY 109</c:v>
                </c:pt>
                <c:pt idx="109">
                  <c:v>DAY 110</c:v>
                </c:pt>
                <c:pt idx="110">
                  <c:v>DAY 111</c:v>
                </c:pt>
                <c:pt idx="111">
                  <c:v>DAY 112</c:v>
                </c:pt>
                <c:pt idx="112">
                  <c:v>DAY 113</c:v>
                </c:pt>
                <c:pt idx="113">
                  <c:v>DAY 114</c:v>
                </c:pt>
                <c:pt idx="114">
                  <c:v>DAY 115</c:v>
                </c:pt>
                <c:pt idx="115">
                  <c:v>DAY 116</c:v>
                </c:pt>
                <c:pt idx="116">
                  <c:v>DAY 117</c:v>
                </c:pt>
                <c:pt idx="117">
                  <c:v>DAY 118</c:v>
                </c:pt>
                <c:pt idx="118">
                  <c:v>DAY 119</c:v>
                </c:pt>
                <c:pt idx="119">
                  <c:v>DAY 120</c:v>
                </c:pt>
                <c:pt idx="120">
                  <c:v>DAY 121</c:v>
                </c:pt>
                <c:pt idx="121">
                  <c:v>DAY 122</c:v>
                </c:pt>
                <c:pt idx="122">
                  <c:v>DAY 123</c:v>
                </c:pt>
                <c:pt idx="123">
                  <c:v>DAY 124</c:v>
                </c:pt>
                <c:pt idx="124">
                  <c:v>DAY 125</c:v>
                </c:pt>
                <c:pt idx="125">
                  <c:v>DAY 126</c:v>
                </c:pt>
                <c:pt idx="126">
                  <c:v>DAY 127</c:v>
                </c:pt>
                <c:pt idx="127">
                  <c:v>DAY 128</c:v>
                </c:pt>
                <c:pt idx="128">
                  <c:v>DAY 129</c:v>
                </c:pt>
                <c:pt idx="129">
                  <c:v>DAY 130</c:v>
                </c:pt>
                <c:pt idx="130">
                  <c:v>DAY 131</c:v>
                </c:pt>
                <c:pt idx="131">
                  <c:v>DAY 132</c:v>
                </c:pt>
                <c:pt idx="132">
                  <c:v>DAY 133</c:v>
                </c:pt>
                <c:pt idx="133">
                  <c:v>DAY 134</c:v>
                </c:pt>
                <c:pt idx="134">
                  <c:v>DAY 135</c:v>
                </c:pt>
                <c:pt idx="135">
                  <c:v>DAY 136</c:v>
                </c:pt>
                <c:pt idx="136">
                  <c:v>DAY 137</c:v>
                </c:pt>
                <c:pt idx="137">
                  <c:v>DAY 138</c:v>
                </c:pt>
                <c:pt idx="138">
                  <c:v>DAY 139</c:v>
                </c:pt>
                <c:pt idx="139">
                  <c:v>DAY 140</c:v>
                </c:pt>
                <c:pt idx="140">
                  <c:v>DAY 141</c:v>
                </c:pt>
                <c:pt idx="141">
                  <c:v>DAY 142</c:v>
                </c:pt>
                <c:pt idx="142">
                  <c:v>DAY 143</c:v>
                </c:pt>
                <c:pt idx="143">
                  <c:v>DAY 144</c:v>
                </c:pt>
                <c:pt idx="144">
                  <c:v>DAY 145</c:v>
                </c:pt>
                <c:pt idx="145">
                  <c:v>DAY 146</c:v>
                </c:pt>
                <c:pt idx="146">
                  <c:v>DAY 147</c:v>
                </c:pt>
                <c:pt idx="147">
                  <c:v>DAY 148</c:v>
                </c:pt>
                <c:pt idx="148">
                  <c:v>DAY 149</c:v>
                </c:pt>
                <c:pt idx="149">
                  <c:v>DAY 150</c:v>
                </c:pt>
                <c:pt idx="150">
                  <c:v>DAY 151</c:v>
                </c:pt>
                <c:pt idx="151">
                  <c:v>DAY 152</c:v>
                </c:pt>
                <c:pt idx="152">
                  <c:v>DAY 153</c:v>
                </c:pt>
                <c:pt idx="153">
                  <c:v>DAY 154</c:v>
                </c:pt>
                <c:pt idx="154">
                  <c:v>DAY 155</c:v>
                </c:pt>
                <c:pt idx="155">
                  <c:v>DAY 156</c:v>
                </c:pt>
                <c:pt idx="156">
                  <c:v>DAY 157</c:v>
                </c:pt>
                <c:pt idx="157">
                  <c:v>DAY 158</c:v>
                </c:pt>
                <c:pt idx="158">
                  <c:v>DAY 159</c:v>
                </c:pt>
                <c:pt idx="159">
                  <c:v>DAY 160</c:v>
                </c:pt>
                <c:pt idx="160">
                  <c:v>DAY 161</c:v>
                </c:pt>
                <c:pt idx="161">
                  <c:v>DAY 162</c:v>
                </c:pt>
                <c:pt idx="162">
                  <c:v>DAY 163</c:v>
                </c:pt>
                <c:pt idx="163">
                  <c:v>DAY 164</c:v>
                </c:pt>
                <c:pt idx="164">
                  <c:v>DAY 165</c:v>
                </c:pt>
                <c:pt idx="165">
                  <c:v>DAY 166</c:v>
                </c:pt>
                <c:pt idx="166">
                  <c:v>DAY 167</c:v>
                </c:pt>
                <c:pt idx="167">
                  <c:v>DAY 168</c:v>
                </c:pt>
                <c:pt idx="168">
                  <c:v>DAY 169</c:v>
                </c:pt>
                <c:pt idx="169">
                  <c:v>DAY 170</c:v>
                </c:pt>
                <c:pt idx="170">
                  <c:v>DAY 171</c:v>
                </c:pt>
                <c:pt idx="171">
                  <c:v>DAY 172</c:v>
                </c:pt>
                <c:pt idx="172">
                  <c:v>DAY 173</c:v>
                </c:pt>
                <c:pt idx="173">
                  <c:v>DAY 174</c:v>
                </c:pt>
                <c:pt idx="174">
                  <c:v>DAY 175</c:v>
                </c:pt>
                <c:pt idx="175">
                  <c:v>DAY 176</c:v>
                </c:pt>
                <c:pt idx="176">
                  <c:v>DAY 177</c:v>
                </c:pt>
                <c:pt idx="177">
                  <c:v>DAY 178</c:v>
                </c:pt>
                <c:pt idx="178">
                  <c:v>DAY 179</c:v>
                </c:pt>
                <c:pt idx="179">
                  <c:v>DAY 180</c:v>
                </c:pt>
                <c:pt idx="180">
                  <c:v>DAY 181</c:v>
                </c:pt>
                <c:pt idx="181">
                  <c:v>DAY 182</c:v>
                </c:pt>
                <c:pt idx="182">
                  <c:v>DAY 183</c:v>
                </c:pt>
                <c:pt idx="183">
                  <c:v>DAY 184</c:v>
                </c:pt>
                <c:pt idx="184">
                  <c:v>DAY 185</c:v>
                </c:pt>
                <c:pt idx="185">
                  <c:v>DAY 186</c:v>
                </c:pt>
                <c:pt idx="186">
                  <c:v>DAY 187</c:v>
                </c:pt>
                <c:pt idx="187">
                  <c:v>DAY 188</c:v>
                </c:pt>
                <c:pt idx="188">
                  <c:v>DAY 189</c:v>
                </c:pt>
                <c:pt idx="189">
                  <c:v>DAY 190</c:v>
                </c:pt>
                <c:pt idx="190">
                  <c:v>DAY 191</c:v>
                </c:pt>
                <c:pt idx="191">
                  <c:v>DAY 192</c:v>
                </c:pt>
                <c:pt idx="192">
                  <c:v>DAY 193</c:v>
                </c:pt>
                <c:pt idx="193">
                  <c:v>DAY 194</c:v>
                </c:pt>
                <c:pt idx="194">
                  <c:v>DAY 195</c:v>
                </c:pt>
                <c:pt idx="195">
                  <c:v>DAY 196</c:v>
                </c:pt>
                <c:pt idx="196">
                  <c:v>DAY 197</c:v>
                </c:pt>
                <c:pt idx="197">
                  <c:v>DAY 198</c:v>
                </c:pt>
                <c:pt idx="198">
                  <c:v>DAY 199</c:v>
                </c:pt>
                <c:pt idx="199">
                  <c:v>DAY 200</c:v>
                </c:pt>
                <c:pt idx="200">
                  <c:v>DAY 201</c:v>
                </c:pt>
                <c:pt idx="201">
                  <c:v>DAY 202</c:v>
                </c:pt>
                <c:pt idx="202">
                  <c:v>DAY 203</c:v>
                </c:pt>
                <c:pt idx="203">
                  <c:v>DAY 204</c:v>
                </c:pt>
                <c:pt idx="204">
                  <c:v>DAY 205</c:v>
                </c:pt>
                <c:pt idx="205">
                  <c:v>DAY 206</c:v>
                </c:pt>
                <c:pt idx="206">
                  <c:v>DAY 207</c:v>
                </c:pt>
                <c:pt idx="207">
                  <c:v>DAY 208</c:v>
                </c:pt>
                <c:pt idx="208">
                  <c:v>DAY 209</c:v>
                </c:pt>
                <c:pt idx="209">
                  <c:v>DAY 210</c:v>
                </c:pt>
                <c:pt idx="210">
                  <c:v>DAY 211</c:v>
                </c:pt>
                <c:pt idx="211">
                  <c:v>DAY 212</c:v>
                </c:pt>
                <c:pt idx="212">
                  <c:v>DAY 213</c:v>
                </c:pt>
                <c:pt idx="213">
                  <c:v>DAY 214</c:v>
                </c:pt>
                <c:pt idx="214">
                  <c:v>DAY 215</c:v>
                </c:pt>
                <c:pt idx="215">
                  <c:v>DAY 216</c:v>
                </c:pt>
                <c:pt idx="216">
                  <c:v>DAY 217</c:v>
                </c:pt>
                <c:pt idx="217">
                  <c:v>DAY 218</c:v>
                </c:pt>
                <c:pt idx="218">
                  <c:v>DAY 219</c:v>
                </c:pt>
                <c:pt idx="219">
                  <c:v>DAY 220</c:v>
                </c:pt>
                <c:pt idx="220">
                  <c:v>DAY 221</c:v>
                </c:pt>
                <c:pt idx="221">
                  <c:v>DAY 222</c:v>
                </c:pt>
                <c:pt idx="222">
                  <c:v>DAY 223</c:v>
                </c:pt>
                <c:pt idx="223">
                  <c:v>DAY 224</c:v>
                </c:pt>
                <c:pt idx="224">
                  <c:v>DAY 225</c:v>
                </c:pt>
                <c:pt idx="225">
                  <c:v>DAY 226</c:v>
                </c:pt>
                <c:pt idx="226">
                  <c:v>DAY 227</c:v>
                </c:pt>
                <c:pt idx="227">
                  <c:v>DAY 228</c:v>
                </c:pt>
                <c:pt idx="228">
                  <c:v>DAY 229</c:v>
                </c:pt>
                <c:pt idx="229">
                  <c:v>DAY 230</c:v>
                </c:pt>
                <c:pt idx="230">
                  <c:v>DAY 231</c:v>
                </c:pt>
                <c:pt idx="231">
                  <c:v>DAY 232</c:v>
                </c:pt>
                <c:pt idx="232">
                  <c:v>DAY 233</c:v>
                </c:pt>
                <c:pt idx="233">
                  <c:v>DAY 234</c:v>
                </c:pt>
                <c:pt idx="234">
                  <c:v>DAY 235</c:v>
                </c:pt>
                <c:pt idx="235">
                  <c:v>DAY 236</c:v>
                </c:pt>
                <c:pt idx="236">
                  <c:v>DAY 237</c:v>
                </c:pt>
                <c:pt idx="237">
                  <c:v>DAY 238</c:v>
                </c:pt>
                <c:pt idx="238">
                  <c:v>DAY 239</c:v>
                </c:pt>
                <c:pt idx="239">
                  <c:v>DAY 240</c:v>
                </c:pt>
                <c:pt idx="240">
                  <c:v>DAY 241</c:v>
                </c:pt>
                <c:pt idx="241">
                  <c:v>DAY 242</c:v>
                </c:pt>
                <c:pt idx="242">
                  <c:v>DAY 243</c:v>
                </c:pt>
                <c:pt idx="243">
                  <c:v>DAY 244</c:v>
                </c:pt>
                <c:pt idx="244">
                  <c:v>DAY 245</c:v>
                </c:pt>
                <c:pt idx="245">
                  <c:v>DAY 246</c:v>
                </c:pt>
                <c:pt idx="246">
                  <c:v>DAY 247</c:v>
                </c:pt>
                <c:pt idx="247">
                  <c:v>DAY 248</c:v>
                </c:pt>
                <c:pt idx="248">
                  <c:v>DAY 249</c:v>
                </c:pt>
                <c:pt idx="249">
                  <c:v>DAY 250</c:v>
                </c:pt>
                <c:pt idx="250">
                  <c:v>DAY 251</c:v>
                </c:pt>
                <c:pt idx="251">
                  <c:v>DAY 252</c:v>
                </c:pt>
                <c:pt idx="252">
                  <c:v>DAY 253</c:v>
                </c:pt>
                <c:pt idx="253">
                  <c:v>DAY 254</c:v>
                </c:pt>
                <c:pt idx="254">
                  <c:v>DAY 255</c:v>
                </c:pt>
                <c:pt idx="255">
                  <c:v>DAY 256</c:v>
                </c:pt>
                <c:pt idx="256">
                  <c:v>DAY 257</c:v>
                </c:pt>
                <c:pt idx="257">
                  <c:v>DAY 258</c:v>
                </c:pt>
                <c:pt idx="258">
                  <c:v>DAY 259</c:v>
                </c:pt>
                <c:pt idx="259">
                  <c:v>DAY 260</c:v>
                </c:pt>
                <c:pt idx="260">
                  <c:v>DAY 261</c:v>
                </c:pt>
                <c:pt idx="261">
                  <c:v>DAY 262</c:v>
                </c:pt>
                <c:pt idx="262">
                  <c:v>DAY 263</c:v>
                </c:pt>
                <c:pt idx="263">
                  <c:v>DAY 264</c:v>
                </c:pt>
                <c:pt idx="264">
                  <c:v>DAY 265</c:v>
                </c:pt>
                <c:pt idx="265">
                  <c:v>DAY 266</c:v>
                </c:pt>
                <c:pt idx="266">
                  <c:v>DAY 267</c:v>
                </c:pt>
                <c:pt idx="267">
                  <c:v>DAY 268</c:v>
                </c:pt>
                <c:pt idx="268">
                  <c:v>DAY 269</c:v>
                </c:pt>
                <c:pt idx="269">
                  <c:v>DAY 270</c:v>
                </c:pt>
              </c:strCache>
            </c:strRef>
          </c:xVal>
          <c:yVal>
            <c:numRef>
              <c:f>'Fig 1-F,G'!$Q$3:$Q$272</c:f>
              <c:numCache>
                <c:formatCode>0.0_);[Red]\(0.0\)</c:formatCode>
                <c:ptCount val="27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2.5</c:v>
                </c:pt>
                <c:pt idx="32">
                  <c:v>3.6666666666666665</c:v>
                </c:pt>
                <c:pt idx="33">
                  <c:v>3.6666666666666665</c:v>
                </c:pt>
                <c:pt idx="34">
                  <c:v>5.333333333333333</c:v>
                </c:pt>
                <c:pt idx="35">
                  <c:v>5.333333333333333</c:v>
                </c:pt>
                <c:pt idx="36">
                  <c:v>5.333333333333333</c:v>
                </c:pt>
                <c:pt idx="37">
                  <c:v>5.333333333333333</c:v>
                </c:pt>
                <c:pt idx="38">
                  <c:v>5.333333333333333</c:v>
                </c:pt>
                <c:pt idx="39">
                  <c:v>5.333333333333333</c:v>
                </c:pt>
                <c:pt idx="40">
                  <c:v>5.333333333333333</c:v>
                </c:pt>
                <c:pt idx="41">
                  <c:v>5.333333333333333</c:v>
                </c:pt>
                <c:pt idx="42">
                  <c:v>5.333333333333333</c:v>
                </c:pt>
                <c:pt idx="43">
                  <c:v>5.333333333333333</c:v>
                </c:pt>
                <c:pt idx="44">
                  <c:v>5.333333333333333</c:v>
                </c:pt>
                <c:pt idx="45">
                  <c:v>5.333333333333333</c:v>
                </c:pt>
                <c:pt idx="46">
                  <c:v>6.5</c:v>
                </c:pt>
                <c:pt idx="47">
                  <c:v>6.5</c:v>
                </c:pt>
                <c:pt idx="48">
                  <c:v>6.5</c:v>
                </c:pt>
                <c:pt idx="49">
                  <c:v>6.5</c:v>
                </c:pt>
                <c:pt idx="50">
                  <c:v>7.833333333333333</c:v>
                </c:pt>
                <c:pt idx="51">
                  <c:v>7.833333333333333</c:v>
                </c:pt>
                <c:pt idx="52">
                  <c:v>8.6666666666666661</c:v>
                </c:pt>
                <c:pt idx="53">
                  <c:v>8.6666666666666661</c:v>
                </c:pt>
                <c:pt idx="54">
                  <c:v>8.6666666666666661</c:v>
                </c:pt>
                <c:pt idx="55">
                  <c:v>8.6666666666666661</c:v>
                </c:pt>
                <c:pt idx="56">
                  <c:v>8.6666666666666661</c:v>
                </c:pt>
                <c:pt idx="57">
                  <c:v>8.8333333333333339</c:v>
                </c:pt>
                <c:pt idx="58">
                  <c:v>8.8333333333333339</c:v>
                </c:pt>
                <c:pt idx="59">
                  <c:v>8.8333333333333339</c:v>
                </c:pt>
                <c:pt idx="60">
                  <c:v>8.8333333333333339</c:v>
                </c:pt>
                <c:pt idx="61">
                  <c:v>8.8333333333333339</c:v>
                </c:pt>
                <c:pt idx="62">
                  <c:v>8.8333333333333339</c:v>
                </c:pt>
                <c:pt idx="63">
                  <c:v>8.8333333333333339</c:v>
                </c:pt>
                <c:pt idx="64">
                  <c:v>8.8333333333333339</c:v>
                </c:pt>
                <c:pt idx="65">
                  <c:v>8.8333333333333339</c:v>
                </c:pt>
                <c:pt idx="66">
                  <c:v>8.8333333333333339</c:v>
                </c:pt>
                <c:pt idx="67">
                  <c:v>8.8333333333333339</c:v>
                </c:pt>
                <c:pt idx="68">
                  <c:v>8.8333333333333339</c:v>
                </c:pt>
                <c:pt idx="69">
                  <c:v>8.8333333333333339</c:v>
                </c:pt>
                <c:pt idx="70">
                  <c:v>8.8333333333333339</c:v>
                </c:pt>
                <c:pt idx="71">
                  <c:v>8.8333333333333339</c:v>
                </c:pt>
                <c:pt idx="72">
                  <c:v>8.8333333333333339</c:v>
                </c:pt>
                <c:pt idx="73">
                  <c:v>9.6666666666666661</c:v>
                </c:pt>
                <c:pt idx="74">
                  <c:v>9.6666666666666661</c:v>
                </c:pt>
                <c:pt idx="75">
                  <c:v>9.6666666666666661</c:v>
                </c:pt>
                <c:pt idx="76">
                  <c:v>10</c:v>
                </c:pt>
                <c:pt idx="77">
                  <c:v>11</c:v>
                </c:pt>
                <c:pt idx="78">
                  <c:v>11</c:v>
                </c:pt>
                <c:pt idx="79">
                  <c:v>11</c:v>
                </c:pt>
                <c:pt idx="80">
                  <c:v>11</c:v>
                </c:pt>
                <c:pt idx="81">
                  <c:v>11</c:v>
                </c:pt>
                <c:pt idx="82">
                  <c:v>11</c:v>
                </c:pt>
                <c:pt idx="83">
                  <c:v>11</c:v>
                </c:pt>
                <c:pt idx="84">
                  <c:v>11</c:v>
                </c:pt>
                <c:pt idx="85">
                  <c:v>11</c:v>
                </c:pt>
                <c:pt idx="86">
                  <c:v>11</c:v>
                </c:pt>
                <c:pt idx="87">
                  <c:v>11</c:v>
                </c:pt>
                <c:pt idx="88">
                  <c:v>11</c:v>
                </c:pt>
                <c:pt idx="89">
                  <c:v>12.166666666666666</c:v>
                </c:pt>
                <c:pt idx="90">
                  <c:v>12.166666666666666</c:v>
                </c:pt>
                <c:pt idx="91">
                  <c:v>12.166666666666666</c:v>
                </c:pt>
                <c:pt idx="92">
                  <c:v>12.166666666666666</c:v>
                </c:pt>
                <c:pt idx="93">
                  <c:v>12.166666666666666</c:v>
                </c:pt>
                <c:pt idx="94">
                  <c:v>12.166666666666666</c:v>
                </c:pt>
                <c:pt idx="95">
                  <c:v>12.166666666666666</c:v>
                </c:pt>
                <c:pt idx="96">
                  <c:v>12.166666666666666</c:v>
                </c:pt>
                <c:pt idx="97">
                  <c:v>12.166666666666666</c:v>
                </c:pt>
                <c:pt idx="98">
                  <c:v>12.166666666666666</c:v>
                </c:pt>
                <c:pt idx="99">
                  <c:v>12.166666666666666</c:v>
                </c:pt>
                <c:pt idx="100">
                  <c:v>13.333333333333334</c:v>
                </c:pt>
                <c:pt idx="101">
                  <c:v>14</c:v>
                </c:pt>
                <c:pt idx="102">
                  <c:v>14</c:v>
                </c:pt>
                <c:pt idx="103">
                  <c:v>14</c:v>
                </c:pt>
                <c:pt idx="104">
                  <c:v>14</c:v>
                </c:pt>
                <c:pt idx="105">
                  <c:v>14.666666666666666</c:v>
                </c:pt>
                <c:pt idx="106">
                  <c:v>14.666666666666666</c:v>
                </c:pt>
                <c:pt idx="107">
                  <c:v>14.666666666666666</c:v>
                </c:pt>
                <c:pt idx="108">
                  <c:v>14.666666666666666</c:v>
                </c:pt>
                <c:pt idx="109">
                  <c:v>14.666666666666666</c:v>
                </c:pt>
                <c:pt idx="110">
                  <c:v>14.666666666666666</c:v>
                </c:pt>
                <c:pt idx="111">
                  <c:v>14.666666666666666</c:v>
                </c:pt>
                <c:pt idx="112">
                  <c:v>14.666666666666666</c:v>
                </c:pt>
                <c:pt idx="113">
                  <c:v>14.666666666666666</c:v>
                </c:pt>
                <c:pt idx="114">
                  <c:v>15</c:v>
                </c:pt>
                <c:pt idx="115">
                  <c:v>15</c:v>
                </c:pt>
                <c:pt idx="116">
                  <c:v>15</c:v>
                </c:pt>
                <c:pt idx="117">
                  <c:v>15</c:v>
                </c:pt>
                <c:pt idx="118">
                  <c:v>15</c:v>
                </c:pt>
                <c:pt idx="119">
                  <c:v>15</c:v>
                </c:pt>
                <c:pt idx="120">
                  <c:v>15</c:v>
                </c:pt>
                <c:pt idx="121">
                  <c:v>15</c:v>
                </c:pt>
                <c:pt idx="122">
                  <c:v>15</c:v>
                </c:pt>
                <c:pt idx="123">
                  <c:v>15</c:v>
                </c:pt>
                <c:pt idx="124">
                  <c:v>15</c:v>
                </c:pt>
                <c:pt idx="125">
                  <c:v>15</c:v>
                </c:pt>
                <c:pt idx="126">
                  <c:v>16</c:v>
                </c:pt>
                <c:pt idx="127">
                  <c:v>16</c:v>
                </c:pt>
                <c:pt idx="128">
                  <c:v>16</c:v>
                </c:pt>
                <c:pt idx="129">
                  <c:v>16</c:v>
                </c:pt>
                <c:pt idx="130">
                  <c:v>16</c:v>
                </c:pt>
                <c:pt idx="131">
                  <c:v>16</c:v>
                </c:pt>
                <c:pt idx="132">
                  <c:v>17</c:v>
                </c:pt>
                <c:pt idx="133">
                  <c:v>17</c:v>
                </c:pt>
                <c:pt idx="134">
                  <c:v>17</c:v>
                </c:pt>
                <c:pt idx="135">
                  <c:v>17</c:v>
                </c:pt>
                <c:pt idx="136">
                  <c:v>17</c:v>
                </c:pt>
                <c:pt idx="137">
                  <c:v>17</c:v>
                </c:pt>
                <c:pt idx="138">
                  <c:v>17</c:v>
                </c:pt>
                <c:pt idx="139">
                  <c:v>17</c:v>
                </c:pt>
                <c:pt idx="140">
                  <c:v>17</c:v>
                </c:pt>
                <c:pt idx="141">
                  <c:v>17</c:v>
                </c:pt>
                <c:pt idx="142">
                  <c:v>17</c:v>
                </c:pt>
                <c:pt idx="143">
                  <c:v>18.166666666666668</c:v>
                </c:pt>
                <c:pt idx="144">
                  <c:v>18.166666666666668</c:v>
                </c:pt>
                <c:pt idx="145">
                  <c:v>18.166666666666668</c:v>
                </c:pt>
                <c:pt idx="146">
                  <c:v>19.5</c:v>
                </c:pt>
                <c:pt idx="147">
                  <c:v>19.5</c:v>
                </c:pt>
                <c:pt idx="148">
                  <c:v>19.5</c:v>
                </c:pt>
                <c:pt idx="149">
                  <c:v>19.5</c:v>
                </c:pt>
                <c:pt idx="150">
                  <c:v>19.5</c:v>
                </c:pt>
                <c:pt idx="151">
                  <c:v>19.5</c:v>
                </c:pt>
                <c:pt idx="152">
                  <c:v>20.166666666666668</c:v>
                </c:pt>
                <c:pt idx="153">
                  <c:v>20.166666666666668</c:v>
                </c:pt>
                <c:pt idx="154">
                  <c:v>20.166666666666668</c:v>
                </c:pt>
                <c:pt idx="155">
                  <c:v>20.166666666666668</c:v>
                </c:pt>
                <c:pt idx="156">
                  <c:v>21</c:v>
                </c:pt>
                <c:pt idx="157">
                  <c:v>21</c:v>
                </c:pt>
                <c:pt idx="158">
                  <c:v>21.5</c:v>
                </c:pt>
                <c:pt idx="159">
                  <c:v>21.5</c:v>
                </c:pt>
                <c:pt idx="160">
                  <c:v>21.5</c:v>
                </c:pt>
                <c:pt idx="161">
                  <c:v>21.5</c:v>
                </c:pt>
                <c:pt idx="162">
                  <c:v>21.5</c:v>
                </c:pt>
                <c:pt idx="163">
                  <c:v>21.5</c:v>
                </c:pt>
                <c:pt idx="164">
                  <c:v>21.5</c:v>
                </c:pt>
                <c:pt idx="165">
                  <c:v>21.5</c:v>
                </c:pt>
                <c:pt idx="166">
                  <c:v>21.5</c:v>
                </c:pt>
                <c:pt idx="167">
                  <c:v>21.5</c:v>
                </c:pt>
                <c:pt idx="168">
                  <c:v>21.5</c:v>
                </c:pt>
                <c:pt idx="169">
                  <c:v>21.833333333333332</c:v>
                </c:pt>
                <c:pt idx="170">
                  <c:v>22.833333333333332</c:v>
                </c:pt>
                <c:pt idx="171">
                  <c:v>22.833333333333332</c:v>
                </c:pt>
                <c:pt idx="172">
                  <c:v>22.833333333333332</c:v>
                </c:pt>
                <c:pt idx="173">
                  <c:v>22.833333333333332</c:v>
                </c:pt>
                <c:pt idx="174">
                  <c:v>22.833333333333332</c:v>
                </c:pt>
                <c:pt idx="175">
                  <c:v>22.833333333333332</c:v>
                </c:pt>
                <c:pt idx="176">
                  <c:v>22.833333333333332</c:v>
                </c:pt>
                <c:pt idx="177">
                  <c:v>22.833333333333332</c:v>
                </c:pt>
                <c:pt idx="178">
                  <c:v>22.833333333333332</c:v>
                </c:pt>
                <c:pt idx="179">
                  <c:v>24</c:v>
                </c:pt>
                <c:pt idx="180">
                  <c:v>24</c:v>
                </c:pt>
                <c:pt idx="181">
                  <c:v>24</c:v>
                </c:pt>
                <c:pt idx="182">
                  <c:v>25.333333333333332</c:v>
                </c:pt>
                <c:pt idx="183">
                  <c:v>25.333333333333332</c:v>
                </c:pt>
                <c:pt idx="184">
                  <c:v>25.333333333333332</c:v>
                </c:pt>
                <c:pt idx="185">
                  <c:v>25.333333333333332</c:v>
                </c:pt>
                <c:pt idx="186">
                  <c:v>25.333333333333332</c:v>
                </c:pt>
                <c:pt idx="187">
                  <c:v>25.333333333333332</c:v>
                </c:pt>
                <c:pt idx="188">
                  <c:v>25.333333333333332</c:v>
                </c:pt>
                <c:pt idx="189">
                  <c:v>25.333333333333332</c:v>
                </c:pt>
                <c:pt idx="190">
                  <c:v>25.333333333333332</c:v>
                </c:pt>
                <c:pt idx="191">
                  <c:v>26.333333333333332</c:v>
                </c:pt>
                <c:pt idx="192">
                  <c:v>26.333333333333332</c:v>
                </c:pt>
                <c:pt idx="193">
                  <c:v>26.333333333333332</c:v>
                </c:pt>
                <c:pt idx="194">
                  <c:v>26.333333333333332</c:v>
                </c:pt>
                <c:pt idx="195">
                  <c:v>26.333333333333332</c:v>
                </c:pt>
                <c:pt idx="196">
                  <c:v>26.333333333333332</c:v>
                </c:pt>
                <c:pt idx="197">
                  <c:v>26.666666666666668</c:v>
                </c:pt>
                <c:pt idx="198">
                  <c:v>26.666666666666668</c:v>
                </c:pt>
                <c:pt idx="199">
                  <c:v>26.666666666666668</c:v>
                </c:pt>
                <c:pt idx="200">
                  <c:v>26.666666666666668</c:v>
                </c:pt>
                <c:pt idx="201">
                  <c:v>26.666666666666668</c:v>
                </c:pt>
                <c:pt idx="202">
                  <c:v>26.666666666666668</c:v>
                </c:pt>
                <c:pt idx="203">
                  <c:v>26.666666666666668</c:v>
                </c:pt>
                <c:pt idx="204">
                  <c:v>27.333333333333332</c:v>
                </c:pt>
                <c:pt idx="205">
                  <c:v>28</c:v>
                </c:pt>
                <c:pt idx="206">
                  <c:v>28.5</c:v>
                </c:pt>
                <c:pt idx="207">
                  <c:v>28.5</c:v>
                </c:pt>
                <c:pt idx="208">
                  <c:v>28.5</c:v>
                </c:pt>
                <c:pt idx="209">
                  <c:v>28.5</c:v>
                </c:pt>
                <c:pt idx="210">
                  <c:v>28.833333333333332</c:v>
                </c:pt>
                <c:pt idx="211">
                  <c:v>28.833333333333332</c:v>
                </c:pt>
                <c:pt idx="212">
                  <c:v>28.833333333333332</c:v>
                </c:pt>
                <c:pt idx="213">
                  <c:v>28.833333333333332</c:v>
                </c:pt>
                <c:pt idx="214">
                  <c:v>28.833333333333332</c:v>
                </c:pt>
                <c:pt idx="215">
                  <c:v>28.833333333333332</c:v>
                </c:pt>
                <c:pt idx="216">
                  <c:v>28.833333333333332</c:v>
                </c:pt>
                <c:pt idx="217">
                  <c:v>29.5</c:v>
                </c:pt>
                <c:pt idx="218">
                  <c:v>29.5</c:v>
                </c:pt>
                <c:pt idx="219">
                  <c:v>29.5</c:v>
                </c:pt>
                <c:pt idx="220">
                  <c:v>29.5</c:v>
                </c:pt>
                <c:pt idx="221">
                  <c:v>29.5</c:v>
                </c:pt>
                <c:pt idx="222">
                  <c:v>29.5</c:v>
                </c:pt>
                <c:pt idx="223">
                  <c:v>29.5</c:v>
                </c:pt>
                <c:pt idx="224">
                  <c:v>29.5</c:v>
                </c:pt>
                <c:pt idx="225">
                  <c:v>29.5</c:v>
                </c:pt>
                <c:pt idx="226">
                  <c:v>29.5</c:v>
                </c:pt>
                <c:pt idx="227">
                  <c:v>29.5</c:v>
                </c:pt>
                <c:pt idx="228">
                  <c:v>29.5</c:v>
                </c:pt>
                <c:pt idx="229">
                  <c:v>29.5</c:v>
                </c:pt>
                <c:pt idx="230">
                  <c:v>30</c:v>
                </c:pt>
                <c:pt idx="231">
                  <c:v>30.666666666666668</c:v>
                </c:pt>
                <c:pt idx="232">
                  <c:v>31</c:v>
                </c:pt>
                <c:pt idx="233">
                  <c:v>31</c:v>
                </c:pt>
                <c:pt idx="234">
                  <c:v>31</c:v>
                </c:pt>
                <c:pt idx="235">
                  <c:v>31</c:v>
                </c:pt>
                <c:pt idx="236">
                  <c:v>31</c:v>
                </c:pt>
                <c:pt idx="237">
                  <c:v>31</c:v>
                </c:pt>
                <c:pt idx="238">
                  <c:v>31</c:v>
                </c:pt>
                <c:pt idx="239">
                  <c:v>31</c:v>
                </c:pt>
                <c:pt idx="240">
                  <c:v>31</c:v>
                </c:pt>
                <c:pt idx="241">
                  <c:v>31</c:v>
                </c:pt>
                <c:pt idx="242">
                  <c:v>31</c:v>
                </c:pt>
                <c:pt idx="243">
                  <c:v>31</c:v>
                </c:pt>
                <c:pt idx="244">
                  <c:v>31</c:v>
                </c:pt>
                <c:pt idx="245">
                  <c:v>31</c:v>
                </c:pt>
                <c:pt idx="246">
                  <c:v>31</c:v>
                </c:pt>
                <c:pt idx="247">
                  <c:v>31</c:v>
                </c:pt>
                <c:pt idx="248">
                  <c:v>31</c:v>
                </c:pt>
                <c:pt idx="249">
                  <c:v>31</c:v>
                </c:pt>
                <c:pt idx="250">
                  <c:v>31</c:v>
                </c:pt>
                <c:pt idx="251">
                  <c:v>31</c:v>
                </c:pt>
                <c:pt idx="252">
                  <c:v>31</c:v>
                </c:pt>
                <c:pt idx="253">
                  <c:v>31</c:v>
                </c:pt>
                <c:pt idx="254">
                  <c:v>31.166666666666668</c:v>
                </c:pt>
                <c:pt idx="255">
                  <c:v>31.166666666666668</c:v>
                </c:pt>
                <c:pt idx="256">
                  <c:v>31.166666666666668</c:v>
                </c:pt>
                <c:pt idx="257">
                  <c:v>31.5</c:v>
                </c:pt>
                <c:pt idx="258">
                  <c:v>32</c:v>
                </c:pt>
                <c:pt idx="259">
                  <c:v>32</c:v>
                </c:pt>
                <c:pt idx="260">
                  <c:v>32</c:v>
                </c:pt>
                <c:pt idx="261">
                  <c:v>32</c:v>
                </c:pt>
                <c:pt idx="262">
                  <c:v>33</c:v>
                </c:pt>
                <c:pt idx="263">
                  <c:v>33</c:v>
                </c:pt>
                <c:pt idx="264">
                  <c:v>33</c:v>
                </c:pt>
                <c:pt idx="265">
                  <c:v>33</c:v>
                </c:pt>
                <c:pt idx="266">
                  <c:v>33</c:v>
                </c:pt>
                <c:pt idx="267">
                  <c:v>33</c:v>
                </c:pt>
                <c:pt idx="268">
                  <c:v>33</c:v>
                </c:pt>
                <c:pt idx="269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9F-46B0-8362-9C21721AA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2935792"/>
        <c:axId val="1452932880"/>
      </c:scatterChart>
      <c:valAx>
        <c:axId val="14529357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2932880"/>
        <c:crossesAt val="0"/>
        <c:crossBetween val="midCat"/>
      </c:valAx>
      <c:valAx>
        <c:axId val="1452932880"/>
        <c:scaling>
          <c:orientation val="minMax"/>
          <c:max val="6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29357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500742</xdr:colOff>
      <xdr:row>2</xdr:row>
      <xdr:rowOff>165461</xdr:rowOff>
    </xdr:from>
    <xdr:to>
      <xdr:col>46</xdr:col>
      <xdr:colOff>228599</xdr:colOff>
      <xdr:row>32</xdr:row>
      <xdr:rowOff>146956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B58B065F-C8A3-43FE-B989-48BACDC3F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525780</xdr:colOff>
      <xdr:row>33</xdr:row>
      <xdr:rowOff>205740</xdr:rowOff>
    </xdr:from>
    <xdr:to>
      <xdr:col>46</xdr:col>
      <xdr:colOff>253637</xdr:colOff>
      <xdr:row>63</xdr:row>
      <xdr:rowOff>187235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72E7ABBA-36DB-4629-AA87-CE8025090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6DFC2-7A62-4911-B393-8ACCBF254D04}">
  <dimension ref="A1:O30"/>
  <sheetViews>
    <sheetView topLeftCell="D1" workbookViewId="0">
      <selection activeCell="I34" sqref="I34"/>
    </sheetView>
  </sheetViews>
  <sheetFormatPr defaultRowHeight="13.8" x14ac:dyDescent="0.25"/>
  <cols>
    <col min="1" max="13" width="8.88671875" style="51"/>
    <col min="14" max="14" width="36.21875" style="51" customWidth="1"/>
    <col min="15" max="16384" width="8.88671875" style="51"/>
  </cols>
  <sheetData>
    <row r="1" spans="1:15" x14ac:dyDescent="0.25">
      <c r="A1" s="49" t="s">
        <v>414</v>
      </c>
    </row>
    <row r="2" spans="1:15" x14ac:dyDescent="0.25">
      <c r="B2" s="51" t="s">
        <v>399</v>
      </c>
      <c r="C2" s="51" t="s">
        <v>400</v>
      </c>
      <c r="D2" s="51" t="s">
        <v>401</v>
      </c>
      <c r="E2" s="51" t="s">
        <v>402</v>
      </c>
      <c r="F2" s="51" t="s">
        <v>403</v>
      </c>
      <c r="H2" s="51" t="s">
        <v>415</v>
      </c>
      <c r="I2" s="149" t="s">
        <v>450</v>
      </c>
      <c r="J2" s="149"/>
      <c r="N2" s="53" t="s">
        <v>451</v>
      </c>
      <c r="O2" s="52"/>
    </row>
    <row r="3" spans="1:15" x14ac:dyDescent="0.25">
      <c r="A3" s="149" t="s">
        <v>404</v>
      </c>
      <c r="B3" s="51" t="s">
        <v>405</v>
      </c>
      <c r="C3" s="51">
        <v>0.72</v>
      </c>
      <c r="D3" s="51">
        <v>150.72999999999999</v>
      </c>
      <c r="E3" s="51">
        <v>108.08</v>
      </c>
      <c r="F3" s="51">
        <v>38910395</v>
      </c>
      <c r="G3" s="51" t="s">
        <v>405</v>
      </c>
      <c r="H3" s="51">
        <f>E3/E9</f>
        <v>0.69580892293826047</v>
      </c>
      <c r="I3" s="51">
        <f>AVERAGE(H3,H5,H7)</f>
        <v>0.69864820229983371</v>
      </c>
      <c r="J3" s="51">
        <f>H3/$I$3</f>
        <v>0.99593603854954926</v>
      </c>
      <c r="N3" s="53"/>
      <c r="O3" s="52"/>
    </row>
    <row r="4" spans="1:15" x14ac:dyDescent="0.25">
      <c r="A4" s="149"/>
      <c r="B4" s="51" t="s">
        <v>406</v>
      </c>
      <c r="C4" s="51">
        <v>0.35</v>
      </c>
      <c r="D4" s="51">
        <v>26.75</v>
      </c>
      <c r="E4" s="51">
        <v>9.4499999999999993</v>
      </c>
      <c r="F4" s="51">
        <v>3403182</v>
      </c>
      <c r="G4" s="51" t="s">
        <v>406</v>
      </c>
      <c r="H4" s="51">
        <f t="shared" ref="H4:H8" si="0">E4/E10</f>
        <v>8.2503928758512299E-2</v>
      </c>
      <c r="J4" s="51">
        <f t="shared" ref="J4:J8" si="1">H4/$I$3</f>
        <v>0.11809080519626772</v>
      </c>
      <c r="N4" s="53" t="s">
        <v>419</v>
      </c>
      <c r="O4" s="52" t="s">
        <v>420</v>
      </c>
    </row>
    <row r="5" spans="1:15" x14ac:dyDescent="0.25">
      <c r="A5" s="149"/>
      <c r="B5" s="51" t="s">
        <v>407</v>
      </c>
      <c r="C5" s="51">
        <v>0.76</v>
      </c>
      <c r="D5" s="51">
        <v>108.49</v>
      </c>
      <c r="E5" s="51">
        <v>82.28</v>
      </c>
      <c r="F5" s="51">
        <v>29619749</v>
      </c>
      <c r="G5" s="51" t="s">
        <v>407</v>
      </c>
      <c r="H5" s="51">
        <f t="shared" si="0"/>
        <v>0.79436184591620007</v>
      </c>
      <c r="J5" s="51">
        <f t="shared" si="1"/>
        <v>1.1369983395094885</v>
      </c>
      <c r="N5" s="53" t="s">
        <v>421</v>
      </c>
      <c r="O5" s="52" t="s">
        <v>421</v>
      </c>
    </row>
    <row r="6" spans="1:15" x14ac:dyDescent="0.25">
      <c r="A6" s="149"/>
      <c r="B6" s="51" t="s">
        <v>408</v>
      </c>
      <c r="C6" s="51">
        <v>0.38</v>
      </c>
      <c r="D6" s="51">
        <v>44.68</v>
      </c>
      <c r="E6" s="51">
        <v>16.829999999999998</v>
      </c>
      <c r="F6" s="51">
        <v>6059547</v>
      </c>
      <c r="G6" s="51" t="s">
        <v>408</v>
      </c>
      <c r="H6" s="51">
        <f t="shared" si="0"/>
        <v>0.22994944664571662</v>
      </c>
      <c r="J6" s="51">
        <f t="shared" si="1"/>
        <v>0.32913481475907513</v>
      </c>
      <c r="N6" s="53" t="s">
        <v>422</v>
      </c>
      <c r="O6" s="52" t="s">
        <v>423</v>
      </c>
    </row>
    <row r="7" spans="1:15" x14ac:dyDescent="0.25">
      <c r="A7" s="149"/>
      <c r="B7" s="51" t="s">
        <v>409</v>
      </c>
      <c r="C7" s="51">
        <v>0.98</v>
      </c>
      <c r="D7" s="51">
        <v>103.39</v>
      </c>
      <c r="E7" s="51">
        <v>101.14</v>
      </c>
      <c r="F7" s="51">
        <v>36410995</v>
      </c>
      <c r="G7" s="51" t="s">
        <v>409</v>
      </c>
      <c r="H7" s="51">
        <f t="shared" si="0"/>
        <v>0.6057738380450407</v>
      </c>
      <c r="J7" s="51">
        <f t="shared" si="1"/>
        <v>0.86706562194096248</v>
      </c>
      <c r="N7" s="53"/>
      <c r="O7" s="52"/>
    </row>
    <row r="8" spans="1:15" x14ac:dyDescent="0.25">
      <c r="A8" s="149"/>
      <c r="B8" s="51" t="s">
        <v>410</v>
      </c>
      <c r="C8" s="51">
        <v>0.6</v>
      </c>
      <c r="D8" s="51">
        <v>50.61</v>
      </c>
      <c r="E8" s="51">
        <v>30.55</v>
      </c>
      <c r="F8" s="51">
        <v>10996750</v>
      </c>
      <c r="G8" s="51" t="s">
        <v>410</v>
      </c>
      <c r="H8" s="51">
        <f t="shared" si="0"/>
        <v>0.18628048780487805</v>
      </c>
      <c r="J8" s="51">
        <f t="shared" si="1"/>
        <v>0.26662988209469896</v>
      </c>
      <c r="N8" s="53" t="s">
        <v>424</v>
      </c>
      <c r="O8" s="52"/>
    </row>
    <row r="9" spans="1:15" x14ac:dyDescent="0.25">
      <c r="A9" s="149" t="s">
        <v>411</v>
      </c>
      <c r="B9" s="51" t="s">
        <v>405</v>
      </c>
      <c r="C9" s="51">
        <v>0.8</v>
      </c>
      <c r="D9" s="51">
        <v>194.73</v>
      </c>
      <c r="E9" s="51">
        <v>155.33000000000001</v>
      </c>
      <c r="F9" s="51">
        <v>55919969</v>
      </c>
      <c r="N9" s="53" t="s">
        <v>425</v>
      </c>
      <c r="O9" s="52">
        <v>1.6000000000000001E-3</v>
      </c>
    </row>
    <row r="10" spans="1:15" x14ac:dyDescent="0.25">
      <c r="A10" s="149"/>
      <c r="B10" s="51" t="s">
        <v>406</v>
      </c>
      <c r="C10" s="51">
        <v>0.79</v>
      </c>
      <c r="D10" s="51">
        <v>145.44</v>
      </c>
      <c r="E10" s="51">
        <v>114.54</v>
      </c>
      <c r="F10" s="51">
        <v>41235621</v>
      </c>
      <c r="N10" s="53" t="s">
        <v>426</v>
      </c>
      <c r="O10" s="52" t="s">
        <v>427</v>
      </c>
    </row>
    <row r="11" spans="1:15" x14ac:dyDescent="0.25">
      <c r="A11" s="149"/>
      <c r="B11" s="51" t="s">
        <v>407</v>
      </c>
      <c r="C11" s="51">
        <v>0.73</v>
      </c>
      <c r="D11" s="51">
        <v>142</v>
      </c>
      <c r="E11" s="51">
        <v>103.58</v>
      </c>
      <c r="F11" s="51">
        <v>37289608</v>
      </c>
      <c r="N11" s="53" t="s">
        <v>428</v>
      </c>
      <c r="O11" s="52" t="s">
        <v>429</v>
      </c>
    </row>
    <row r="12" spans="1:15" x14ac:dyDescent="0.25">
      <c r="A12" s="149"/>
      <c r="B12" s="51" t="s">
        <v>408</v>
      </c>
      <c r="C12" s="51">
        <v>0.61</v>
      </c>
      <c r="D12" s="51">
        <v>120.65</v>
      </c>
      <c r="E12" s="51">
        <v>73.19</v>
      </c>
      <c r="F12" s="51">
        <v>26349205</v>
      </c>
      <c r="N12" s="53" t="s">
        <v>430</v>
      </c>
      <c r="O12" s="52" t="s">
        <v>431</v>
      </c>
    </row>
    <row r="13" spans="1:15" x14ac:dyDescent="0.25">
      <c r="A13" s="149"/>
      <c r="B13" s="51" t="s">
        <v>409</v>
      </c>
      <c r="C13" s="51">
        <v>0.9</v>
      </c>
      <c r="D13" s="51">
        <v>186.22</v>
      </c>
      <c r="E13" s="51">
        <v>166.96</v>
      </c>
      <c r="F13" s="51">
        <v>60105414</v>
      </c>
      <c r="N13" s="53" t="s">
        <v>432</v>
      </c>
      <c r="O13" s="52" t="s">
        <v>433</v>
      </c>
    </row>
    <row r="14" spans="1:15" x14ac:dyDescent="0.25">
      <c r="A14" s="149"/>
      <c r="B14" s="51" t="s">
        <v>410</v>
      </c>
      <c r="C14" s="51">
        <v>0.92</v>
      </c>
      <c r="D14" s="51">
        <v>178.26</v>
      </c>
      <c r="E14" s="51">
        <v>164</v>
      </c>
      <c r="F14" s="51">
        <v>59038434</v>
      </c>
      <c r="N14" s="53"/>
      <c r="O14" s="52"/>
    </row>
    <row r="15" spans="1:15" x14ac:dyDescent="0.25">
      <c r="I15" s="51" t="s">
        <v>412</v>
      </c>
      <c r="J15" s="51" t="s">
        <v>413</v>
      </c>
      <c r="N15" s="53" t="s">
        <v>434</v>
      </c>
      <c r="O15" s="52"/>
    </row>
    <row r="16" spans="1:15" x14ac:dyDescent="0.25">
      <c r="I16" s="51">
        <v>0.99593603854954926</v>
      </c>
      <c r="J16" s="51">
        <v>0.11809080519626772</v>
      </c>
      <c r="N16" s="53" t="s">
        <v>435</v>
      </c>
      <c r="O16" s="52">
        <v>1</v>
      </c>
    </row>
    <row r="17" spans="8:15" x14ac:dyDescent="0.25">
      <c r="I17" s="51">
        <v>1.1369983395094885</v>
      </c>
      <c r="J17" s="51">
        <v>0.32913481475907513</v>
      </c>
      <c r="N17" s="53" t="s">
        <v>436</v>
      </c>
      <c r="O17" s="52">
        <v>0.23799999999999999</v>
      </c>
    </row>
    <row r="18" spans="8:15" x14ac:dyDescent="0.25">
      <c r="I18" s="51">
        <v>0.86706562194096248</v>
      </c>
      <c r="J18" s="51">
        <v>0.26662988209469896</v>
      </c>
      <c r="N18" s="53" t="s">
        <v>437</v>
      </c>
      <c r="O18" s="52" t="s">
        <v>438</v>
      </c>
    </row>
    <row r="19" spans="8:15" x14ac:dyDescent="0.25">
      <c r="N19" s="53" t="s">
        <v>439</v>
      </c>
      <c r="O19" s="52" t="s">
        <v>440</v>
      </c>
    </row>
    <row r="20" spans="8:15" x14ac:dyDescent="0.25">
      <c r="H20" s="3"/>
      <c r="I20" s="37" t="s">
        <v>416</v>
      </c>
      <c r="J20" s="37" t="s">
        <v>417</v>
      </c>
      <c r="N20" s="53" t="s">
        <v>441</v>
      </c>
      <c r="O20" s="52">
        <v>0.93559999999999999</v>
      </c>
    </row>
    <row r="21" spans="8:15" x14ac:dyDescent="0.25">
      <c r="H21" s="3" t="s">
        <v>17</v>
      </c>
      <c r="I21" s="36">
        <f>AVERAGE(I16:I18)</f>
        <v>1.0000000000000002</v>
      </c>
      <c r="J21" s="36">
        <f>AVERAGE(J16:J18)</f>
        <v>0.2379518340166806</v>
      </c>
      <c r="N21" s="53"/>
      <c r="O21" s="52"/>
    </row>
    <row r="22" spans="8:15" x14ac:dyDescent="0.25">
      <c r="H22" s="3" t="s">
        <v>18</v>
      </c>
      <c r="I22" s="3">
        <f>STDEVP(I16:I18)/SQRT(COUNT(I16:I18))</f>
        <v>6.3645380107252597E-2</v>
      </c>
      <c r="J22" s="3">
        <f>STDEVP(J16:J18)/SQRT(COUNT(J16:J18))</f>
        <v>5.1102764274570549E-2</v>
      </c>
      <c r="N22" s="53" t="s">
        <v>442</v>
      </c>
      <c r="O22" s="52"/>
    </row>
    <row r="23" spans="8:15" x14ac:dyDescent="0.25">
      <c r="H23" s="3"/>
      <c r="I23" s="3"/>
      <c r="J23" s="2"/>
      <c r="K23" s="2"/>
      <c r="N23" s="53" t="s">
        <v>443</v>
      </c>
      <c r="O23" s="52" t="s">
        <v>444</v>
      </c>
    </row>
    <row r="24" spans="8:15" x14ac:dyDescent="0.25">
      <c r="H24" s="3"/>
      <c r="I24" s="2"/>
      <c r="J24" s="2"/>
      <c r="K24" s="2"/>
      <c r="N24" s="53" t="s">
        <v>425</v>
      </c>
      <c r="O24" s="52">
        <v>0.78400000000000003</v>
      </c>
    </row>
    <row r="25" spans="8:15" x14ac:dyDescent="0.25">
      <c r="N25" s="53" t="s">
        <v>426</v>
      </c>
      <c r="O25" s="52" t="s">
        <v>445</v>
      </c>
    </row>
    <row r="26" spans="8:15" x14ac:dyDescent="0.25">
      <c r="N26" s="53" t="s">
        <v>428</v>
      </c>
      <c r="O26" s="52" t="s">
        <v>446</v>
      </c>
    </row>
    <row r="27" spans="8:15" x14ac:dyDescent="0.25">
      <c r="N27" s="53"/>
      <c r="O27" s="52"/>
    </row>
    <row r="28" spans="8:15" x14ac:dyDescent="0.25">
      <c r="N28" s="53" t="s">
        <v>447</v>
      </c>
      <c r="O28" s="52"/>
    </row>
    <row r="29" spans="8:15" x14ac:dyDescent="0.25">
      <c r="N29" s="53" t="s">
        <v>448</v>
      </c>
      <c r="O29" s="52">
        <v>3</v>
      </c>
    </row>
    <row r="30" spans="8:15" x14ac:dyDescent="0.25">
      <c r="N30" s="53" t="s">
        <v>449</v>
      </c>
      <c r="O30" s="52">
        <v>3</v>
      </c>
    </row>
  </sheetData>
  <mergeCells count="3">
    <mergeCell ref="A3:A8"/>
    <mergeCell ref="A9:A14"/>
    <mergeCell ref="I2:J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CFF0-E86E-4D53-8820-16DBD44D209E}">
  <dimension ref="A1:K49"/>
  <sheetViews>
    <sheetView topLeftCell="E13" workbookViewId="0">
      <selection activeCell="I21" sqref="I21"/>
    </sheetView>
  </sheetViews>
  <sheetFormatPr defaultRowHeight="13.2" x14ac:dyDescent="0.25"/>
  <cols>
    <col min="1" max="8" width="15.5546875" style="63" customWidth="1"/>
    <col min="9" max="10" width="29.77734375" style="63" customWidth="1"/>
    <col min="11" max="16384" width="8.88671875" style="63"/>
  </cols>
  <sheetData>
    <row r="1" spans="1:11" x14ac:dyDescent="0.25">
      <c r="A1" s="62" t="s">
        <v>591</v>
      </c>
    </row>
    <row r="2" spans="1:11" ht="13.8" x14ac:dyDescent="0.25">
      <c r="A2" s="64" t="s">
        <v>592</v>
      </c>
    </row>
    <row r="3" spans="1:11" ht="15.6" x14ac:dyDescent="0.25">
      <c r="A3" s="65" t="s">
        <v>537</v>
      </c>
      <c r="B3" s="65" t="s">
        <v>538</v>
      </c>
      <c r="C3" s="65" t="s">
        <v>539</v>
      </c>
      <c r="D3" s="65" t="s">
        <v>542</v>
      </c>
      <c r="E3" s="65" t="s">
        <v>543</v>
      </c>
      <c r="F3" s="65" t="s">
        <v>544</v>
      </c>
      <c r="G3" s="72"/>
      <c r="H3" s="61"/>
      <c r="I3" s="68"/>
    </row>
    <row r="5" spans="1:11" ht="13.8" x14ac:dyDescent="0.25">
      <c r="A5" s="72">
        <f>3/18</f>
        <v>0.16666666666666666</v>
      </c>
      <c r="B5" s="72">
        <f>4/22</f>
        <v>0.18181818181818182</v>
      </c>
      <c r="C5" s="72">
        <f>5/20</f>
        <v>0.25</v>
      </c>
      <c r="D5" s="72">
        <f>9/20</f>
        <v>0.45</v>
      </c>
      <c r="E5" s="72">
        <f>8/18</f>
        <v>0.44444444444444442</v>
      </c>
      <c r="F5" s="72">
        <f>10/18</f>
        <v>0.55555555555555558</v>
      </c>
      <c r="I5" s="68"/>
      <c r="J5" s="68"/>
    </row>
    <row r="6" spans="1:11" ht="13.2" customHeight="1" x14ac:dyDescent="0.25">
      <c r="H6" s="72"/>
      <c r="I6" s="73" t="s">
        <v>591</v>
      </c>
      <c r="J6" s="61"/>
    </row>
    <row r="7" spans="1:11" ht="13.2" customHeight="1" x14ac:dyDescent="0.25">
      <c r="A7" s="63">
        <v>1</v>
      </c>
      <c r="B7" s="63">
        <v>1</v>
      </c>
      <c r="C7" s="63">
        <v>1</v>
      </c>
      <c r="D7" s="63">
        <v>1</v>
      </c>
      <c r="E7" s="63">
        <v>1</v>
      </c>
      <c r="F7" s="63">
        <v>1</v>
      </c>
      <c r="I7" s="74" t="s">
        <v>592</v>
      </c>
      <c r="J7" s="75"/>
    </row>
    <row r="8" spans="1:11" ht="13.8" x14ac:dyDescent="0.25">
      <c r="A8" s="63">
        <v>1</v>
      </c>
      <c r="B8" s="63">
        <v>1</v>
      </c>
      <c r="C8" s="63">
        <v>1</v>
      </c>
      <c r="D8" s="63">
        <v>0</v>
      </c>
      <c r="E8" s="63">
        <v>0</v>
      </c>
      <c r="F8" s="63">
        <v>0</v>
      </c>
      <c r="I8" s="75"/>
      <c r="J8" s="75"/>
    </row>
    <row r="9" spans="1:11" ht="15.6" x14ac:dyDescent="0.25">
      <c r="A9" s="63">
        <v>1</v>
      </c>
      <c r="B9" s="63">
        <v>1</v>
      </c>
      <c r="C9" s="63">
        <v>0</v>
      </c>
      <c r="D9" s="63">
        <v>1</v>
      </c>
      <c r="E9" s="63">
        <v>1</v>
      </c>
      <c r="F9" s="63">
        <v>0</v>
      </c>
      <c r="I9" s="62" t="s">
        <v>534</v>
      </c>
      <c r="J9" s="62" t="s">
        <v>535</v>
      </c>
    </row>
    <row r="10" spans="1:11" ht="13.8" x14ac:dyDescent="0.25">
      <c r="A10" s="63">
        <v>1</v>
      </c>
      <c r="B10" s="63">
        <v>1</v>
      </c>
      <c r="C10" s="63">
        <v>1</v>
      </c>
      <c r="D10" s="63">
        <v>0</v>
      </c>
      <c r="E10" s="63">
        <v>0</v>
      </c>
      <c r="F10" s="63">
        <v>0</v>
      </c>
      <c r="I10" s="61">
        <v>0.16666666666666699</v>
      </c>
      <c r="J10" s="68">
        <v>0.45</v>
      </c>
    </row>
    <row r="11" spans="1:11" x14ac:dyDescent="0.25">
      <c r="A11" s="63">
        <v>1</v>
      </c>
      <c r="B11" s="63">
        <v>1</v>
      </c>
      <c r="C11" s="63">
        <v>0</v>
      </c>
      <c r="D11" s="63">
        <v>1</v>
      </c>
      <c r="E11" s="63">
        <v>1</v>
      </c>
      <c r="F11" s="63">
        <v>1</v>
      </c>
      <c r="I11" s="68">
        <v>0.18181818181818182</v>
      </c>
      <c r="J11" s="68">
        <v>0.44444444444444442</v>
      </c>
    </row>
    <row r="12" spans="1:11" x14ac:dyDescent="0.25">
      <c r="A12" s="63">
        <v>1</v>
      </c>
      <c r="B12" s="63">
        <v>0</v>
      </c>
      <c r="C12" s="63">
        <v>1</v>
      </c>
      <c r="D12" s="63">
        <v>0</v>
      </c>
      <c r="E12" s="63">
        <v>0</v>
      </c>
      <c r="F12" s="63">
        <v>0</v>
      </c>
      <c r="I12" s="68">
        <v>0.25</v>
      </c>
      <c r="J12" s="68">
        <v>0.55555555555555558</v>
      </c>
    </row>
    <row r="13" spans="1:11" x14ac:dyDescent="0.25">
      <c r="A13" s="63">
        <v>1</v>
      </c>
      <c r="B13" s="63">
        <v>1</v>
      </c>
      <c r="C13" s="63">
        <v>1</v>
      </c>
      <c r="D13" s="63">
        <v>1</v>
      </c>
      <c r="E13" s="63">
        <v>0</v>
      </c>
      <c r="F13" s="63">
        <v>0</v>
      </c>
      <c r="I13" s="68"/>
      <c r="J13" s="68"/>
    </row>
    <row r="14" spans="1:11" x14ac:dyDescent="0.25">
      <c r="A14" s="63">
        <v>0</v>
      </c>
      <c r="B14" s="63">
        <v>1</v>
      </c>
      <c r="C14" s="63">
        <v>1</v>
      </c>
      <c r="D14" s="63">
        <v>0</v>
      </c>
      <c r="E14" s="63">
        <v>1</v>
      </c>
      <c r="F14" s="63">
        <v>0</v>
      </c>
      <c r="I14" s="68"/>
      <c r="J14" s="68"/>
    </row>
    <row r="15" spans="1:11" x14ac:dyDescent="0.25">
      <c r="A15" s="63">
        <v>1</v>
      </c>
      <c r="B15" s="63">
        <v>1</v>
      </c>
      <c r="C15" s="63">
        <v>1</v>
      </c>
      <c r="D15" s="63">
        <v>1</v>
      </c>
      <c r="E15" s="63">
        <v>0</v>
      </c>
      <c r="F15" s="63">
        <v>1</v>
      </c>
      <c r="I15" s="68"/>
      <c r="J15" s="68"/>
    </row>
    <row r="16" spans="1:11" x14ac:dyDescent="0.25">
      <c r="A16" s="63">
        <v>1</v>
      </c>
      <c r="B16" s="63">
        <v>0</v>
      </c>
      <c r="C16" s="63">
        <v>0</v>
      </c>
      <c r="D16" s="63">
        <v>0</v>
      </c>
      <c r="E16" s="63">
        <v>1</v>
      </c>
      <c r="F16" s="63">
        <v>0</v>
      </c>
      <c r="J16" s="68"/>
      <c r="K16" s="67"/>
    </row>
    <row r="17" spans="1:11" x14ac:dyDescent="0.25">
      <c r="A17" s="63">
        <v>1</v>
      </c>
      <c r="B17" s="63">
        <v>1</v>
      </c>
      <c r="C17" s="63">
        <v>1</v>
      </c>
      <c r="D17" s="63">
        <v>1</v>
      </c>
      <c r="E17" s="63">
        <v>1</v>
      </c>
      <c r="F17" s="63">
        <v>1</v>
      </c>
      <c r="H17" s="66" t="s">
        <v>587</v>
      </c>
      <c r="I17" s="67">
        <f>AVERAGE(I10:I12)</f>
        <v>0.19949494949494961</v>
      </c>
      <c r="J17" s="67">
        <f>AVERAGE(J10:J12)</f>
        <v>0.48333333333333334</v>
      </c>
      <c r="K17" s="22"/>
    </row>
    <row r="18" spans="1:11" x14ac:dyDescent="0.25">
      <c r="A18" s="63">
        <v>1</v>
      </c>
      <c r="B18" s="63">
        <v>1</v>
      </c>
      <c r="C18" s="63">
        <v>1</v>
      </c>
      <c r="D18" s="63">
        <v>0</v>
      </c>
      <c r="E18" s="63">
        <v>0</v>
      </c>
      <c r="F18" s="63">
        <v>1</v>
      </c>
      <c r="H18" s="66" t="s">
        <v>588</v>
      </c>
      <c r="I18" s="22">
        <f>STDEVP(I10:I12)/SQRT(COUNT(I10:I12))</f>
        <v>2.0925594098747481E-2</v>
      </c>
      <c r="J18" s="22">
        <f>STDEVP(J10:J12)/SQRT(COUNT(J10:J12))</f>
        <v>2.9513661945387445E-2</v>
      </c>
    </row>
    <row r="19" spans="1:11" x14ac:dyDescent="0.25">
      <c r="A19" s="63">
        <v>0</v>
      </c>
      <c r="B19" s="63">
        <v>1</v>
      </c>
      <c r="C19" s="63">
        <v>0</v>
      </c>
      <c r="D19" s="63">
        <v>1</v>
      </c>
      <c r="E19" s="63">
        <v>1</v>
      </c>
      <c r="F19" s="63">
        <v>0</v>
      </c>
      <c r="I19" s="68"/>
      <c r="J19" s="68"/>
    </row>
    <row r="20" spans="1:11" x14ac:dyDescent="0.25">
      <c r="A20" s="63">
        <v>1</v>
      </c>
      <c r="B20" s="63">
        <v>1</v>
      </c>
      <c r="C20" s="63">
        <v>1</v>
      </c>
      <c r="D20" s="63">
        <v>0</v>
      </c>
      <c r="E20" s="63">
        <v>0</v>
      </c>
      <c r="F20" s="63">
        <v>1</v>
      </c>
      <c r="J20" s="68"/>
    </row>
    <row r="21" spans="1:11" x14ac:dyDescent="0.25">
      <c r="A21" s="63">
        <v>1</v>
      </c>
      <c r="B21" s="63">
        <v>0</v>
      </c>
      <c r="C21" s="63">
        <v>0</v>
      </c>
      <c r="D21" s="63">
        <v>1</v>
      </c>
      <c r="E21" s="63">
        <v>1</v>
      </c>
      <c r="F21" s="63">
        <v>1</v>
      </c>
      <c r="I21" s="53" t="s">
        <v>578</v>
      </c>
      <c r="J21" s="52" t="s">
        <v>627</v>
      </c>
    </row>
    <row r="22" spans="1:11" x14ac:dyDescent="0.25">
      <c r="A22" s="63">
        <v>1</v>
      </c>
      <c r="B22" s="63">
        <v>1</v>
      </c>
      <c r="C22" s="63">
        <v>1</v>
      </c>
      <c r="D22" s="63">
        <v>0</v>
      </c>
      <c r="E22" s="63">
        <v>0</v>
      </c>
      <c r="F22" s="63">
        <v>0</v>
      </c>
      <c r="I22" s="53"/>
      <c r="J22" s="52"/>
    </row>
    <row r="23" spans="1:11" ht="15.6" x14ac:dyDescent="0.25">
      <c r="A23" s="63">
        <v>1</v>
      </c>
      <c r="B23" s="63">
        <v>1</v>
      </c>
      <c r="C23" s="63">
        <v>1</v>
      </c>
      <c r="D23" s="63">
        <v>1</v>
      </c>
      <c r="E23" s="63">
        <v>1</v>
      </c>
      <c r="F23" s="63">
        <v>1</v>
      </c>
      <c r="I23" s="53" t="s">
        <v>419</v>
      </c>
      <c r="J23" s="52" t="s">
        <v>535</v>
      </c>
    </row>
    <row r="24" spans="1:11" x14ac:dyDescent="0.25">
      <c r="A24" s="63">
        <v>0</v>
      </c>
      <c r="B24" s="63">
        <v>0</v>
      </c>
      <c r="C24" s="63">
        <v>1</v>
      </c>
      <c r="D24" s="63">
        <v>0</v>
      </c>
      <c r="E24" s="63">
        <v>1</v>
      </c>
      <c r="F24" s="63">
        <v>0</v>
      </c>
      <c r="I24" s="53" t="s">
        <v>421</v>
      </c>
      <c r="J24" s="52" t="s">
        <v>421</v>
      </c>
    </row>
    <row r="25" spans="1:11" ht="15.6" x14ac:dyDescent="0.25">
      <c r="B25" s="63">
        <v>1</v>
      </c>
      <c r="C25" s="63">
        <v>1</v>
      </c>
      <c r="D25" s="63">
        <v>1</v>
      </c>
      <c r="I25" s="53" t="s">
        <v>422</v>
      </c>
      <c r="J25" s="52" t="s">
        <v>534</v>
      </c>
    </row>
    <row r="26" spans="1:11" x14ac:dyDescent="0.25">
      <c r="B26" s="63">
        <v>1</v>
      </c>
      <c r="C26" s="63">
        <v>1</v>
      </c>
      <c r="D26" s="63">
        <v>1</v>
      </c>
      <c r="H26" s="68"/>
      <c r="I26" s="53"/>
      <c r="J26" s="52"/>
    </row>
    <row r="27" spans="1:11" x14ac:dyDescent="0.25">
      <c r="B27" s="63">
        <v>1</v>
      </c>
      <c r="H27" s="68"/>
      <c r="I27" s="53" t="s">
        <v>424</v>
      </c>
      <c r="J27" s="52"/>
    </row>
    <row r="28" spans="1:11" x14ac:dyDescent="0.25">
      <c r="I28" s="53" t="s">
        <v>425</v>
      </c>
      <c r="J28" s="52">
        <v>3.5000000000000001E-3</v>
      </c>
    </row>
    <row r="29" spans="1:11" x14ac:dyDescent="0.25">
      <c r="I29" s="53" t="s">
        <v>426</v>
      </c>
      <c r="J29" s="52" t="s">
        <v>427</v>
      </c>
    </row>
    <row r="30" spans="1:11" x14ac:dyDescent="0.25">
      <c r="I30" s="53" t="s">
        <v>428</v>
      </c>
      <c r="J30" s="52" t="s">
        <v>429</v>
      </c>
    </row>
    <row r="31" spans="1:11" x14ac:dyDescent="0.25">
      <c r="I31" s="53" t="s">
        <v>430</v>
      </c>
      <c r="J31" s="52" t="s">
        <v>431</v>
      </c>
    </row>
    <row r="32" spans="1:11" x14ac:dyDescent="0.25">
      <c r="I32" s="53" t="s">
        <v>432</v>
      </c>
      <c r="J32" s="52" t="s">
        <v>628</v>
      </c>
    </row>
    <row r="33" spans="9:10" x14ac:dyDescent="0.25">
      <c r="I33" s="53"/>
      <c r="J33" s="52"/>
    </row>
    <row r="34" spans="9:10" x14ac:dyDescent="0.25">
      <c r="I34" s="53" t="s">
        <v>434</v>
      </c>
      <c r="J34" s="52"/>
    </row>
    <row r="35" spans="9:10" x14ac:dyDescent="0.25">
      <c r="I35" s="53" t="s">
        <v>435</v>
      </c>
      <c r="J35" s="52">
        <v>0.2</v>
      </c>
    </row>
    <row r="36" spans="9:10" x14ac:dyDescent="0.25">
      <c r="I36" s="53" t="s">
        <v>436</v>
      </c>
      <c r="J36" s="52">
        <v>0.48330000000000001</v>
      </c>
    </row>
    <row r="37" spans="9:10" x14ac:dyDescent="0.25">
      <c r="I37" s="53" t="s">
        <v>437</v>
      </c>
      <c r="J37" s="52" t="s">
        <v>629</v>
      </c>
    </row>
    <row r="38" spans="9:10" x14ac:dyDescent="0.25">
      <c r="I38" s="53" t="s">
        <v>439</v>
      </c>
      <c r="J38" s="52" t="s">
        <v>630</v>
      </c>
    </row>
    <row r="39" spans="9:10" x14ac:dyDescent="0.25">
      <c r="I39" s="53" t="s">
        <v>441</v>
      </c>
      <c r="J39" s="52">
        <v>0.90480000000000005</v>
      </c>
    </row>
    <row r="40" spans="9:10" x14ac:dyDescent="0.25">
      <c r="I40" s="53"/>
      <c r="J40" s="52"/>
    </row>
    <row r="41" spans="9:10" x14ac:dyDescent="0.25">
      <c r="I41" s="53" t="s">
        <v>442</v>
      </c>
      <c r="J41" s="52"/>
    </row>
    <row r="42" spans="9:10" x14ac:dyDescent="0.25">
      <c r="I42" s="53" t="s">
        <v>443</v>
      </c>
      <c r="J42" s="52" t="s">
        <v>631</v>
      </c>
    </row>
    <row r="43" spans="9:10" x14ac:dyDescent="0.25">
      <c r="I43" s="53" t="s">
        <v>425</v>
      </c>
      <c r="J43" s="52">
        <v>0.6</v>
      </c>
    </row>
    <row r="44" spans="9:10" x14ac:dyDescent="0.25">
      <c r="I44" s="53" t="s">
        <v>426</v>
      </c>
      <c r="J44" s="52" t="s">
        <v>445</v>
      </c>
    </row>
    <row r="45" spans="9:10" x14ac:dyDescent="0.25">
      <c r="I45" s="53" t="s">
        <v>428</v>
      </c>
      <c r="J45" s="52" t="s">
        <v>446</v>
      </c>
    </row>
    <row r="46" spans="9:10" x14ac:dyDescent="0.25">
      <c r="I46" s="53"/>
      <c r="J46" s="52"/>
    </row>
    <row r="47" spans="9:10" x14ac:dyDescent="0.25">
      <c r="I47" s="53" t="s">
        <v>447</v>
      </c>
      <c r="J47" s="52"/>
    </row>
    <row r="48" spans="9:10" x14ac:dyDescent="0.25">
      <c r="I48" s="53" t="s">
        <v>448</v>
      </c>
      <c r="J48" s="52">
        <v>3</v>
      </c>
    </row>
    <row r="49" spans="9:10" x14ac:dyDescent="0.25">
      <c r="I49" s="53" t="s">
        <v>449</v>
      </c>
      <c r="J49" s="52">
        <v>3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9D055-FC10-422D-A4BF-A874BF31AFF9}">
  <dimension ref="A1:I31"/>
  <sheetViews>
    <sheetView workbookViewId="0">
      <selection activeCell="E36" sqref="E36"/>
    </sheetView>
  </sheetViews>
  <sheetFormatPr defaultRowHeight="13.2" x14ac:dyDescent="0.25"/>
  <cols>
    <col min="1" max="6" width="15.77734375" style="63" customWidth="1"/>
    <col min="7" max="7" width="8.88671875" style="63"/>
    <col min="8" max="9" width="28.6640625" style="63" customWidth="1"/>
    <col min="10" max="16384" width="8.88671875" style="63"/>
  </cols>
  <sheetData>
    <row r="1" spans="1:9" x14ac:dyDescent="0.25">
      <c r="A1" s="76" t="s">
        <v>593</v>
      </c>
    </row>
    <row r="2" spans="1:9" ht="13.8" x14ac:dyDescent="0.25">
      <c r="A2" s="64" t="s">
        <v>594</v>
      </c>
    </row>
    <row r="3" spans="1:9" ht="15.6" x14ac:dyDescent="0.25">
      <c r="A3" s="65" t="s">
        <v>537</v>
      </c>
      <c r="B3" s="65" t="s">
        <v>538</v>
      </c>
      <c r="C3" s="65" t="s">
        <v>539</v>
      </c>
      <c r="D3" s="65" t="s">
        <v>542</v>
      </c>
      <c r="E3" s="65" t="s">
        <v>543</v>
      </c>
      <c r="F3" s="65" t="s">
        <v>544</v>
      </c>
      <c r="H3" s="53" t="s">
        <v>578</v>
      </c>
      <c r="I3" s="52" t="s">
        <v>632</v>
      </c>
    </row>
    <row r="4" spans="1:9" ht="13.8" x14ac:dyDescent="0.25">
      <c r="A4" s="77">
        <v>56371.910241884972</v>
      </c>
      <c r="B4" s="77">
        <v>170029.33637627712</v>
      </c>
      <c r="C4" s="77">
        <v>82961.030797703221</v>
      </c>
      <c r="D4" s="77">
        <v>488661.9731939857</v>
      </c>
      <c r="E4" s="77">
        <v>338990.1290403966</v>
      </c>
      <c r="F4" s="77">
        <v>449830.56474887254</v>
      </c>
      <c r="H4" s="53"/>
      <c r="I4" s="52"/>
    </row>
    <row r="5" spans="1:9" ht="15.6" x14ac:dyDescent="0.25">
      <c r="A5" s="77">
        <v>154372.88225186142</v>
      </c>
      <c r="B5" s="77">
        <v>159791.68354516901</v>
      </c>
      <c r="C5" s="77">
        <v>126377.18779019921</v>
      </c>
      <c r="D5" s="77">
        <v>378558.64032529423</v>
      </c>
      <c r="E5" s="77">
        <v>329761.9363364327</v>
      </c>
      <c r="F5" s="77">
        <v>99262.810976027875</v>
      </c>
      <c r="H5" s="53" t="s">
        <v>419</v>
      </c>
      <c r="I5" s="52" t="s">
        <v>535</v>
      </c>
    </row>
    <row r="6" spans="1:9" ht="13.8" x14ac:dyDescent="0.25">
      <c r="A6" s="77">
        <v>163133.84340983213</v>
      </c>
      <c r="B6" s="77">
        <v>146082.42089213728</v>
      </c>
      <c r="D6" s="77">
        <v>251960.16234489804</v>
      </c>
      <c r="E6" s="77">
        <v>250227.62136495</v>
      </c>
      <c r="H6" s="53" t="s">
        <v>421</v>
      </c>
      <c r="I6" s="52" t="s">
        <v>421</v>
      </c>
    </row>
    <row r="7" spans="1:9" ht="15.6" x14ac:dyDescent="0.25">
      <c r="H7" s="53" t="s">
        <v>422</v>
      </c>
      <c r="I7" s="52" t="s">
        <v>534</v>
      </c>
    </row>
    <row r="8" spans="1:9" x14ac:dyDescent="0.25">
      <c r="H8" s="53"/>
      <c r="I8" s="52"/>
    </row>
    <row r="9" spans="1:9" x14ac:dyDescent="0.25">
      <c r="H9" s="53" t="s">
        <v>424</v>
      </c>
      <c r="I9" s="52"/>
    </row>
    <row r="10" spans="1:9" x14ac:dyDescent="0.25">
      <c r="H10" s="53" t="s">
        <v>425</v>
      </c>
      <c r="I10" s="52">
        <v>1E-3</v>
      </c>
    </row>
    <row r="11" spans="1:9" x14ac:dyDescent="0.25">
      <c r="H11" s="53" t="s">
        <v>426</v>
      </c>
      <c r="I11" s="52" t="s">
        <v>427</v>
      </c>
    </row>
    <row r="12" spans="1:9" x14ac:dyDescent="0.25">
      <c r="H12" s="53" t="s">
        <v>428</v>
      </c>
      <c r="I12" s="52" t="s">
        <v>429</v>
      </c>
    </row>
    <row r="13" spans="1:9" x14ac:dyDescent="0.25">
      <c r="H13" s="53" t="s">
        <v>430</v>
      </c>
      <c r="I13" s="52" t="s">
        <v>431</v>
      </c>
    </row>
    <row r="14" spans="1:9" x14ac:dyDescent="0.25">
      <c r="H14" s="53" t="s">
        <v>432</v>
      </c>
      <c r="I14" s="52" t="s">
        <v>633</v>
      </c>
    </row>
    <row r="15" spans="1:9" x14ac:dyDescent="0.25">
      <c r="H15" s="53"/>
      <c r="I15" s="52"/>
    </row>
    <row r="16" spans="1:9" x14ac:dyDescent="0.25">
      <c r="A16" s="66" t="s">
        <v>587</v>
      </c>
      <c r="B16" s="67">
        <f>AVERAGE(A4:C6)</f>
        <v>132390.03691313305</v>
      </c>
      <c r="C16" s="67">
        <f>AVERAGE(D4:F6)</f>
        <v>323406.72979135724</v>
      </c>
      <c r="H16" s="53" t="s">
        <v>434</v>
      </c>
      <c r="I16" s="52"/>
    </row>
    <row r="17" spans="1:9" x14ac:dyDescent="0.25">
      <c r="A17" s="66" t="s">
        <v>588</v>
      </c>
      <c r="B17" s="22">
        <f>STDEVP(A4:A11)/SQRT(COUNT(A4:A11))</f>
        <v>27941.112234993048</v>
      </c>
      <c r="C17" s="22">
        <f>STDEVP(D4:D11)/SQRT(COUNT(D4:D11))</f>
        <v>55836.290400958183</v>
      </c>
      <c r="H17" s="53" t="s">
        <v>435</v>
      </c>
      <c r="I17" s="52">
        <v>132390</v>
      </c>
    </row>
    <row r="18" spans="1:9" x14ac:dyDescent="0.25">
      <c r="B18" s="68"/>
      <c r="C18" s="68"/>
      <c r="H18" s="53" t="s">
        <v>436</v>
      </c>
      <c r="I18" s="52">
        <v>323407</v>
      </c>
    </row>
    <row r="19" spans="1:9" x14ac:dyDescent="0.25">
      <c r="C19" s="68"/>
      <c r="H19" s="53" t="s">
        <v>437</v>
      </c>
      <c r="I19" s="52" t="s">
        <v>634</v>
      </c>
    </row>
    <row r="20" spans="1:9" x14ac:dyDescent="0.25">
      <c r="B20" s="69"/>
      <c r="C20" s="68"/>
      <c r="H20" s="53" t="s">
        <v>439</v>
      </c>
      <c r="I20" s="52" t="s">
        <v>635</v>
      </c>
    </row>
    <row r="21" spans="1:9" x14ac:dyDescent="0.25">
      <c r="B21" s="70"/>
      <c r="C21" s="68"/>
      <c r="H21" s="53" t="s">
        <v>441</v>
      </c>
      <c r="I21" s="52">
        <v>0.55010000000000003</v>
      </c>
    </row>
    <row r="22" spans="1:9" x14ac:dyDescent="0.25">
      <c r="H22" s="53"/>
      <c r="I22" s="52"/>
    </row>
    <row r="23" spans="1:9" x14ac:dyDescent="0.25">
      <c r="H23" s="53" t="s">
        <v>442</v>
      </c>
      <c r="I23" s="52"/>
    </row>
    <row r="24" spans="1:9" x14ac:dyDescent="0.25">
      <c r="H24" s="53" t="s">
        <v>443</v>
      </c>
      <c r="I24" s="52" t="s">
        <v>636</v>
      </c>
    </row>
    <row r="25" spans="1:9" x14ac:dyDescent="0.25">
      <c r="H25" s="53" t="s">
        <v>425</v>
      </c>
      <c r="I25" s="52">
        <v>9.9000000000000008E-3</v>
      </c>
    </row>
    <row r="26" spans="1:9" x14ac:dyDescent="0.25">
      <c r="H26" s="53" t="s">
        <v>426</v>
      </c>
      <c r="I26" s="52" t="s">
        <v>427</v>
      </c>
    </row>
    <row r="27" spans="1:9" x14ac:dyDescent="0.25">
      <c r="H27" s="53" t="s">
        <v>428</v>
      </c>
      <c r="I27" s="52" t="s">
        <v>429</v>
      </c>
    </row>
    <row r="28" spans="1:9" x14ac:dyDescent="0.25">
      <c r="H28" s="53"/>
      <c r="I28" s="52"/>
    </row>
    <row r="29" spans="1:9" x14ac:dyDescent="0.25">
      <c r="H29" s="53" t="s">
        <v>447</v>
      </c>
      <c r="I29" s="52"/>
    </row>
    <row r="30" spans="1:9" x14ac:dyDescent="0.25">
      <c r="H30" s="53" t="s">
        <v>448</v>
      </c>
      <c r="I30" s="52">
        <v>8</v>
      </c>
    </row>
    <row r="31" spans="1:9" x14ac:dyDescent="0.25">
      <c r="H31" s="53" t="s">
        <v>449</v>
      </c>
      <c r="I31" s="52">
        <v>8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54392-6E3B-46E2-B599-3C7A00CCE67E}">
  <dimension ref="A1:X176"/>
  <sheetViews>
    <sheetView topLeftCell="N1" zoomScale="85" zoomScaleNormal="85" workbookViewId="0">
      <selection activeCell="N24" sqref="A24:XFD25"/>
    </sheetView>
  </sheetViews>
  <sheetFormatPr defaultRowHeight="13.2" x14ac:dyDescent="0.25"/>
  <cols>
    <col min="1" max="1" width="8.88671875" style="63"/>
    <col min="2" max="2" width="11.77734375" style="63" customWidth="1"/>
    <col min="3" max="3" width="8.88671875" style="63"/>
    <col min="4" max="5" width="8.88671875" style="68"/>
    <col min="6" max="6" width="8.88671875" style="63"/>
    <col min="7" max="7" width="8.88671875" style="37"/>
    <col min="8" max="13" width="14.77734375" style="36" customWidth="1"/>
    <col min="14" max="14" width="14.33203125" style="79" customWidth="1"/>
    <col min="15" max="21" width="12" style="63" customWidth="1"/>
    <col min="22" max="16384" width="8.88671875" style="63"/>
  </cols>
  <sheetData>
    <row r="1" spans="1:24" ht="15.6" x14ac:dyDescent="0.3">
      <c r="A1" s="78" t="s">
        <v>595</v>
      </c>
    </row>
    <row r="2" spans="1:24" ht="15.6" x14ac:dyDescent="0.3">
      <c r="A2" s="78" t="s">
        <v>596</v>
      </c>
    </row>
    <row r="3" spans="1:24" x14ac:dyDescent="0.25">
      <c r="D3" s="68" t="s">
        <v>597</v>
      </c>
    </row>
    <row r="4" spans="1:24" x14ac:dyDescent="0.25">
      <c r="B4" s="63" t="s">
        <v>491</v>
      </c>
      <c r="C4" s="63" t="s">
        <v>598</v>
      </c>
      <c r="D4" s="80">
        <v>29.267278671264599</v>
      </c>
      <c r="G4" s="1"/>
      <c r="H4" s="158"/>
      <c r="I4" s="158"/>
      <c r="J4" s="158"/>
      <c r="K4" s="158"/>
      <c r="L4" s="158"/>
      <c r="M4" s="158"/>
    </row>
    <row r="5" spans="1:24" ht="22.2" thickBot="1" x14ac:dyDescent="0.3">
      <c r="B5" s="63" t="s">
        <v>491</v>
      </c>
      <c r="C5" s="63" t="s">
        <v>598</v>
      </c>
      <c r="D5" s="80">
        <v>29.248357779269998</v>
      </c>
      <c r="G5" s="4" t="s">
        <v>599</v>
      </c>
      <c r="H5" s="81" t="s">
        <v>600</v>
      </c>
      <c r="I5" s="81" t="s">
        <v>352</v>
      </c>
      <c r="J5" s="81" t="s">
        <v>347</v>
      </c>
      <c r="K5" s="81" t="s">
        <v>601</v>
      </c>
      <c r="L5" s="81" t="s">
        <v>602</v>
      </c>
      <c r="M5" s="81" t="s">
        <v>603</v>
      </c>
    </row>
    <row r="6" spans="1:24" x14ac:dyDescent="0.25">
      <c r="B6" s="63" t="s">
        <v>491</v>
      </c>
      <c r="C6" s="63" t="s">
        <v>598</v>
      </c>
      <c r="D6" s="80">
        <v>29.297763907739999</v>
      </c>
      <c r="G6" s="63" t="s">
        <v>604</v>
      </c>
      <c r="H6" s="82">
        <v>29.694258422851</v>
      </c>
      <c r="I6" s="83">
        <v>29.474521331786999</v>
      </c>
      <c r="J6" s="83">
        <v>29.679499053954999</v>
      </c>
      <c r="K6" s="82">
        <v>27.582979888916</v>
      </c>
      <c r="L6" s="82">
        <v>27.561596527098999</v>
      </c>
      <c r="M6" s="82">
        <v>27.438888244628</v>
      </c>
    </row>
    <row r="7" spans="1:24" x14ac:dyDescent="0.25">
      <c r="B7" s="63" t="s">
        <v>352</v>
      </c>
      <c r="C7" s="63" t="s">
        <v>598</v>
      </c>
      <c r="D7" s="80">
        <v>29.109998321532998</v>
      </c>
      <c r="G7" s="84"/>
      <c r="H7" s="83">
        <v>29.701450351249999</v>
      </c>
      <c r="I7" s="83">
        <v>29.421743541489999</v>
      </c>
      <c r="J7" s="83">
        <v>29.723033051910001</v>
      </c>
      <c r="K7" s="85">
        <v>27.576691589909998</v>
      </c>
      <c r="L7" s="85">
        <v>27.516163917374001</v>
      </c>
      <c r="M7" s="85">
        <v>27.46033779339</v>
      </c>
    </row>
    <row r="8" spans="1:24" ht="13.8" thickBot="1" x14ac:dyDescent="0.3">
      <c r="B8" s="63" t="s">
        <v>352</v>
      </c>
      <c r="C8" s="63" t="s">
        <v>598</v>
      </c>
      <c r="D8" s="80">
        <v>29.2785095841</v>
      </c>
      <c r="G8" s="86"/>
      <c r="H8" s="83">
        <v>29.793885870379999</v>
      </c>
      <c r="I8" s="83">
        <v>29.414108029129999</v>
      </c>
      <c r="J8" s="83">
        <v>29.656266367040001</v>
      </c>
      <c r="K8" s="85">
        <v>27.554442813609999</v>
      </c>
      <c r="L8" s="85">
        <v>27.549302597330001</v>
      </c>
      <c r="M8" s="85">
        <v>27.479796031039999</v>
      </c>
    </row>
    <row r="9" spans="1:24" ht="13.8" thickBot="1" x14ac:dyDescent="0.3">
      <c r="B9" s="63" t="s">
        <v>352</v>
      </c>
      <c r="C9" s="63" t="s">
        <v>598</v>
      </c>
      <c r="D9" s="80">
        <v>29.735356946269999</v>
      </c>
      <c r="G9" s="84" t="s">
        <v>598</v>
      </c>
      <c r="H9" s="82">
        <v>29.267278671264599</v>
      </c>
      <c r="I9" s="82">
        <v>29.109998321532998</v>
      </c>
      <c r="J9" s="82">
        <v>29.641971740721999</v>
      </c>
      <c r="K9" s="82">
        <v>27.968628234863001</v>
      </c>
      <c r="L9" s="82">
        <v>27.803823471069336</v>
      </c>
      <c r="M9" s="82">
        <v>27.925167083740199</v>
      </c>
      <c r="O9" s="70"/>
      <c r="P9" s="81" t="s">
        <v>600</v>
      </c>
      <c r="Q9" s="81" t="s">
        <v>352</v>
      </c>
      <c r="R9" s="81" t="s">
        <v>347</v>
      </c>
      <c r="S9" s="81" t="s">
        <v>601</v>
      </c>
      <c r="T9" s="81" t="s">
        <v>602</v>
      </c>
      <c r="U9" s="81" t="s">
        <v>603</v>
      </c>
    </row>
    <row r="10" spans="1:24" x14ac:dyDescent="0.25">
      <c r="B10" s="63" t="s">
        <v>347</v>
      </c>
      <c r="C10" s="63" t="s">
        <v>598</v>
      </c>
      <c r="D10" s="80">
        <v>29.641971740721999</v>
      </c>
      <c r="G10" s="1"/>
      <c r="H10" s="83">
        <v>29.248357779269998</v>
      </c>
      <c r="I10" s="83">
        <v>29.2785095841</v>
      </c>
      <c r="J10" s="83">
        <v>29.125631243600001</v>
      </c>
      <c r="K10" s="85">
        <v>27.802733529360001</v>
      </c>
      <c r="L10" s="85">
        <v>27.949284565256999</v>
      </c>
      <c r="M10" s="85">
        <v>27.908366453189998</v>
      </c>
      <c r="O10" s="70" t="s">
        <v>637</v>
      </c>
      <c r="P10" s="70">
        <v>1.1783026345901013</v>
      </c>
      <c r="Q10" s="70">
        <v>0.89511692299987644</v>
      </c>
      <c r="R10" s="70">
        <v>0.92658044241002202</v>
      </c>
      <c r="S10" s="70">
        <v>0.69668256855075827</v>
      </c>
      <c r="T10" s="70">
        <v>0.66584853223395346</v>
      </c>
      <c r="U10" s="70">
        <v>0.6173140614767596</v>
      </c>
    </row>
    <row r="11" spans="1:24" ht="13.8" thickBot="1" x14ac:dyDescent="0.3">
      <c r="B11" s="63" t="s">
        <v>347</v>
      </c>
      <c r="C11" s="63" t="s">
        <v>598</v>
      </c>
      <c r="D11" s="80">
        <v>29.125631243600001</v>
      </c>
      <c r="G11" s="14"/>
      <c r="H11" s="83">
        <v>29.297763907739999</v>
      </c>
      <c r="I11" s="83">
        <v>29.735356946269999</v>
      </c>
      <c r="J11" s="83">
        <v>29.955167176300002</v>
      </c>
      <c r="K11" s="85">
        <v>27.840968510180002</v>
      </c>
      <c r="L11" s="85">
        <v>27.96809329965</v>
      </c>
      <c r="M11" s="85">
        <v>27.967194951420002</v>
      </c>
      <c r="O11" s="70" t="s">
        <v>607</v>
      </c>
      <c r="P11" s="70">
        <v>1.1347635402358047</v>
      </c>
      <c r="Q11" s="70">
        <v>0.95501711382739418</v>
      </c>
      <c r="R11" s="70">
        <v>0.91021934593680087</v>
      </c>
      <c r="S11" s="70">
        <v>0.23387022384050013</v>
      </c>
      <c r="T11" s="70">
        <v>0.25534096359223168</v>
      </c>
      <c r="U11" s="70">
        <v>0.25024541414434731</v>
      </c>
    </row>
    <row r="12" spans="1:24" x14ac:dyDescent="0.25">
      <c r="B12" s="63" t="s">
        <v>347</v>
      </c>
      <c r="C12" s="63" t="s">
        <v>598</v>
      </c>
      <c r="D12" s="80">
        <v>29.955167176300002</v>
      </c>
      <c r="G12" s="84" t="s">
        <v>607</v>
      </c>
      <c r="H12" s="88">
        <v>24.001013488769001</v>
      </c>
      <c r="I12" s="88">
        <v>23.965252227783001</v>
      </c>
      <c r="J12" s="88">
        <v>24.287331085205</v>
      </c>
      <c r="K12" s="88">
        <v>23.960826873779297</v>
      </c>
      <c r="L12" s="88">
        <v>23.954603576659999</v>
      </c>
      <c r="M12" s="88">
        <v>23.886563568115001</v>
      </c>
      <c r="O12" s="70" t="s">
        <v>648</v>
      </c>
      <c r="P12" s="70">
        <v>1.0405823223495376</v>
      </c>
      <c r="Q12" s="70">
        <v>0.84903382875877853</v>
      </c>
      <c r="R12" s="70">
        <v>1.116506231366202</v>
      </c>
      <c r="S12" s="70">
        <v>1.6548814872762563</v>
      </c>
      <c r="T12" s="70">
        <v>1.2946638579622438</v>
      </c>
      <c r="U12" s="70">
        <v>1.5453740458705831</v>
      </c>
    </row>
    <row r="13" spans="1:24" x14ac:dyDescent="0.25">
      <c r="B13" s="63" t="s">
        <v>608</v>
      </c>
      <c r="C13" s="63" t="s">
        <v>598</v>
      </c>
      <c r="D13" s="80">
        <v>27.968628234863001</v>
      </c>
      <c r="G13" s="1"/>
      <c r="H13" s="89">
        <v>23.963532294010001</v>
      </c>
      <c r="I13" s="89">
        <v>23.905797656210002</v>
      </c>
      <c r="J13" s="73">
        <v>24.239988965999999</v>
      </c>
      <c r="K13" s="73">
        <v>24.159708648845999</v>
      </c>
      <c r="L13" s="73">
        <v>23.957855244449998</v>
      </c>
      <c r="M13" s="73">
        <v>23.895377913640001</v>
      </c>
      <c r="O13" s="70" t="s">
        <v>610</v>
      </c>
      <c r="P13" s="70">
        <v>0.97724461922241324</v>
      </c>
      <c r="Q13" s="70">
        <v>0.84363694014376867</v>
      </c>
      <c r="R13" s="70">
        <v>1.179118440633818</v>
      </c>
      <c r="S13" s="70">
        <v>1.1834252752375534</v>
      </c>
      <c r="T13" s="70">
        <v>1.0660106206492919</v>
      </c>
      <c r="U13" s="70">
        <v>1.1229347742962956</v>
      </c>
    </row>
    <row r="14" spans="1:24" ht="13.8" thickBot="1" x14ac:dyDescent="0.3">
      <c r="B14" s="63" t="s">
        <v>608</v>
      </c>
      <c r="C14" s="63" t="s">
        <v>598</v>
      </c>
      <c r="D14" s="80">
        <v>27.802733529360001</v>
      </c>
      <c r="G14" s="14"/>
      <c r="H14" s="91">
        <v>23.97230697937</v>
      </c>
      <c r="I14" s="91">
        <v>23.93296077043</v>
      </c>
      <c r="J14" s="91">
        <v>24.233053183123999</v>
      </c>
      <c r="K14" s="91">
        <v>24.176671708890002</v>
      </c>
      <c r="L14" s="91">
        <v>23.917546721000001</v>
      </c>
      <c r="M14" s="91">
        <v>23.88726720451</v>
      </c>
      <c r="O14" s="70" t="s">
        <v>611</v>
      </c>
      <c r="P14" s="70">
        <v>1.1477551815382769</v>
      </c>
      <c r="Q14" s="70">
        <v>1.0745071058096285</v>
      </c>
      <c r="R14" s="70">
        <v>0.77773771265209524</v>
      </c>
      <c r="S14" s="70">
        <v>0.65889547588898867</v>
      </c>
      <c r="T14" s="70">
        <v>0.55937240298123569</v>
      </c>
      <c r="U14" s="70">
        <v>0.6439032260607771</v>
      </c>
    </row>
    <row r="15" spans="1:24" x14ac:dyDescent="0.25">
      <c r="B15" s="63" t="s">
        <v>608</v>
      </c>
      <c r="C15" s="63" t="s">
        <v>598</v>
      </c>
      <c r="D15" s="80">
        <v>27.840968510180002</v>
      </c>
      <c r="G15" s="84" t="s">
        <v>609</v>
      </c>
      <c r="H15" s="89">
        <v>29.734294738769002</v>
      </c>
      <c r="I15" s="89">
        <v>29.734294738769002</v>
      </c>
      <c r="J15" s="89">
        <v>29.286232910155999</v>
      </c>
      <c r="K15" s="89">
        <v>26.79894500732</v>
      </c>
      <c r="L15" s="89">
        <v>27.070623168939999</v>
      </c>
      <c r="M15" s="89">
        <v>26.773094177246001</v>
      </c>
      <c r="O15" s="70"/>
      <c r="P15" s="70"/>
      <c r="Q15" s="70"/>
      <c r="R15" s="70"/>
      <c r="S15" s="70"/>
      <c r="T15" s="70"/>
      <c r="U15" s="70"/>
    </row>
    <row r="16" spans="1:24" x14ac:dyDescent="0.25">
      <c r="B16" s="63" t="s">
        <v>602</v>
      </c>
      <c r="C16" s="63" t="s">
        <v>598</v>
      </c>
      <c r="D16" s="80">
        <v>27.803823471069336</v>
      </c>
      <c r="G16" s="1"/>
      <c r="H16" s="89">
        <v>29.201219034760001</v>
      </c>
      <c r="I16" s="89">
        <v>29.415274135779999</v>
      </c>
      <c r="J16" s="89">
        <v>29.157425375590002</v>
      </c>
      <c r="K16" s="73">
        <v>26.767599732000001</v>
      </c>
      <c r="L16" s="73">
        <v>27.126850458389999</v>
      </c>
      <c r="M16" s="73">
        <v>26.777482493889998</v>
      </c>
      <c r="O16" s="157" t="s">
        <v>451</v>
      </c>
      <c r="P16" s="157"/>
      <c r="Q16" s="157"/>
      <c r="R16" s="157"/>
      <c r="S16" s="157"/>
      <c r="T16" s="157"/>
      <c r="U16" s="157"/>
      <c r="V16" s="157"/>
      <c r="W16" s="157"/>
      <c r="X16" s="157"/>
    </row>
    <row r="17" spans="2:24" ht="13.8" thickBot="1" x14ac:dyDescent="0.3">
      <c r="B17" s="63" t="s">
        <v>602</v>
      </c>
      <c r="C17" s="63" t="s">
        <v>598</v>
      </c>
      <c r="D17" s="80">
        <v>27.949284565256999</v>
      </c>
      <c r="G17" s="14"/>
      <c r="H17" s="89">
        <v>29.872453015430001</v>
      </c>
      <c r="I17" s="89">
        <v>29.659667656149999</v>
      </c>
      <c r="J17" s="89">
        <v>29.928711733890001</v>
      </c>
      <c r="K17" s="73">
        <v>26.757931298399999</v>
      </c>
      <c r="L17" s="73">
        <v>27.10240215979</v>
      </c>
      <c r="M17" s="73">
        <v>26.735122632989999</v>
      </c>
      <c r="O17" s="52" t="s">
        <v>638</v>
      </c>
      <c r="Q17" s="52" t="s">
        <v>643</v>
      </c>
      <c r="S17" s="52" t="s">
        <v>649</v>
      </c>
      <c r="U17" s="52" t="s">
        <v>654</v>
      </c>
      <c r="W17" s="52" t="s">
        <v>659</v>
      </c>
    </row>
    <row r="18" spans="2:24" x14ac:dyDescent="0.25">
      <c r="B18" s="63" t="s">
        <v>602</v>
      </c>
      <c r="C18" s="63" t="s">
        <v>598</v>
      </c>
      <c r="D18" s="80">
        <v>27.96809329965</v>
      </c>
      <c r="G18" s="84" t="s">
        <v>610</v>
      </c>
      <c r="H18" s="92">
        <v>34.595254821776997</v>
      </c>
      <c r="I18" s="93">
        <v>34.440792541503001</v>
      </c>
      <c r="J18" s="93">
        <v>34.272091674804003</v>
      </c>
      <c r="K18" s="93">
        <v>32.161235351561999</v>
      </c>
      <c r="L18" s="93">
        <v>32.275453796386003</v>
      </c>
      <c r="M18" s="93">
        <v>32.054678649902002</v>
      </c>
      <c r="O18" s="53"/>
      <c r="P18" s="52"/>
      <c r="Q18" s="53"/>
      <c r="R18" s="52"/>
      <c r="S18" s="53"/>
      <c r="T18" s="52"/>
      <c r="U18" s="53"/>
      <c r="V18" s="52"/>
      <c r="W18" s="53"/>
      <c r="X18" s="52"/>
    </row>
    <row r="19" spans="2:24" x14ac:dyDescent="0.25">
      <c r="B19" s="63" t="s">
        <v>603</v>
      </c>
      <c r="C19" s="63" t="s">
        <v>598</v>
      </c>
      <c r="D19" s="80">
        <v>27.925167083740199</v>
      </c>
      <c r="G19" s="66"/>
      <c r="H19" s="73">
        <v>34.586829456190003</v>
      </c>
      <c r="I19" s="73">
        <v>34.543626785340003</v>
      </c>
      <c r="J19" s="73">
        <v>34.273154093830001</v>
      </c>
      <c r="K19" s="73">
        <v>32.111055938600003</v>
      </c>
      <c r="L19" s="73">
        <v>32.289982834450001</v>
      </c>
      <c r="M19" s="73">
        <v>32.134991340020001</v>
      </c>
      <c r="O19" s="53" t="s">
        <v>419</v>
      </c>
      <c r="P19" s="52" t="s">
        <v>608</v>
      </c>
      <c r="Q19" s="53" t="s">
        <v>419</v>
      </c>
      <c r="R19" s="52" t="s">
        <v>608</v>
      </c>
      <c r="S19" s="53" t="s">
        <v>419</v>
      </c>
      <c r="T19" s="52" t="s">
        <v>506</v>
      </c>
      <c r="U19" s="53" t="s">
        <v>419</v>
      </c>
      <c r="V19" s="52" t="s">
        <v>506</v>
      </c>
      <c r="W19" s="53" t="s">
        <v>419</v>
      </c>
      <c r="X19" s="52" t="s">
        <v>506</v>
      </c>
    </row>
    <row r="20" spans="2:24" ht="13.8" thickBot="1" x14ac:dyDescent="0.3">
      <c r="B20" s="63" t="s">
        <v>603</v>
      </c>
      <c r="C20" s="63" t="s">
        <v>598</v>
      </c>
      <c r="D20" s="80">
        <v>27.908366453189998</v>
      </c>
      <c r="G20" s="94"/>
      <c r="H20" s="73">
        <v>34.58496552714</v>
      </c>
      <c r="I20" s="73">
        <v>34.539701141610003</v>
      </c>
      <c r="J20" s="73">
        <v>34.278256861819997</v>
      </c>
      <c r="K20" s="73">
        <v>32.19074724659</v>
      </c>
      <c r="L20" s="73">
        <v>32.262791059640001</v>
      </c>
      <c r="M20" s="73">
        <v>32.16535976942</v>
      </c>
      <c r="O20" s="53" t="s">
        <v>421</v>
      </c>
      <c r="P20" s="52" t="s">
        <v>421</v>
      </c>
      <c r="Q20" s="53" t="s">
        <v>421</v>
      </c>
      <c r="R20" s="52" t="s">
        <v>421</v>
      </c>
      <c r="S20" s="53" t="s">
        <v>421</v>
      </c>
      <c r="T20" s="52" t="s">
        <v>421</v>
      </c>
      <c r="U20" s="53" t="s">
        <v>421</v>
      </c>
      <c r="V20" s="52" t="s">
        <v>421</v>
      </c>
      <c r="W20" s="53" t="s">
        <v>421</v>
      </c>
      <c r="X20" s="52" t="s">
        <v>421</v>
      </c>
    </row>
    <row r="21" spans="2:24" x14ac:dyDescent="0.25">
      <c r="B21" s="63" t="s">
        <v>603</v>
      </c>
      <c r="C21" s="63" t="s">
        <v>598</v>
      </c>
      <c r="D21" s="80">
        <v>27.967194951420002</v>
      </c>
      <c r="G21" s="84" t="s">
        <v>611</v>
      </c>
      <c r="H21" s="92">
        <v>27.201228271483998</v>
      </c>
      <c r="I21" s="93">
        <v>27.008945465086999</v>
      </c>
      <c r="J21" s="93">
        <v>27.703176422119</v>
      </c>
      <c r="K21" s="93">
        <v>25.852842864989999</v>
      </c>
      <c r="L21" s="93">
        <v>26.054673461914</v>
      </c>
      <c r="M21" s="93">
        <v>25.778917083740001</v>
      </c>
      <c r="O21" s="53" t="s">
        <v>422</v>
      </c>
      <c r="P21" s="52" t="s">
        <v>491</v>
      </c>
      <c r="Q21" s="53" t="s">
        <v>422</v>
      </c>
      <c r="R21" s="52" t="s">
        <v>491</v>
      </c>
      <c r="S21" s="53" t="s">
        <v>422</v>
      </c>
      <c r="T21" s="52" t="s">
        <v>507</v>
      </c>
      <c r="U21" s="53" t="s">
        <v>422</v>
      </c>
      <c r="V21" s="52" t="s">
        <v>507</v>
      </c>
      <c r="W21" s="53" t="s">
        <v>422</v>
      </c>
      <c r="X21" s="52" t="s">
        <v>507</v>
      </c>
    </row>
    <row r="22" spans="2:24" x14ac:dyDescent="0.25">
      <c r="B22" s="63" t="s">
        <v>491</v>
      </c>
      <c r="C22" s="95" t="s">
        <v>607</v>
      </c>
      <c r="D22" s="96">
        <v>24.001013488769001</v>
      </c>
      <c r="G22" s="1"/>
      <c r="H22" s="83">
        <v>27.237619876330001</v>
      </c>
      <c r="I22" s="73">
        <v>27.0098863622</v>
      </c>
      <c r="J22" s="73">
        <v>27.737694013500001</v>
      </c>
      <c r="K22" s="73">
        <v>25.849195612949998</v>
      </c>
      <c r="L22" s="73">
        <v>26.057067752590001</v>
      </c>
      <c r="M22" s="73">
        <v>25.738962680109999</v>
      </c>
      <c r="O22" s="53"/>
      <c r="P22" s="52"/>
      <c r="Q22" s="53"/>
      <c r="R22" s="52"/>
      <c r="S22" s="53"/>
      <c r="T22" s="52"/>
      <c r="U22" s="53"/>
      <c r="V22" s="52"/>
      <c r="W22" s="53"/>
      <c r="X22" s="52"/>
    </row>
    <row r="23" spans="2:24" ht="13.8" thickBot="1" x14ac:dyDescent="0.3">
      <c r="B23" s="63" t="s">
        <v>491</v>
      </c>
      <c r="C23" s="95" t="s">
        <v>607</v>
      </c>
      <c r="D23" s="96">
        <v>23.963532294010001</v>
      </c>
      <c r="G23" s="14"/>
      <c r="H23" s="97">
        <v>27.174692877279998</v>
      </c>
      <c r="I23" s="97">
        <v>27.000907220660999</v>
      </c>
      <c r="J23" s="97">
        <v>27.72625244676</v>
      </c>
      <c r="K23" s="97">
        <v>25.838102452219999</v>
      </c>
      <c r="L23" s="97">
        <v>26.05007009022</v>
      </c>
      <c r="M23" s="97">
        <v>25.78678617141</v>
      </c>
      <c r="O23" s="53" t="s">
        <v>424</v>
      </c>
      <c r="P23" s="52"/>
      <c r="Q23" s="53" t="s">
        <v>424</v>
      </c>
      <c r="R23" s="52"/>
      <c r="S23" s="53" t="s">
        <v>424</v>
      </c>
      <c r="T23" s="52"/>
      <c r="U23" s="53" t="s">
        <v>424</v>
      </c>
      <c r="V23" s="52"/>
      <c r="W23" s="53" t="s">
        <v>424</v>
      </c>
      <c r="X23" s="52"/>
    </row>
    <row r="24" spans="2:24" x14ac:dyDescent="0.25">
      <c r="B24" s="63" t="s">
        <v>491</v>
      </c>
      <c r="C24" s="95" t="s">
        <v>607</v>
      </c>
      <c r="D24" s="96">
        <v>23.97230697937</v>
      </c>
      <c r="G24" s="12"/>
      <c r="H24" s="98"/>
      <c r="I24" s="98"/>
      <c r="J24" s="98"/>
      <c r="K24" s="98"/>
      <c r="L24" s="98"/>
      <c r="M24" s="98"/>
      <c r="O24" s="53" t="s">
        <v>425</v>
      </c>
      <c r="P24" s="52">
        <v>2.1299999999999999E-2</v>
      </c>
      <c r="Q24" s="53" t="s">
        <v>425</v>
      </c>
      <c r="R24" s="52">
        <v>4.0000000000000002E-4</v>
      </c>
      <c r="S24" s="53" t="s">
        <v>425</v>
      </c>
      <c r="T24" s="52">
        <v>4.1999999999999997E-3</v>
      </c>
      <c r="U24" s="53" t="s">
        <v>425</v>
      </c>
      <c r="V24" s="52">
        <v>0.29549999999999998</v>
      </c>
      <c r="W24" s="53" t="s">
        <v>425</v>
      </c>
      <c r="X24" s="52">
        <v>3.1899999999999998E-2</v>
      </c>
    </row>
    <row r="25" spans="2:24" x14ac:dyDescent="0.25">
      <c r="B25" s="63" t="s">
        <v>352</v>
      </c>
      <c r="C25" s="95" t="s">
        <v>607</v>
      </c>
      <c r="D25" s="96">
        <v>23.965252227783001</v>
      </c>
      <c r="G25" s="12"/>
      <c r="H25" s="159"/>
      <c r="I25" s="159"/>
      <c r="J25" s="159"/>
      <c r="K25" s="159"/>
      <c r="L25" s="159"/>
      <c r="M25" s="159"/>
      <c r="O25" s="53" t="s">
        <v>426</v>
      </c>
      <c r="P25" s="52" t="s">
        <v>508</v>
      </c>
      <c r="Q25" s="53" t="s">
        <v>426</v>
      </c>
      <c r="R25" s="52" t="s">
        <v>454</v>
      </c>
      <c r="S25" s="53" t="s">
        <v>426</v>
      </c>
      <c r="T25" s="52" t="s">
        <v>427</v>
      </c>
      <c r="U25" s="53" t="s">
        <v>426</v>
      </c>
      <c r="V25" s="52" t="s">
        <v>445</v>
      </c>
      <c r="W25" s="53" t="s">
        <v>426</v>
      </c>
      <c r="X25" s="52" t="s">
        <v>508</v>
      </c>
    </row>
    <row r="26" spans="2:24" ht="13.8" thickBot="1" x14ac:dyDescent="0.3">
      <c r="B26" s="63" t="s">
        <v>352</v>
      </c>
      <c r="C26" s="95" t="s">
        <v>607</v>
      </c>
      <c r="D26" s="96">
        <v>23.905797656210002</v>
      </c>
      <c r="G26" s="99"/>
      <c r="H26" s="81" t="s">
        <v>412</v>
      </c>
      <c r="I26" s="81" t="s">
        <v>412</v>
      </c>
      <c r="J26" s="81" t="s">
        <v>412</v>
      </c>
      <c r="K26" s="81" t="s">
        <v>413</v>
      </c>
      <c r="L26" s="81" t="s">
        <v>413</v>
      </c>
      <c r="M26" s="81" t="s">
        <v>413</v>
      </c>
      <c r="O26" s="53" t="s">
        <v>428</v>
      </c>
      <c r="P26" s="52" t="s">
        <v>429</v>
      </c>
      <c r="Q26" s="53" t="s">
        <v>428</v>
      </c>
      <c r="R26" s="52" t="s">
        <v>429</v>
      </c>
      <c r="S26" s="53" t="s">
        <v>428</v>
      </c>
      <c r="T26" s="52" t="s">
        <v>429</v>
      </c>
      <c r="U26" s="53" t="s">
        <v>428</v>
      </c>
      <c r="V26" s="52" t="s">
        <v>446</v>
      </c>
      <c r="W26" s="53" t="s">
        <v>428</v>
      </c>
      <c r="X26" s="52" t="s">
        <v>429</v>
      </c>
    </row>
    <row r="27" spans="2:24" x14ac:dyDescent="0.25">
      <c r="B27" s="63" t="s">
        <v>352</v>
      </c>
      <c r="C27" s="95" t="s">
        <v>607</v>
      </c>
      <c r="D27" s="96">
        <v>23.93296077043</v>
      </c>
      <c r="G27" s="63" t="s">
        <v>604</v>
      </c>
      <c r="H27" s="22">
        <f>AVERAGE(H6,H7,H8)</f>
        <v>29.729864881493665</v>
      </c>
      <c r="I27" s="22">
        <f t="shared" ref="I27:M27" si="0">AVERAGE(I6,I7,I8)</f>
        <v>29.436790967468998</v>
      </c>
      <c r="J27" s="22">
        <f t="shared" si="0"/>
        <v>29.686266157635</v>
      </c>
      <c r="K27" s="22">
        <f t="shared" si="0"/>
        <v>27.571371430811997</v>
      </c>
      <c r="L27" s="22">
        <f t="shared" si="0"/>
        <v>27.542354347267665</v>
      </c>
      <c r="M27" s="22">
        <f t="shared" si="0"/>
        <v>27.459674023019332</v>
      </c>
      <c r="O27" s="53" t="s">
        <v>430</v>
      </c>
      <c r="P27" s="52" t="s">
        <v>431</v>
      </c>
      <c r="Q27" s="53" t="s">
        <v>430</v>
      </c>
      <c r="R27" s="52" t="s">
        <v>431</v>
      </c>
      <c r="S27" s="53" t="s">
        <v>430</v>
      </c>
      <c r="T27" s="52" t="s">
        <v>572</v>
      </c>
      <c r="U27" s="53" t="s">
        <v>430</v>
      </c>
      <c r="V27" s="52" t="s">
        <v>431</v>
      </c>
      <c r="W27" s="53" t="s">
        <v>430</v>
      </c>
      <c r="X27" s="52" t="s">
        <v>431</v>
      </c>
    </row>
    <row r="28" spans="2:24" ht="13.8" x14ac:dyDescent="0.25">
      <c r="B28" s="63" t="s">
        <v>347</v>
      </c>
      <c r="C28" s="95" t="s">
        <v>607</v>
      </c>
      <c r="D28" s="96">
        <v>24.287331085205</v>
      </c>
      <c r="G28" s="12"/>
      <c r="H28" s="100"/>
      <c r="I28" s="100"/>
      <c r="J28" s="100"/>
      <c r="K28" s="22"/>
      <c r="L28" s="22"/>
      <c r="M28" s="22"/>
      <c r="O28" s="53" t="s">
        <v>432</v>
      </c>
      <c r="P28" s="52" t="s">
        <v>639</v>
      </c>
      <c r="Q28" s="53" t="s">
        <v>432</v>
      </c>
      <c r="R28" s="52" t="s">
        <v>644</v>
      </c>
      <c r="S28" s="53" t="s">
        <v>432</v>
      </c>
      <c r="T28" s="52" t="s">
        <v>650</v>
      </c>
      <c r="U28" s="53" t="s">
        <v>432</v>
      </c>
      <c r="V28" s="52" t="s">
        <v>655</v>
      </c>
      <c r="W28" s="53" t="s">
        <v>432</v>
      </c>
      <c r="X28" s="52" t="s">
        <v>660</v>
      </c>
    </row>
    <row r="29" spans="2:24" ht="13.8" x14ac:dyDescent="0.25">
      <c r="B29" s="63" t="s">
        <v>347</v>
      </c>
      <c r="C29" s="95" t="s">
        <v>607</v>
      </c>
      <c r="D29" s="96">
        <v>24.239988965999999</v>
      </c>
      <c r="G29" s="12"/>
      <c r="H29" s="100"/>
      <c r="I29" s="100"/>
      <c r="J29" s="100"/>
      <c r="K29" s="22"/>
      <c r="L29" s="22"/>
      <c r="M29" s="22"/>
      <c r="O29" s="53"/>
      <c r="P29" s="52"/>
      <c r="Q29" s="53"/>
      <c r="R29" s="52"/>
      <c r="S29" s="53"/>
      <c r="T29" s="52"/>
      <c r="U29" s="53"/>
      <c r="V29" s="52"/>
      <c r="W29" s="53"/>
      <c r="X29" s="52"/>
    </row>
    <row r="30" spans="2:24" x14ac:dyDescent="0.25">
      <c r="B30" s="63" t="s">
        <v>347</v>
      </c>
      <c r="C30" s="95" t="s">
        <v>607</v>
      </c>
      <c r="D30" s="96">
        <v>24.233053183123999</v>
      </c>
      <c r="G30" s="84" t="s">
        <v>598</v>
      </c>
      <c r="H30" s="22">
        <f t="shared" ref="H30:M30" si="1">AVERAGE(H9,H10,H11)</f>
        <v>29.271133452758203</v>
      </c>
      <c r="I30" s="22">
        <f t="shared" si="1"/>
        <v>29.374621617300999</v>
      </c>
      <c r="J30" s="22">
        <f t="shared" si="1"/>
        <v>29.57425672020733</v>
      </c>
      <c r="K30" s="22">
        <f t="shared" si="1"/>
        <v>27.870776758134337</v>
      </c>
      <c r="L30" s="22">
        <f t="shared" si="1"/>
        <v>27.907067111992109</v>
      </c>
      <c r="M30" s="22">
        <f t="shared" si="1"/>
        <v>27.9335761627834</v>
      </c>
      <c r="O30" s="53" t="s">
        <v>434</v>
      </c>
      <c r="P30" s="52"/>
      <c r="Q30" s="53" t="s">
        <v>434</v>
      </c>
      <c r="R30" s="52"/>
      <c r="S30" s="53" t="s">
        <v>434</v>
      </c>
      <c r="T30" s="52"/>
      <c r="U30" s="53" t="s">
        <v>434</v>
      </c>
      <c r="V30" s="52"/>
      <c r="W30" s="53" t="s">
        <v>434</v>
      </c>
      <c r="X30" s="52"/>
    </row>
    <row r="31" spans="2:24" x14ac:dyDescent="0.25">
      <c r="B31" s="63" t="s">
        <v>608</v>
      </c>
      <c r="C31" s="95" t="s">
        <v>607</v>
      </c>
      <c r="D31" s="96">
        <v>23.960826873779297</v>
      </c>
      <c r="G31" s="66"/>
      <c r="H31" s="22">
        <f t="shared" ref="H31:M31" si="2">H30-H27</f>
        <v>-0.45873142873546158</v>
      </c>
      <c r="I31" s="22">
        <f t="shared" si="2"/>
        <v>-6.2169350167998516E-2</v>
      </c>
      <c r="J31" s="22">
        <f t="shared" si="2"/>
        <v>-0.11200943742766967</v>
      </c>
      <c r="K31" s="22">
        <f t="shared" si="2"/>
        <v>0.29940532732234004</v>
      </c>
      <c r="L31" s="22">
        <f t="shared" si="2"/>
        <v>0.36471276472444458</v>
      </c>
      <c r="M31" s="22">
        <f t="shared" si="2"/>
        <v>0.4739021397640677</v>
      </c>
      <c r="O31" s="53" t="s">
        <v>435</v>
      </c>
      <c r="P31" s="52">
        <v>1</v>
      </c>
      <c r="Q31" s="53" t="s">
        <v>435</v>
      </c>
      <c r="R31" s="52">
        <v>1</v>
      </c>
      <c r="S31" s="53" t="s">
        <v>435</v>
      </c>
      <c r="T31" s="52">
        <v>1.002</v>
      </c>
      <c r="U31" s="53" t="s">
        <v>435</v>
      </c>
      <c r="V31" s="52">
        <v>1</v>
      </c>
      <c r="W31" s="53" t="s">
        <v>435</v>
      </c>
      <c r="X31" s="52">
        <v>1</v>
      </c>
    </row>
    <row r="32" spans="2:24" x14ac:dyDescent="0.25">
      <c r="B32" s="63" t="s">
        <v>608</v>
      </c>
      <c r="C32" s="95" t="s">
        <v>607</v>
      </c>
      <c r="D32" s="96">
        <v>24.159708648845999</v>
      </c>
      <c r="G32" s="66"/>
      <c r="H32" s="23">
        <f>AVERAGE(H31:J31)</f>
        <v>-0.21097007211037658</v>
      </c>
      <c r="J32" s="22"/>
      <c r="K32" s="22"/>
      <c r="L32" s="22"/>
      <c r="M32" s="22"/>
      <c r="O32" s="53" t="s">
        <v>436</v>
      </c>
      <c r="P32" s="52">
        <v>0.65990000000000004</v>
      </c>
      <c r="Q32" s="53" t="s">
        <v>436</v>
      </c>
      <c r="R32" s="52">
        <v>0.2465</v>
      </c>
      <c r="S32" s="53" t="s">
        <v>436</v>
      </c>
      <c r="T32" s="52">
        <v>1.5316000000000001</v>
      </c>
      <c r="U32" s="53" t="s">
        <v>436</v>
      </c>
      <c r="V32" s="52">
        <v>1.1240000000000001</v>
      </c>
      <c r="W32" s="53" t="s">
        <v>436</v>
      </c>
      <c r="X32" s="52">
        <v>0.62070000000000003</v>
      </c>
    </row>
    <row r="33" spans="2:24" x14ac:dyDescent="0.25">
      <c r="B33" s="63" t="s">
        <v>608</v>
      </c>
      <c r="C33" s="95" t="s">
        <v>607</v>
      </c>
      <c r="D33" s="96">
        <v>24.176671708890002</v>
      </c>
      <c r="G33" s="66"/>
      <c r="H33" s="22">
        <f>H31-$H$32</f>
        <v>-0.247761356625085</v>
      </c>
      <c r="I33" s="22">
        <f t="shared" ref="I33:M33" si="3">I31-$H$32</f>
        <v>0.14880072194237806</v>
      </c>
      <c r="J33" s="22">
        <f t="shared" si="3"/>
        <v>9.8960634682706911E-2</v>
      </c>
      <c r="K33" s="22">
        <f t="shared" si="3"/>
        <v>0.51037539943271659</v>
      </c>
      <c r="L33" s="22">
        <f t="shared" si="3"/>
        <v>0.57568283683482113</v>
      </c>
      <c r="M33" s="22">
        <f t="shared" si="3"/>
        <v>0.68487221187444425</v>
      </c>
      <c r="O33" s="53" t="s">
        <v>437</v>
      </c>
      <c r="P33" s="52" t="s">
        <v>640</v>
      </c>
      <c r="Q33" s="53" t="s">
        <v>437</v>
      </c>
      <c r="R33" s="52" t="s">
        <v>645</v>
      </c>
      <c r="S33" s="53" t="s">
        <v>437</v>
      </c>
      <c r="T33" s="52" t="s">
        <v>651</v>
      </c>
      <c r="U33" s="53" t="s">
        <v>437</v>
      </c>
      <c r="V33" s="52" t="s">
        <v>656</v>
      </c>
      <c r="W33" s="53" t="s">
        <v>437</v>
      </c>
      <c r="X33" s="52" t="s">
        <v>661</v>
      </c>
    </row>
    <row r="34" spans="2:24" x14ac:dyDescent="0.25">
      <c r="B34" s="63" t="s">
        <v>602</v>
      </c>
      <c r="C34" s="95" t="s">
        <v>607</v>
      </c>
      <c r="D34" s="96">
        <v>23.954603576659999</v>
      </c>
      <c r="H34" s="23">
        <f t="shared" ref="H34:M34" si="4">POWER(2,-H33)</f>
        <v>1.1873632421582279</v>
      </c>
      <c r="I34" s="23">
        <f t="shared" si="4"/>
        <v>0.90199996215196332</v>
      </c>
      <c r="J34" s="23">
        <f t="shared" si="4"/>
        <v>0.93370542161529968</v>
      </c>
      <c r="K34" s="23">
        <f t="shared" si="4"/>
        <v>0.70203973840499423</v>
      </c>
      <c r="L34" s="23">
        <f t="shared" si="4"/>
        <v>0.67096860247166756</v>
      </c>
      <c r="M34" s="23">
        <f t="shared" si="4"/>
        <v>0.62206092386434397</v>
      </c>
      <c r="O34" s="53" t="s">
        <v>439</v>
      </c>
      <c r="P34" s="52" t="s">
        <v>641</v>
      </c>
      <c r="Q34" s="53" t="s">
        <v>439</v>
      </c>
      <c r="R34" s="52" t="s">
        <v>646</v>
      </c>
      <c r="S34" s="53" t="s">
        <v>439</v>
      </c>
      <c r="T34" s="52" t="s">
        <v>652</v>
      </c>
      <c r="U34" s="53" t="s">
        <v>439</v>
      </c>
      <c r="V34" s="52" t="s">
        <v>657</v>
      </c>
      <c r="W34" s="53" t="s">
        <v>439</v>
      </c>
      <c r="X34" s="52" t="s">
        <v>662</v>
      </c>
    </row>
    <row r="35" spans="2:24" x14ac:dyDescent="0.25">
      <c r="B35" s="63" t="s">
        <v>602</v>
      </c>
      <c r="C35" s="95" t="s">
        <v>607</v>
      </c>
      <c r="D35" s="96">
        <v>23.957855244449998</v>
      </c>
      <c r="H35" s="22">
        <f>AVERAGE(H34:J34)</f>
        <v>1.0076895419751637</v>
      </c>
      <c r="J35" s="22"/>
      <c r="K35" s="22"/>
      <c r="L35" s="22"/>
      <c r="M35" s="22"/>
      <c r="O35" s="53" t="s">
        <v>441</v>
      </c>
      <c r="P35" s="52">
        <v>0.77149999999999996</v>
      </c>
      <c r="Q35" s="53" t="s">
        <v>441</v>
      </c>
      <c r="R35" s="52">
        <v>0.96760000000000002</v>
      </c>
      <c r="S35" s="53" t="s">
        <v>441</v>
      </c>
      <c r="T35" s="52">
        <v>0.85363</v>
      </c>
      <c r="U35" s="53" t="s">
        <v>441</v>
      </c>
      <c r="V35" s="52">
        <v>0.26550000000000001</v>
      </c>
      <c r="W35" s="53" t="s">
        <v>441</v>
      </c>
      <c r="X35" s="52">
        <v>0.72330000000000005</v>
      </c>
    </row>
    <row r="36" spans="2:24" x14ac:dyDescent="0.25">
      <c r="B36" s="63" t="s">
        <v>602</v>
      </c>
      <c r="C36" s="95" t="s">
        <v>607</v>
      </c>
      <c r="D36" s="96">
        <v>23.917546721000001</v>
      </c>
      <c r="G36" s="66"/>
      <c r="H36" s="23">
        <f>H34/$H$35</f>
        <v>1.1783026345901013</v>
      </c>
      <c r="I36" s="23">
        <f t="shared" ref="I36:M36" si="5">I34/$H$35</f>
        <v>0.89511692299987644</v>
      </c>
      <c r="J36" s="23">
        <f t="shared" si="5"/>
        <v>0.92658044241002202</v>
      </c>
      <c r="K36" s="23">
        <f t="shared" si="5"/>
        <v>0.69668256855075827</v>
      </c>
      <c r="L36" s="23">
        <f t="shared" si="5"/>
        <v>0.66584853223395346</v>
      </c>
      <c r="M36" s="23">
        <f t="shared" si="5"/>
        <v>0.6173140614767596</v>
      </c>
      <c r="O36" s="53"/>
      <c r="P36" s="52"/>
      <c r="Q36" s="53"/>
      <c r="R36" s="52"/>
      <c r="S36" s="53"/>
      <c r="T36" s="52"/>
      <c r="U36" s="53"/>
      <c r="V36" s="52"/>
      <c r="W36" s="53"/>
      <c r="X36" s="52"/>
    </row>
    <row r="37" spans="2:24" x14ac:dyDescent="0.25">
      <c r="B37" s="63" t="s">
        <v>603</v>
      </c>
      <c r="C37" s="95" t="s">
        <v>607</v>
      </c>
      <c r="D37" s="96">
        <v>23.886563568115001</v>
      </c>
      <c r="G37" s="66" t="s">
        <v>587</v>
      </c>
      <c r="H37" s="156">
        <f>AVERAGE(H36:J36)</f>
        <v>0.99999999999999989</v>
      </c>
      <c r="I37" s="156"/>
      <c r="J37" s="156"/>
      <c r="K37" s="156">
        <f>AVERAGE(K36:M36)</f>
        <v>0.65994838742049045</v>
      </c>
      <c r="L37" s="156"/>
      <c r="M37" s="156"/>
      <c r="O37" s="53" t="s">
        <v>442</v>
      </c>
      <c r="P37" s="52"/>
      <c r="Q37" s="53" t="s">
        <v>442</v>
      </c>
      <c r="R37" s="52"/>
      <c r="S37" s="53" t="s">
        <v>442</v>
      </c>
      <c r="T37" s="52"/>
      <c r="U37" s="53" t="s">
        <v>442</v>
      </c>
      <c r="V37" s="52"/>
      <c r="W37" s="53" t="s">
        <v>442</v>
      </c>
      <c r="X37" s="52"/>
    </row>
    <row r="38" spans="2:24" x14ac:dyDescent="0.25">
      <c r="B38" s="63" t="s">
        <v>603</v>
      </c>
      <c r="C38" s="95" t="s">
        <v>607</v>
      </c>
      <c r="D38" s="96">
        <v>23.895377913640001</v>
      </c>
      <c r="G38" s="66" t="s">
        <v>588</v>
      </c>
      <c r="H38" s="156">
        <f>STDEVP(H36:J36)/SQRT(COUNT(H36:J36))</f>
        <v>7.3168542709049184E-2</v>
      </c>
      <c r="I38" s="156"/>
      <c r="J38" s="156"/>
      <c r="K38" s="156">
        <f t="shared" ref="K38" si="6">STDEVP(K36:M36)/SQRT(COUNT(K36:M36))</f>
        <v>1.8861770627404705E-2</v>
      </c>
      <c r="L38" s="156"/>
      <c r="M38" s="156"/>
      <c r="O38" s="53" t="s">
        <v>443</v>
      </c>
      <c r="P38" s="52" t="s">
        <v>642</v>
      </c>
      <c r="Q38" s="53" t="s">
        <v>443</v>
      </c>
      <c r="R38" s="52" t="s">
        <v>647</v>
      </c>
      <c r="S38" s="53" t="s">
        <v>443</v>
      </c>
      <c r="T38" s="52" t="s">
        <v>653</v>
      </c>
      <c r="U38" s="53" t="s">
        <v>443</v>
      </c>
      <c r="V38" s="52" t="s">
        <v>658</v>
      </c>
      <c r="W38" s="53" t="s">
        <v>443</v>
      </c>
      <c r="X38" s="52" t="s">
        <v>663</v>
      </c>
    </row>
    <row r="39" spans="2:24" x14ac:dyDescent="0.25">
      <c r="B39" s="63" t="s">
        <v>603</v>
      </c>
      <c r="C39" s="95" t="s">
        <v>607</v>
      </c>
      <c r="D39" s="96">
        <v>23.88726720451</v>
      </c>
      <c r="G39" s="66"/>
      <c r="H39" s="101"/>
      <c r="I39" s="101"/>
      <c r="J39" s="101"/>
      <c r="K39" s="101"/>
      <c r="L39" s="101"/>
      <c r="M39" s="101"/>
      <c r="O39" s="53" t="s">
        <v>425</v>
      </c>
      <c r="P39" s="52">
        <v>0.1246</v>
      </c>
      <c r="Q39" s="53" t="s">
        <v>425</v>
      </c>
      <c r="R39" s="52">
        <v>1.77E-2</v>
      </c>
      <c r="S39" s="53" t="s">
        <v>425</v>
      </c>
      <c r="T39" s="52">
        <v>0.94650000000000001</v>
      </c>
      <c r="U39" s="53" t="s">
        <v>425</v>
      </c>
      <c r="V39" s="52">
        <v>0.2157</v>
      </c>
      <c r="W39" s="53" t="s">
        <v>425</v>
      </c>
      <c r="X39" s="52">
        <v>0.13950000000000001</v>
      </c>
    </row>
    <row r="40" spans="2:24" x14ac:dyDescent="0.25">
      <c r="B40" s="63" t="s">
        <v>491</v>
      </c>
      <c r="C40" s="63" t="s">
        <v>609</v>
      </c>
      <c r="D40" s="80">
        <v>29.734294738769002</v>
      </c>
      <c r="G40" s="84" t="s">
        <v>607</v>
      </c>
      <c r="H40" s="22">
        <f>AVERAGE(H12,H13,H14)</f>
        <v>23.978950920716333</v>
      </c>
      <c r="I40" s="22">
        <f t="shared" ref="I40:M40" si="7">AVERAGE(I12,I13,I14)</f>
        <v>23.934670218140997</v>
      </c>
      <c r="J40" s="22">
        <f t="shared" si="7"/>
        <v>24.25345774477633</v>
      </c>
      <c r="K40" s="22">
        <f t="shared" si="7"/>
        <v>24.099069077171766</v>
      </c>
      <c r="L40" s="22">
        <f t="shared" si="7"/>
        <v>23.943335180703333</v>
      </c>
      <c r="M40" s="22">
        <f t="shared" si="7"/>
        <v>23.889736228754998</v>
      </c>
      <c r="O40" s="53" t="s">
        <v>426</v>
      </c>
      <c r="P40" s="52" t="s">
        <v>445</v>
      </c>
      <c r="Q40" s="53" t="s">
        <v>426</v>
      </c>
      <c r="R40" s="52" t="s">
        <v>508</v>
      </c>
      <c r="S40" s="53" t="s">
        <v>426</v>
      </c>
      <c r="T40" s="52" t="s">
        <v>445</v>
      </c>
      <c r="U40" s="53" t="s">
        <v>426</v>
      </c>
      <c r="V40" s="52" t="s">
        <v>445</v>
      </c>
      <c r="W40" s="53" t="s">
        <v>426</v>
      </c>
      <c r="X40" s="52" t="s">
        <v>445</v>
      </c>
    </row>
    <row r="41" spans="2:24" x14ac:dyDescent="0.25">
      <c r="B41" s="63" t="s">
        <v>491</v>
      </c>
      <c r="C41" s="63" t="s">
        <v>609</v>
      </c>
      <c r="D41" s="80">
        <v>29.201219034760001</v>
      </c>
      <c r="H41" s="22">
        <f t="shared" ref="H41:M41" si="8">H40-H27</f>
        <v>-5.7509139607773321</v>
      </c>
      <c r="I41" s="22">
        <f t="shared" si="8"/>
        <v>-5.5021207493280002</v>
      </c>
      <c r="J41" s="22">
        <f t="shared" si="8"/>
        <v>-5.4328084128586696</v>
      </c>
      <c r="K41" s="22">
        <f t="shared" si="8"/>
        <v>-3.4723023536402309</v>
      </c>
      <c r="L41" s="22">
        <f t="shared" si="8"/>
        <v>-3.5990191665643323</v>
      </c>
      <c r="M41" s="22">
        <f t="shared" si="8"/>
        <v>-3.5699377942643338</v>
      </c>
      <c r="O41" s="53" t="s">
        <v>428</v>
      </c>
      <c r="P41" s="52" t="s">
        <v>446</v>
      </c>
      <c r="Q41" s="53" t="s">
        <v>428</v>
      </c>
      <c r="R41" s="52" t="s">
        <v>429</v>
      </c>
      <c r="S41" s="53" t="s">
        <v>428</v>
      </c>
      <c r="T41" s="52" t="s">
        <v>446</v>
      </c>
      <c r="U41" s="53" t="s">
        <v>428</v>
      </c>
      <c r="V41" s="52" t="s">
        <v>446</v>
      </c>
      <c r="W41" s="53" t="s">
        <v>428</v>
      </c>
      <c r="X41" s="52" t="s">
        <v>446</v>
      </c>
    </row>
    <row r="42" spans="2:24" x14ac:dyDescent="0.25">
      <c r="B42" s="63" t="s">
        <v>491</v>
      </c>
      <c r="C42" s="63" t="s">
        <v>609</v>
      </c>
      <c r="D42" s="80">
        <v>29.872453015430001</v>
      </c>
      <c r="H42" s="23">
        <f>AVERAGE(H41:J41)</f>
        <v>-5.5619477076546673</v>
      </c>
      <c r="J42" s="22"/>
      <c r="K42" s="22"/>
      <c r="L42" s="22"/>
      <c r="M42" s="22"/>
      <c r="O42" s="53"/>
      <c r="P42" s="52"/>
      <c r="Q42" s="53"/>
      <c r="R42" s="52"/>
      <c r="S42" s="53"/>
      <c r="T42" s="52"/>
      <c r="U42" s="53"/>
      <c r="V42" s="52"/>
      <c r="W42" s="53"/>
      <c r="X42" s="52"/>
    </row>
    <row r="43" spans="2:24" x14ac:dyDescent="0.25">
      <c r="B43" s="63" t="s">
        <v>352</v>
      </c>
      <c r="C43" s="63" t="s">
        <v>609</v>
      </c>
      <c r="D43" s="80">
        <v>29.734294738769002</v>
      </c>
      <c r="H43" s="22">
        <f>H41-$H$42</f>
        <v>-0.1889662531226648</v>
      </c>
      <c r="I43" s="22">
        <f t="shared" ref="I43:M43" si="9">I41-$H$42</f>
        <v>5.9826958326667068E-2</v>
      </c>
      <c r="J43" s="22">
        <f t="shared" si="9"/>
        <v>0.12913929479599773</v>
      </c>
      <c r="K43" s="22">
        <f t="shared" si="9"/>
        <v>2.0896453540144364</v>
      </c>
      <c r="L43" s="22">
        <f t="shared" si="9"/>
        <v>1.962928541090335</v>
      </c>
      <c r="M43" s="22">
        <f t="shared" si="9"/>
        <v>1.9920099133903335</v>
      </c>
      <c r="O43" s="53" t="s">
        <v>447</v>
      </c>
      <c r="P43" s="52"/>
      <c r="Q43" s="53" t="s">
        <v>447</v>
      </c>
      <c r="R43" s="52"/>
      <c r="S43" s="53" t="s">
        <v>447</v>
      </c>
      <c r="T43" s="52"/>
      <c r="U43" s="53" t="s">
        <v>447</v>
      </c>
      <c r="V43" s="52"/>
      <c r="W43" s="53" t="s">
        <v>447</v>
      </c>
      <c r="X43" s="52"/>
    </row>
    <row r="44" spans="2:24" x14ac:dyDescent="0.25">
      <c r="B44" s="63" t="s">
        <v>352</v>
      </c>
      <c r="C44" s="63" t="s">
        <v>609</v>
      </c>
      <c r="D44" s="80">
        <v>29.415274135779999</v>
      </c>
      <c r="H44" s="23">
        <f t="shared" ref="H44:M44" si="10">POWER(2,-H43)</f>
        <v>1.1399466072602478</v>
      </c>
      <c r="I44" s="23">
        <f t="shared" si="10"/>
        <v>0.95937918357580088</v>
      </c>
      <c r="J44" s="23">
        <f t="shared" si="10"/>
        <v>0.91437680051624104</v>
      </c>
      <c r="K44" s="23">
        <f t="shared" si="10"/>
        <v>0.23493843320941846</v>
      </c>
      <c r="L44" s="23">
        <f t="shared" si="10"/>
        <v>0.25650724121876645</v>
      </c>
      <c r="M44" s="23">
        <f t="shared" si="10"/>
        <v>0.25138841769361547</v>
      </c>
      <c r="O44" s="53" t="s">
        <v>448</v>
      </c>
      <c r="P44" s="52">
        <v>3</v>
      </c>
      <c r="Q44" s="53" t="s">
        <v>448</v>
      </c>
      <c r="R44" s="52">
        <v>3</v>
      </c>
      <c r="S44" s="53" t="s">
        <v>448</v>
      </c>
      <c r="T44" s="52">
        <v>3</v>
      </c>
      <c r="U44" s="53" t="s">
        <v>448</v>
      </c>
      <c r="V44" s="52">
        <v>3</v>
      </c>
      <c r="W44" s="53" t="s">
        <v>448</v>
      </c>
      <c r="X44" s="52">
        <v>3</v>
      </c>
    </row>
    <row r="45" spans="2:24" x14ac:dyDescent="0.25">
      <c r="B45" s="63" t="s">
        <v>352</v>
      </c>
      <c r="C45" s="63" t="s">
        <v>609</v>
      </c>
      <c r="D45" s="80">
        <v>29.659667656149999</v>
      </c>
      <c r="H45" s="22">
        <f>AVERAGE(H44:J44)</f>
        <v>1.0045675304507633</v>
      </c>
      <c r="J45" s="22"/>
      <c r="K45" s="22"/>
      <c r="L45" s="22"/>
      <c r="M45" s="22"/>
      <c r="O45" s="53" t="s">
        <v>449</v>
      </c>
      <c r="P45" s="52">
        <v>3</v>
      </c>
      <c r="Q45" s="53" t="s">
        <v>449</v>
      </c>
      <c r="R45" s="52">
        <v>3</v>
      </c>
      <c r="S45" s="53" t="s">
        <v>449</v>
      </c>
      <c r="T45" s="52">
        <v>3</v>
      </c>
      <c r="U45" s="53" t="s">
        <v>449</v>
      </c>
      <c r="V45" s="52">
        <v>3</v>
      </c>
      <c r="W45" s="53" t="s">
        <v>449</v>
      </c>
      <c r="X45" s="52">
        <v>3</v>
      </c>
    </row>
    <row r="46" spans="2:24" x14ac:dyDescent="0.25">
      <c r="B46" s="63" t="s">
        <v>347</v>
      </c>
      <c r="C46" s="63" t="s">
        <v>609</v>
      </c>
      <c r="D46" s="80">
        <v>29.286232910155999</v>
      </c>
      <c r="H46" s="23">
        <f>H44/$H$45</f>
        <v>1.1347635402358047</v>
      </c>
      <c r="I46" s="23">
        <f t="shared" ref="I46:M46" si="11">I44/$H$45</f>
        <v>0.95501711382739418</v>
      </c>
      <c r="J46" s="23">
        <f t="shared" si="11"/>
        <v>0.91021934593680087</v>
      </c>
      <c r="K46" s="23">
        <f t="shared" si="11"/>
        <v>0.23387022384050013</v>
      </c>
      <c r="L46" s="23">
        <f t="shared" si="11"/>
        <v>0.25534096359223168</v>
      </c>
      <c r="M46" s="23">
        <f t="shared" si="11"/>
        <v>0.25024541414434731</v>
      </c>
    </row>
    <row r="47" spans="2:24" x14ac:dyDescent="0.25">
      <c r="B47" s="63" t="s">
        <v>347</v>
      </c>
      <c r="C47" s="63" t="s">
        <v>609</v>
      </c>
      <c r="D47" s="80">
        <v>29.157425375590002</v>
      </c>
      <c r="G47" s="66" t="s">
        <v>587</v>
      </c>
      <c r="H47" s="156">
        <f>AVERAGE(H46:J46)</f>
        <v>1</v>
      </c>
      <c r="I47" s="156"/>
      <c r="J47" s="156"/>
      <c r="K47" s="156">
        <f>AVERAGE(K46:M46)</f>
        <v>0.24648553385902638</v>
      </c>
      <c r="L47" s="156"/>
      <c r="M47" s="156"/>
    </row>
    <row r="48" spans="2:24" x14ac:dyDescent="0.25">
      <c r="B48" s="63" t="s">
        <v>347</v>
      </c>
      <c r="C48" s="63" t="s">
        <v>609</v>
      </c>
      <c r="D48" s="80">
        <v>29.928711733890001</v>
      </c>
      <c r="G48" s="66" t="s">
        <v>588</v>
      </c>
      <c r="H48" s="156">
        <f>STDEVP(H46:J46)/SQRT(COUNT(H46:J46))</f>
        <v>5.6021065154418882E-2</v>
      </c>
      <c r="I48" s="156"/>
      <c r="J48" s="156"/>
      <c r="K48" s="156">
        <f t="shared" ref="K48" si="12">STDEVP(K46:M46)/SQRT(COUNT(K46:M46))</f>
        <v>5.288366502503505E-3</v>
      </c>
      <c r="L48" s="156"/>
      <c r="M48" s="156"/>
    </row>
    <row r="49" spans="2:13" x14ac:dyDescent="0.25">
      <c r="B49" s="63" t="s">
        <v>608</v>
      </c>
      <c r="C49" s="63" t="s">
        <v>609</v>
      </c>
      <c r="D49" s="80">
        <v>26.79894500732</v>
      </c>
      <c r="H49" s="101"/>
      <c r="I49" s="101"/>
      <c r="J49" s="101"/>
      <c r="K49" s="101"/>
      <c r="L49" s="101"/>
      <c r="M49" s="101"/>
    </row>
    <row r="50" spans="2:13" x14ac:dyDescent="0.25">
      <c r="B50" s="63" t="s">
        <v>608</v>
      </c>
      <c r="C50" s="63" t="s">
        <v>609</v>
      </c>
      <c r="D50" s="80">
        <v>26.767599732000001</v>
      </c>
      <c r="G50" s="84" t="s">
        <v>609</v>
      </c>
      <c r="H50" s="22">
        <f>AVERAGE(H15,H16,H17)</f>
        <v>29.602655596319668</v>
      </c>
      <c r="I50" s="22">
        <f t="shared" ref="I50:M50" si="13">AVERAGE(I15,I16,I17)</f>
        <v>29.603078843566333</v>
      </c>
      <c r="J50" s="22">
        <f t="shared" si="13"/>
        <v>29.457456673211997</v>
      </c>
      <c r="K50" s="22">
        <f t="shared" si="13"/>
        <v>26.774825345906667</v>
      </c>
      <c r="L50" s="22">
        <f t="shared" si="13"/>
        <v>27.099958595706667</v>
      </c>
      <c r="M50" s="22">
        <f t="shared" si="13"/>
        <v>26.761899768041999</v>
      </c>
    </row>
    <row r="51" spans="2:13" x14ac:dyDescent="0.25">
      <c r="B51" s="63" t="s">
        <v>608</v>
      </c>
      <c r="C51" s="63" t="s">
        <v>609</v>
      </c>
      <c r="D51" s="80">
        <v>26.757931298399999</v>
      </c>
      <c r="G51" s="1"/>
      <c r="H51" s="22">
        <f t="shared" ref="H51:M51" si="14">H50-H27</f>
        <v>-0.12720928517399699</v>
      </c>
      <c r="I51" s="22">
        <f t="shared" si="14"/>
        <v>0.16628787609733564</v>
      </c>
      <c r="J51" s="22">
        <f t="shared" si="14"/>
        <v>-0.22880948442300308</v>
      </c>
      <c r="K51" s="22">
        <f t="shared" si="14"/>
        <v>-0.79654608490533008</v>
      </c>
      <c r="L51" s="22">
        <f t="shared" si="14"/>
        <v>-0.44239575156099775</v>
      </c>
      <c r="M51" s="22">
        <f t="shared" si="14"/>
        <v>-0.69777425497733248</v>
      </c>
    </row>
    <row r="52" spans="2:13" x14ac:dyDescent="0.25">
      <c r="B52" s="63" t="s">
        <v>602</v>
      </c>
      <c r="C52" s="63" t="s">
        <v>609</v>
      </c>
      <c r="D52" s="80">
        <v>27.070623168939999</v>
      </c>
      <c r="H52" s="23">
        <f>AVERAGE(H51:J51)</f>
        <v>-6.3243631166554806E-2</v>
      </c>
      <c r="J52" s="22"/>
      <c r="K52" s="22"/>
      <c r="L52" s="22"/>
      <c r="M52" s="22"/>
    </row>
    <row r="53" spans="2:13" x14ac:dyDescent="0.25">
      <c r="B53" s="63" t="s">
        <v>602</v>
      </c>
      <c r="C53" s="63" t="s">
        <v>609</v>
      </c>
      <c r="D53" s="80">
        <v>27.126850458389999</v>
      </c>
      <c r="G53" s="1"/>
      <c r="H53" s="22">
        <f>H51-$H$52</f>
        <v>-6.3965654007442183E-2</v>
      </c>
      <c r="I53" s="22">
        <f t="shared" ref="I53:M53" si="15">I51-$H$52</f>
        <v>0.22953150726389043</v>
      </c>
      <c r="J53" s="22">
        <f t="shared" si="15"/>
        <v>-0.16556585325644829</v>
      </c>
      <c r="K53" s="22">
        <f t="shared" si="15"/>
        <v>-0.73330245373877523</v>
      </c>
      <c r="L53" s="22">
        <f t="shared" si="15"/>
        <v>-0.37915212039444296</v>
      </c>
      <c r="M53" s="22">
        <f t="shared" si="15"/>
        <v>-0.63453062381077763</v>
      </c>
    </row>
    <row r="54" spans="2:13" x14ac:dyDescent="0.25">
      <c r="B54" s="63" t="s">
        <v>602</v>
      </c>
      <c r="C54" s="63" t="s">
        <v>609</v>
      </c>
      <c r="D54" s="80">
        <v>27.10240215979</v>
      </c>
      <c r="G54" s="1"/>
      <c r="H54" s="23">
        <f t="shared" ref="H54:M54" si="16">POWER(2,-H53)</f>
        <v>1.0453352137933951</v>
      </c>
      <c r="I54" s="23">
        <f t="shared" si="16"/>
        <v>0.85291181662536242</v>
      </c>
      <c r="J54" s="23">
        <f t="shared" si="16"/>
        <v>1.121605907576434</v>
      </c>
      <c r="K54" s="23">
        <f t="shared" si="16"/>
        <v>1.6624402088617951</v>
      </c>
      <c r="L54" s="23">
        <f t="shared" si="16"/>
        <v>1.300577274556989</v>
      </c>
      <c r="M54" s="23">
        <f t="shared" si="16"/>
        <v>1.5524325888829162</v>
      </c>
    </row>
    <row r="55" spans="2:13" x14ac:dyDescent="0.25">
      <c r="B55" s="63" t="s">
        <v>603</v>
      </c>
      <c r="C55" s="63" t="s">
        <v>609</v>
      </c>
      <c r="D55" s="80">
        <v>26.773094177246001</v>
      </c>
      <c r="H55" s="22">
        <f>AVERAGE(H54:J54)</f>
        <v>1.0066176459983971</v>
      </c>
      <c r="J55" s="22"/>
      <c r="K55" s="22"/>
      <c r="L55" s="22"/>
      <c r="M55" s="22"/>
    </row>
    <row r="56" spans="2:13" x14ac:dyDescent="0.25">
      <c r="B56" s="63" t="s">
        <v>603</v>
      </c>
      <c r="C56" s="63" t="s">
        <v>609</v>
      </c>
      <c r="D56" s="80">
        <v>26.777482493889998</v>
      </c>
      <c r="H56" s="23">
        <f>H54/$H$45</f>
        <v>1.0405823223495376</v>
      </c>
      <c r="I56" s="23">
        <f t="shared" ref="I56:M56" si="17">I54/$H$45</f>
        <v>0.84903382875877853</v>
      </c>
      <c r="J56" s="23">
        <f t="shared" si="17"/>
        <v>1.116506231366202</v>
      </c>
      <c r="K56" s="23">
        <f t="shared" si="17"/>
        <v>1.6548814872762563</v>
      </c>
      <c r="L56" s="23">
        <f t="shared" si="17"/>
        <v>1.2946638579622438</v>
      </c>
      <c r="M56" s="23">
        <f t="shared" si="17"/>
        <v>1.5453740458705831</v>
      </c>
    </row>
    <row r="57" spans="2:13" x14ac:dyDescent="0.25">
      <c r="B57" s="63" t="s">
        <v>603</v>
      </c>
      <c r="C57" s="63" t="s">
        <v>609</v>
      </c>
      <c r="D57" s="80">
        <v>26.735122632989999</v>
      </c>
      <c r="G57" s="66" t="s">
        <v>587</v>
      </c>
      <c r="H57" s="156">
        <f>AVERAGE(H56:J56)</f>
        <v>1.0020407941581728</v>
      </c>
      <c r="I57" s="156"/>
      <c r="J57" s="156"/>
      <c r="K57" s="156">
        <f>AVERAGE(K56:M56)</f>
        <v>1.4983064637030277</v>
      </c>
      <c r="L57" s="156"/>
      <c r="M57" s="156"/>
    </row>
    <row r="58" spans="2:13" x14ac:dyDescent="0.25">
      <c r="B58" s="63" t="s">
        <v>491</v>
      </c>
      <c r="C58" s="63" t="s">
        <v>610</v>
      </c>
      <c r="D58" s="80">
        <v>34.595254821776997</v>
      </c>
      <c r="G58" s="66" t="s">
        <v>588</v>
      </c>
      <c r="H58" s="156">
        <f>STDEVP(H56:J56)/SQRT(COUNT(H56:J56))</f>
        <v>6.4977703159778258E-2</v>
      </c>
      <c r="I58" s="156"/>
      <c r="J58" s="156"/>
      <c r="K58" s="156">
        <f t="shared" ref="K58" si="18">STDEVP(K56:M56)/SQRT(COUNT(K56:M56))</f>
        <v>8.7051329794522125E-2</v>
      </c>
      <c r="L58" s="156"/>
      <c r="M58" s="156"/>
    </row>
    <row r="59" spans="2:13" x14ac:dyDescent="0.25">
      <c r="B59" s="63" t="s">
        <v>491</v>
      </c>
      <c r="C59" s="63" t="s">
        <v>610</v>
      </c>
      <c r="D59" s="80">
        <v>34.586829456190003</v>
      </c>
      <c r="H59" s="102"/>
      <c r="I59" s="102"/>
      <c r="J59" s="102"/>
      <c r="K59" s="102"/>
      <c r="L59" s="102"/>
      <c r="M59" s="102"/>
    </row>
    <row r="60" spans="2:13" x14ac:dyDescent="0.25">
      <c r="B60" s="63" t="s">
        <v>491</v>
      </c>
      <c r="C60" s="63" t="s">
        <v>610</v>
      </c>
      <c r="D60" s="80">
        <v>34.58496552714</v>
      </c>
      <c r="G60" s="84" t="s">
        <v>610</v>
      </c>
      <c r="H60" s="22">
        <f>AVERAGE(H18,H19,H20)</f>
        <v>34.589016601702333</v>
      </c>
      <c r="I60" s="22">
        <f t="shared" ref="I60:M60" si="19">AVERAGE(I18,I19,I20)</f>
        <v>34.508040156151004</v>
      </c>
      <c r="J60" s="22">
        <f t="shared" si="19"/>
        <v>34.274500876818003</v>
      </c>
      <c r="K60" s="22">
        <f t="shared" si="19"/>
        <v>32.154346178917336</v>
      </c>
      <c r="L60" s="22">
        <f t="shared" si="19"/>
        <v>32.27607589682534</v>
      </c>
      <c r="M60" s="22">
        <f t="shared" si="19"/>
        <v>32.118343253114006</v>
      </c>
    </row>
    <row r="61" spans="2:13" x14ac:dyDescent="0.25">
      <c r="B61" s="63" t="s">
        <v>352</v>
      </c>
      <c r="C61" s="63" t="s">
        <v>610</v>
      </c>
      <c r="D61" s="80">
        <v>34.440792541503001</v>
      </c>
      <c r="H61" s="22">
        <f t="shared" ref="H61:M61" si="20">H60-H27</f>
        <v>4.8591517202086685</v>
      </c>
      <c r="I61" s="22">
        <f t="shared" si="20"/>
        <v>5.0712491886820068</v>
      </c>
      <c r="J61" s="22">
        <f t="shared" si="20"/>
        <v>4.5882347191830029</v>
      </c>
      <c r="K61" s="22">
        <f t="shared" si="20"/>
        <v>4.5829747481053396</v>
      </c>
      <c r="L61" s="22">
        <f t="shared" si="20"/>
        <v>4.733721549557675</v>
      </c>
      <c r="M61" s="22">
        <f t="shared" si="20"/>
        <v>4.6586692300946737</v>
      </c>
    </row>
    <row r="62" spans="2:13" x14ac:dyDescent="0.25">
      <c r="B62" s="63" t="s">
        <v>352</v>
      </c>
      <c r="C62" s="63" t="s">
        <v>610</v>
      </c>
      <c r="D62" s="80">
        <v>34.543626785340003</v>
      </c>
      <c r="H62" s="23">
        <f>AVERAGE(H61:J61)</f>
        <v>4.839545209357893</v>
      </c>
      <c r="J62" s="22"/>
      <c r="K62" s="22"/>
      <c r="L62" s="22"/>
      <c r="M62" s="22"/>
    </row>
    <row r="63" spans="2:13" x14ac:dyDescent="0.25">
      <c r="B63" s="63" t="s">
        <v>352</v>
      </c>
      <c r="C63" s="63" t="s">
        <v>610</v>
      </c>
      <c r="D63" s="80">
        <v>34.539701141610003</v>
      </c>
      <c r="G63" s="66"/>
      <c r="H63" s="22">
        <f>H61-$H$62</f>
        <v>1.9606510850775472E-2</v>
      </c>
      <c r="I63" s="22">
        <f t="shared" ref="I63:M63" si="21">I61-$H$62</f>
        <v>0.2317039793241138</v>
      </c>
      <c r="J63" s="22">
        <f t="shared" si="21"/>
        <v>-0.25131049017489016</v>
      </c>
      <c r="K63" s="22">
        <f t="shared" si="21"/>
        <v>-0.25657046125255345</v>
      </c>
      <c r="L63" s="22">
        <f t="shared" si="21"/>
        <v>-0.10582365980021802</v>
      </c>
      <c r="M63" s="22">
        <f t="shared" si="21"/>
        <v>-0.1808759792632193</v>
      </c>
    </row>
    <row r="64" spans="2:13" x14ac:dyDescent="0.25">
      <c r="B64" s="63" t="s">
        <v>347</v>
      </c>
      <c r="C64" s="63" t="s">
        <v>610</v>
      </c>
      <c r="D64" s="80">
        <v>34.272091674804003</v>
      </c>
      <c r="G64" s="66"/>
      <c r="H64" s="23">
        <f t="shared" ref="H64:M64" si="22">POWER(2,-H63)</f>
        <v>0.98650173210081915</v>
      </c>
      <c r="I64" s="23">
        <f t="shared" si="22"/>
        <v>0.85162843196647919</v>
      </c>
      <c r="J64" s="23">
        <f t="shared" si="22"/>
        <v>1.1902878370032166</v>
      </c>
      <c r="K64" s="23">
        <f t="shared" si="22"/>
        <v>1.1946354688170784</v>
      </c>
      <c r="L64" s="23">
        <f t="shared" si="22"/>
        <v>1.0761085843022224</v>
      </c>
      <c r="M64" s="23">
        <f t="shared" si="22"/>
        <v>1.1335719615023192</v>
      </c>
    </row>
    <row r="65" spans="2:13" x14ac:dyDescent="0.25">
      <c r="B65" s="63" t="s">
        <v>347</v>
      </c>
      <c r="C65" s="63" t="s">
        <v>610</v>
      </c>
      <c r="D65" s="80">
        <v>34.273154093830001</v>
      </c>
      <c r="H65" s="22">
        <f>AVERAGE(H64:J64)</f>
        <v>1.009472667023505</v>
      </c>
      <c r="J65" s="22"/>
      <c r="K65" s="22"/>
      <c r="L65" s="22"/>
      <c r="M65" s="22"/>
    </row>
    <row r="66" spans="2:13" x14ac:dyDescent="0.25">
      <c r="B66" s="63" t="s">
        <v>347</v>
      </c>
      <c r="C66" s="63" t="s">
        <v>610</v>
      </c>
      <c r="D66" s="80">
        <v>34.278256861819997</v>
      </c>
      <c r="G66" s="1"/>
      <c r="H66" s="23">
        <f>H64/$H$65</f>
        <v>0.97724461922241324</v>
      </c>
      <c r="I66" s="23">
        <f t="shared" ref="I66:M66" si="23">I64/$H$65</f>
        <v>0.84363694014376867</v>
      </c>
      <c r="J66" s="23">
        <f t="shared" si="23"/>
        <v>1.179118440633818</v>
      </c>
      <c r="K66" s="23">
        <f t="shared" si="23"/>
        <v>1.1834252752375534</v>
      </c>
      <c r="L66" s="23">
        <f t="shared" si="23"/>
        <v>1.0660106206492919</v>
      </c>
      <c r="M66" s="23">
        <f t="shared" si="23"/>
        <v>1.1229347742962956</v>
      </c>
    </row>
    <row r="67" spans="2:13" x14ac:dyDescent="0.25">
      <c r="B67" s="63" t="s">
        <v>608</v>
      </c>
      <c r="C67" s="63" t="s">
        <v>610</v>
      </c>
      <c r="D67" s="80">
        <v>32.161235351561999</v>
      </c>
      <c r="G67" s="66" t="s">
        <v>587</v>
      </c>
      <c r="H67" s="156">
        <f>AVERAGE(H66:J66)</f>
        <v>1</v>
      </c>
      <c r="I67" s="156"/>
      <c r="J67" s="156"/>
      <c r="K67" s="156">
        <f>AVERAGE(K66:M66)</f>
        <v>1.1241235567277137</v>
      </c>
      <c r="L67" s="156"/>
      <c r="M67" s="156"/>
    </row>
    <row r="68" spans="2:13" x14ac:dyDescent="0.25">
      <c r="B68" s="63" t="s">
        <v>608</v>
      </c>
      <c r="C68" s="63" t="s">
        <v>610</v>
      </c>
      <c r="D68" s="80">
        <v>32.111055938600003</v>
      </c>
      <c r="G68" s="66" t="s">
        <v>588</v>
      </c>
      <c r="H68" s="156">
        <f>STDEVP(H66:J66)/SQRT(COUNT(H66:J66))</f>
        <v>7.9617578752033735E-2</v>
      </c>
      <c r="I68" s="156"/>
      <c r="J68" s="156"/>
      <c r="K68" s="156">
        <f t="shared" ref="K68" si="24">STDEVP(K66:M66)/SQRT(COUNT(K66:M66))</f>
        <v>2.7679154534182203E-2</v>
      </c>
      <c r="L68" s="156"/>
      <c r="M68" s="156"/>
    </row>
    <row r="69" spans="2:13" x14ac:dyDescent="0.25">
      <c r="B69" s="63" t="s">
        <v>608</v>
      </c>
      <c r="C69" s="63" t="s">
        <v>610</v>
      </c>
      <c r="D69" s="80">
        <v>32.19074724659</v>
      </c>
      <c r="G69" s="1"/>
      <c r="H69" s="102"/>
      <c r="I69" s="102"/>
      <c r="J69" s="102"/>
      <c r="K69" s="102"/>
      <c r="L69" s="102"/>
      <c r="M69" s="102"/>
    </row>
    <row r="70" spans="2:13" x14ac:dyDescent="0.25">
      <c r="B70" s="63" t="s">
        <v>602</v>
      </c>
      <c r="C70" s="63" t="s">
        <v>610</v>
      </c>
      <c r="D70" s="80">
        <v>32.275453796386003</v>
      </c>
      <c r="G70" s="84" t="s">
        <v>611</v>
      </c>
      <c r="H70" s="22">
        <f>AVERAGE(H22,H21,H23)</f>
        <v>27.204513675031333</v>
      </c>
      <c r="I70" s="22">
        <f t="shared" ref="I70:M70" si="25">AVERAGE(I22,I21,I23)</f>
        <v>27.006579682649335</v>
      </c>
      <c r="J70" s="22">
        <f t="shared" si="25"/>
        <v>27.722374294126336</v>
      </c>
      <c r="K70" s="22">
        <f t="shared" si="25"/>
        <v>25.846713643386664</v>
      </c>
      <c r="L70" s="22">
        <f t="shared" si="25"/>
        <v>26.053937101574665</v>
      </c>
      <c r="M70" s="22">
        <f t="shared" si="25"/>
        <v>25.768221978420002</v>
      </c>
    </row>
    <row r="71" spans="2:13" x14ac:dyDescent="0.25">
      <c r="B71" s="63" t="s">
        <v>602</v>
      </c>
      <c r="C71" s="63" t="s">
        <v>610</v>
      </c>
      <c r="D71" s="80">
        <v>32.289982834450001</v>
      </c>
      <c r="H71" s="22">
        <f t="shared" ref="H71:M71" si="26">H70-H27</f>
        <v>-2.5253512064623322</v>
      </c>
      <c r="I71" s="22">
        <f t="shared" si="26"/>
        <v>-2.4302112848196629</v>
      </c>
      <c r="J71" s="22">
        <f t="shared" si="26"/>
        <v>-1.963891863508664</v>
      </c>
      <c r="K71" s="22">
        <f t="shared" si="26"/>
        <v>-1.7246577874253326</v>
      </c>
      <c r="L71" s="22">
        <f t="shared" si="26"/>
        <v>-1.4884172456930003</v>
      </c>
      <c r="M71" s="22">
        <f t="shared" si="26"/>
        <v>-1.6914520445993304</v>
      </c>
    </row>
    <row r="72" spans="2:13" x14ac:dyDescent="0.25">
      <c r="B72" s="63" t="s">
        <v>602</v>
      </c>
      <c r="C72" s="63" t="s">
        <v>610</v>
      </c>
      <c r="D72" s="80">
        <v>32.262791059640001</v>
      </c>
      <c r="H72" s="23">
        <f>AVERAGE(H71:J71)</f>
        <v>-2.3064847849302197</v>
      </c>
      <c r="J72" s="22"/>
      <c r="K72" s="22"/>
      <c r="L72" s="22"/>
      <c r="M72" s="22"/>
    </row>
    <row r="73" spans="2:13" x14ac:dyDescent="0.25">
      <c r="B73" s="63" t="s">
        <v>603</v>
      </c>
      <c r="C73" s="63" t="s">
        <v>610</v>
      </c>
      <c r="D73" s="80">
        <v>32.054678649902002</v>
      </c>
      <c r="H73" s="22">
        <f>H71-$H$72</f>
        <v>-0.21886642153211255</v>
      </c>
      <c r="I73" s="22">
        <f t="shared" ref="I73:M73" si="27">I71-$H$72</f>
        <v>-0.12372649988944318</v>
      </c>
      <c r="J73" s="22">
        <f t="shared" si="27"/>
        <v>0.34259292142155573</v>
      </c>
      <c r="K73" s="22">
        <f t="shared" si="27"/>
        <v>0.58182699750488709</v>
      </c>
      <c r="L73" s="22">
        <f t="shared" si="27"/>
        <v>0.81806753923721942</v>
      </c>
      <c r="M73" s="22">
        <f t="shared" si="27"/>
        <v>0.61503274033088928</v>
      </c>
    </row>
    <row r="74" spans="2:13" x14ac:dyDescent="0.25">
      <c r="B74" s="63" t="s">
        <v>603</v>
      </c>
      <c r="C74" s="63" t="s">
        <v>610</v>
      </c>
      <c r="D74" s="80">
        <v>32.134991340020001</v>
      </c>
      <c r="H74" s="23">
        <f t="shared" ref="H74:M74" si="28">POWER(2,-H73)</f>
        <v>1.1638187719704989</v>
      </c>
      <c r="I74" s="23">
        <f t="shared" si="28"/>
        <v>1.0895455411326602</v>
      </c>
      <c r="J74" s="23">
        <f t="shared" si="28"/>
        <v>0.78862266467034037</v>
      </c>
      <c r="K74" s="23">
        <f t="shared" si="28"/>
        <v>0.66811715245605863</v>
      </c>
      <c r="L74" s="23">
        <f t="shared" si="28"/>
        <v>0.56720118853159629</v>
      </c>
      <c r="M74" s="23">
        <f t="shared" si="28"/>
        <v>0.65291507620774314</v>
      </c>
    </row>
    <row r="75" spans="2:13" x14ac:dyDescent="0.25">
      <c r="B75" s="63" t="s">
        <v>603</v>
      </c>
      <c r="C75" s="63" t="s">
        <v>610</v>
      </c>
      <c r="D75" s="80">
        <v>32.16535976942</v>
      </c>
      <c r="H75" s="22">
        <f>AVERAGE(H74:J74)</f>
        <v>1.013995659257833</v>
      </c>
      <c r="J75" s="22"/>
      <c r="K75" s="22"/>
      <c r="L75" s="22"/>
      <c r="M75" s="22"/>
    </row>
    <row r="76" spans="2:13" x14ac:dyDescent="0.25">
      <c r="B76" s="63" t="s">
        <v>491</v>
      </c>
      <c r="C76" s="63" t="s">
        <v>611</v>
      </c>
      <c r="D76" s="68">
        <v>27.201228271483998</v>
      </c>
      <c r="H76" s="23">
        <f>H74/$H$75</f>
        <v>1.1477551815382769</v>
      </c>
      <c r="I76" s="23">
        <f t="shared" ref="I76:M76" si="29">I74/$H$75</f>
        <v>1.0745071058096285</v>
      </c>
      <c r="J76" s="23">
        <f t="shared" si="29"/>
        <v>0.77773771265209524</v>
      </c>
      <c r="K76" s="23">
        <f t="shared" si="29"/>
        <v>0.65889547588898867</v>
      </c>
      <c r="L76" s="23">
        <f t="shared" si="29"/>
        <v>0.55937240298123569</v>
      </c>
      <c r="M76" s="23">
        <f t="shared" si="29"/>
        <v>0.6439032260607771</v>
      </c>
    </row>
    <row r="77" spans="2:13" x14ac:dyDescent="0.25">
      <c r="B77" s="63" t="s">
        <v>491</v>
      </c>
      <c r="C77" s="63" t="s">
        <v>611</v>
      </c>
      <c r="D77" s="68">
        <v>27.237619876330001</v>
      </c>
      <c r="G77" s="66" t="s">
        <v>587</v>
      </c>
      <c r="H77" s="156">
        <f>AVERAGE(H76:J76)</f>
        <v>1.0000000000000002</v>
      </c>
      <c r="I77" s="156"/>
      <c r="J77" s="156"/>
      <c r="K77" s="156">
        <f>AVERAGE(K76:M76)</f>
        <v>0.62072370164366719</v>
      </c>
      <c r="L77" s="156"/>
      <c r="M77" s="156"/>
    </row>
    <row r="78" spans="2:13" x14ac:dyDescent="0.25">
      <c r="B78" s="63" t="s">
        <v>491</v>
      </c>
      <c r="C78" s="63" t="s">
        <v>611</v>
      </c>
      <c r="D78" s="68">
        <v>27.174692877279998</v>
      </c>
      <c r="G78" s="66" t="s">
        <v>588</v>
      </c>
      <c r="H78" s="156">
        <f>STDEVP(H76:J76)/SQRT(COUNT(H76:J76))</f>
        <v>9.2366075340738429E-2</v>
      </c>
      <c r="I78" s="156"/>
      <c r="J78" s="156"/>
      <c r="K78" s="156">
        <f t="shared" ref="K78" si="30">STDEVP(K76:M76)/SQRT(COUNT(K76:M76))</f>
        <v>2.5294611962071754E-2</v>
      </c>
      <c r="L78" s="156"/>
      <c r="M78" s="156"/>
    </row>
    <row r="79" spans="2:13" x14ac:dyDescent="0.25">
      <c r="B79" s="63" t="s">
        <v>352</v>
      </c>
      <c r="C79" s="63" t="s">
        <v>611</v>
      </c>
      <c r="D79" s="68">
        <v>27.008945465086999</v>
      </c>
      <c r="H79" s="103"/>
      <c r="I79" s="103"/>
      <c r="J79" s="103"/>
      <c r="K79" s="103"/>
      <c r="L79" s="103"/>
      <c r="M79" s="103"/>
    </row>
    <row r="80" spans="2:13" x14ac:dyDescent="0.25">
      <c r="B80" s="63" t="s">
        <v>352</v>
      </c>
      <c r="C80" s="63" t="s">
        <v>611</v>
      </c>
      <c r="D80" s="68">
        <v>27.0098863622</v>
      </c>
      <c r="H80" s="103"/>
    </row>
    <row r="81" spans="2:14" x14ac:dyDescent="0.25">
      <c r="B81" s="63" t="s">
        <v>352</v>
      </c>
      <c r="C81" s="63" t="s">
        <v>611</v>
      </c>
      <c r="D81" s="68">
        <v>27.000907220660999</v>
      </c>
      <c r="H81" s="103">
        <v>29.734294738769002</v>
      </c>
      <c r="I81" s="36">
        <v>29.734294738769002</v>
      </c>
      <c r="J81" s="36">
        <v>29.286232910155999</v>
      </c>
      <c r="K81" s="36">
        <v>26.79894500732</v>
      </c>
      <c r="L81" s="36">
        <v>27.070623168939999</v>
      </c>
      <c r="M81" s="36">
        <v>26.773094177246001</v>
      </c>
    </row>
    <row r="82" spans="2:14" x14ac:dyDescent="0.25">
      <c r="B82" s="63" t="s">
        <v>347</v>
      </c>
      <c r="C82" s="63" t="s">
        <v>611</v>
      </c>
      <c r="D82" s="68">
        <v>27.703176422119</v>
      </c>
      <c r="H82" s="103">
        <v>29.201219034760001</v>
      </c>
      <c r="I82" s="36">
        <v>29.415274135779999</v>
      </c>
      <c r="J82" s="36">
        <v>29.157425375590002</v>
      </c>
      <c r="K82" s="36">
        <v>26.767599732000001</v>
      </c>
      <c r="L82" s="36">
        <v>27.126850458389999</v>
      </c>
      <c r="M82" s="36">
        <v>26.777482493889998</v>
      </c>
    </row>
    <row r="83" spans="2:14" x14ac:dyDescent="0.25">
      <c r="B83" s="63" t="s">
        <v>347</v>
      </c>
      <c r="C83" s="63" t="s">
        <v>611</v>
      </c>
      <c r="D83" s="68">
        <v>27.737694013500001</v>
      </c>
      <c r="H83" s="36">
        <v>29.872453015430001</v>
      </c>
      <c r="I83" s="36">
        <v>29.659667656149999</v>
      </c>
      <c r="J83" s="36">
        <v>29.928711733890001</v>
      </c>
      <c r="K83" s="36">
        <v>26.757931298399999</v>
      </c>
      <c r="L83" s="36">
        <v>27.10240215979</v>
      </c>
      <c r="M83" s="36">
        <v>26.735122632989999</v>
      </c>
    </row>
    <row r="84" spans="2:14" x14ac:dyDescent="0.25">
      <c r="B84" s="63" t="s">
        <v>347</v>
      </c>
      <c r="C84" s="63" t="s">
        <v>611</v>
      </c>
      <c r="D84" s="68">
        <v>27.72625244676</v>
      </c>
    </row>
    <row r="85" spans="2:14" x14ac:dyDescent="0.25">
      <c r="B85" s="63" t="s">
        <v>608</v>
      </c>
      <c r="C85" s="63" t="s">
        <v>611</v>
      </c>
      <c r="D85" s="68">
        <v>25.852842864989999</v>
      </c>
    </row>
    <row r="86" spans="2:14" x14ac:dyDescent="0.25">
      <c r="B86" s="63" t="s">
        <v>608</v>
      </c>
      <c r="C86" s="63" t="s">
        <v>611</v>
      </c>
      <c r="D86" s="68">
        <v>25.849195612949998</v>
      </c>
    </row>
    <row r="87" spans="2:14" x14ac:dyDescent="0.25">
      <c r="B87" s="63" t="s">
        <v>608</v>
      </c>
      <c r="C87" s="63" t="s">
        <v>611</v>
      </c>
      <c r="D87" s="68">
        <v>25.838102452219999</v>
      </c>
    </row>
    <row r="88" spans="2:14" x14ac:dyDescent="0.25">
      <c r="B88" s="63" t="s">
        <v>602</v>
      </c>
      <c r="C88" s="63" t="s">
        <v>611</v>
      </c>
      <c r="D88" s="68">
        <v>26.054673461914</v>
      </c>
    </row>
    <row r="89" spans="2:14" x14ac:dyDescent="0.25">
      <c r="B89" s="63" t="s">
        <v>602</v>
      </c>
      <c r="C89" s="63" t="s">
        <v>611</v>
      </c>
      <c r="D89" s="68">
        <v>26.057067752590001</v>
      </c>
    </row>
    <row r="90" spans="2:14" x14ac:dyDescent="0.25">
      <c r="B90" s="63" t="s">
        <v>602</v>
      </c>
      <c r="C90" s="63" t="s">
        <v>611</v>
      </c>
      <c r="D90" s="68">
        <v>26.05007009022</v>
      </c>
    </row>
    <row r="91" spans="2:14" x14ac:dyDescent="0.25">
      <c r="B91" s="63" t="s">
        <v>603</v>
      </c>
      <c r="C91" s="63" t="s">
        <v>611</v>
      </c>
      <c r="D91" s="68">
        <v>25.778917083740001</v>
      </c>
    </row>
    <row r="92" spans="2:14" x14ac:dyDescent="0.25">
      <c r="B92" s="63" t="s">
        <v>603</v>
      </c>
      <c r="C92" s="63" t="s">
        <v>611</v>
      </c>
      <c r="D92" s="68">
        <v>25.738962680109999</v>
      </c>
    </row>
    <row r="93" spans="2:14" x14ac:dyDescent="0.25">
      <c r="B93" s="63" t="s">
        <v>603</v>
      </c>
      <c r="C93" s="63" t="s">
        <v>611</v>
      </c>
      <c r="D93" s="68">
        <v>25.78678617141</v>
      </c>
    </row>
    <row r="94" spans="2:14" x14ac:dyDescent="0.25">
      <c r="B94" s="63" t="s">
        <v>491</v>
      </c>
      <c r="C94" s="63" t="s">
        <v>612</v>
      </c>
      <c r="D94" s="68">
        <v>29.694258422851</v>
      </c>
    </row>
    <row r="95" spans="2:14" x14ac:dyDescent="0.25">
      <c r="B95" s="63" t="s">
        <v>491</v>
      </c>
      <c r="C95" s="63" t="s">
        <v>612</v>
      </c>
      <c r="D95" s="68">
        <v>29.701450351249999</v>
      </c>
      <c r="N95" s="104"/>
    </row>
    <row r="96" spans="2:14" x14ac:dyDescent="0.25">
      <c r="B96" s="63" t="s">
        <v>491</v>
      </c>
      <c r="C96" s="63" t="s">
        <v>612</v>
      </c>
      <c r="D96" s="68">
        <v>29.793885870379999</v>
      </c>
      <c r="N96" s="104"/>
    </row>
    <row r="97" spans="2:14" x14ac:dyDescent="0.25">
      <c r="B97" s="63" t="s">
        <v>352</v>
      </c>
      <c r="C97" s="63" t="s">
        <v>612</v>
      </c>
      <c r="D97" s="68">
        <v>29.474521331786999</v>
      </c>
      <c r="N97" s="104"/>
    </row>
    <row r="98" spans="2:14" x14ac:dyDescent="0.25">
      <c r="B98" s="63" t="s">
        <v>352</v>
      </c>
      <c r="C98" s="63" t="s">
        <v>612</v>
      </c>
      <c r="D98" s="68">
        <v>29.421743541489999</v>
      </c>
      <c r="N98" s="104"/>
    </row>
    <row r="99" spans="2:14" x14ac:dyDescent="0.25">
      <c r="B99" s="63" t="s">
        <v>352</v>
      </c>
      <c r="C99" s="63" t="s">
        <v>612</v>
      </c>
      <c r="D99" s="68">
        <v>29.414108029129999</v>
      </c>
      <c r="N99" s="104"/>
    </row>
    <row r="100" spans="2:14" x14ac:dyDescent="0.25">
      <c r="B100" s="63" t="s">
        <v>347</v>
      </c>
      <c r="C100" s="63" t="s">
        <v>612</v>
      </c>
      <c r="D100" s="68">
        <v>29.679499053954999</v>
      </c>
      <c r="N100" s="104"/>
    </row>
    <row r="101" spans="2:14" x14ac:dyDescent="0.25">
      <c r="B101" s="63" t="s">
        <v>347</v>
      </c>
      <c r="C101" s="63" t="s">
        <v>612</v>
      </c>
      <c r="D101" s="68">
        <v>29.723033051910001</v>
      </c>
      <c r="N101" s="104"/>
    </row>
    <row r="102" spans="2:14" x14ac:dyDescent="0.25">
      <c r="B102" s="63" t="s">
        <v>347</v>
      </c>
      <c r="C102" s="63" t="s">
        <v>612</v>
      </c>
      <c r="D102" s="68">
        <v>29.656266367040001</v>
      </c>
      <c r="N102" s="104"/>
    </row>
    <row r="103" spans="2:14" x14ac:dyDescent="0.25">
      <c r="B103" s="63" t="s">
        <v>608</v>
      </c>
      <c r="C103" s="63" t="s">
        <v>612</v>
      </c>
      <c r="D103" s="68">
        <v>27.582979888916</v>
      </c>
      <c r="N103" s="104"/>
    </row>
    <row r="104" spans="2:14" x14ac:dyDescent="0.25">
      <c r="B104" s="63" t="s">
        <v>608</v>
      </c>
      <c r="C104" s="63" t="s">
        <v>612</v>
      </c>
      <c r="D104" s="68">
        <v>27.576691589909998</v>
      </c>
      <c r="N104" s="104"/>
    </row>
    <row r="105" spans="2:14" x14ac:dyDescent="0.25">
      <c r="B105" s="63" t="s">
        <v>608</v>
      </c>
      <c r="C105" s="63" t="s">
        <v>612</v>
      </c>
      <c r="D105" s="68">
        <v>27.554442813609999</v>
      </c>
      <c r="N105" s="104"/>
    </row>
    <row r="106" spans="2:14" x14ac:dyDescent="0.25">
      <c r="B106" s="63" t="s">
        <v>602</v>
      </c>
      <c r="C106" s="63" t="s">
        <v>612</v>
      </c>
      <c r="D106" s="68">
        <v>27.561596527098999</v>
      </c>
      <c r="N106" s="104"/>
    </row>
    <row r="107" spans="2:14" x14ac:dyDescent="0.25">
      <c r="B107" s="63" t="s">
        <v>602</v>
      </c>
      <c r="C107" s="63" t="s">
        <v>612</v>
      </c>
      <c r="D107" s="68">
        <v>27.516163917374001</v>
      </c>
      <c r="N107" s="104"/>
    </row>
    <row r="108" spans="2:14" x14ac:dyDescent="0.25">
      <c r="B108" s="63" t="s">
        <v>602</v>
      </c>
      <c r="C108" s="63" t="s">
        <v>612</v>
      </c>
      <c r="D108" s="68">
        <v>27.549302597330001</v>
      </c>
      <c r="N108" s="104"/>
    </row>
    <row r="109" spans="2:14" x14ac:dyDescent="0.25">
      <c r="B109" s="63" t="s">
        <v>603</v>
      </c>
      <c r="C109" s="63" t="s">
        <v>612</v>
      </c>
      <c r="D109" s="68">
        <v>27.438888244628</v>
      </c>
      <c r="N109" s="104"/>
    </row>
    <row r="110" spans="2:14" x14ac:dyDescent="0.25">
      <c r="B110" s="63" t="s">
        <v>603</v>
      </c>
      <c r="C110" s="63" t="s">
        <v>612</v>
      </c>
      <c r="D110" s="68">
        <v>27.46033779339</v>
      </c>
      <c r="N110" s="104"/>
    </row>
    <row r="111" spans="2:14" x14ac:dyDescent="0.25">
      <c r="B111" s="63" t="s">
        <v>603</v>
      </c>
      <c r="C111" s="63" t="s">
        <v>612</v>
      </c>
      <c r="D111" s="68">
        <v>27.479796031039999</v>
      </c>
      <c r="N111" s="104"/>
    </row>
    <row r="112" spans="2:14" x14ac:dyDescent="0.25">
      <c r="N112" s="104"/>
    </row>
    <row r="113" spans="14:14" x14ac:dyDescent="0.25">
      <c r="N113" s="104"/>
    </row>
    <row r="114" spans="14:14" x14ac:dyDescent="0.25">
      <c r="N114" s="104"/>
    </row>
    <row r="115" spans="14:14" x14ac:dyDescent="0.25">
      <c r="N115" s="104"/>
    </row>
    <row r="116" spans="14:14" x14ac:dyDescent="0.25">
      <c r="N116" s="104"/>
    </row>
    <row r="117" spans="14:14" x14ac:dyDescent="0.25">
      <c r="N117" s="104"/>
    </row>
    <row r="118" spans="14:14" x14ac:dyDescent="0.25">
      <c r="N118" s="104"/>
    </row>
    <row r="119" spans="14:14" x14ac:dyDescent="0.25">
      <c r="N119" s="104"/>
    </row>
    <row r="120" spans="14:14" x14ac:dyDescent="0.25">
      <c r="N120" s="104"/>
    </row>
    <row r="121" spans="14:14" x14ac:dyDescent="0.25">
      <c r="N121" s="104"/>
    </row>
    <row r="122" spans="14:14" x14ac:dyDescent="0.25">
      <c r="N122" s="104"/>
    </row>
    <row r="123" spans="14:14" x14ac:dyDescent="0.25">
      <c r="N123" s="104"/>
    </row>
    <row r="124" spans="14:14" x14ac:dyDescent="0.25">
      <c r="N124" s="104"/>
    </row>
    <row r="125" spans="14:14" x14ac:dyDescent="0.25">
      <c r="N125" s="104"/>
    </row>
    <row r="126" spans="14:14" x14ac:dyDescent="0.25">
      <c r="N126" s="104"/>
    </row>
    <row r="127" spans="14:14" x14ac:dyDescent="0.25">
      <c r="N127" s="104"/>
    </row>
    <row r="128" spans="14:14" x14ac:dyDescent="0.25">
      <c r="N128" s="104"/>
    </row>
    <row r="129" spans="14:14" x14ac:dyDescent="0.25">
      <c r="N129" s="104"/>
    </row>
    <row r="130" spans="14:14" x14ac:dyDescent="0.25">
      <c r="N130" s="104"/>
    </row>
    <row r="131" spans="14:14" x14ac:dyDescent="0.25">
      <c r="N131" s="104"/>
    </row>
    <row r="132" spans="14:14" x14ac:dyDescent="0.25">
      <c r="N132" s="104"/>
    </row>
    <row r="133" spans="14:14" x14ac:dyDescent="0.25">
      <c r="N133" s="104"/>
    </row>
    <row r="134" spans="14:14" x14ac:dyDescent="0.25">
      <c r="N134" s="104"/>
    </row>
    <row r="135" spans="14:14" x14ac:dyDescent="0.25">
      <c r="N135" s="104"/>
    </row>
    <row r="136" spans="14:14" x14ac:dyDescent="0.25">
      <c r="N136" s="104"/>
    </row>
    <row r="137" spans="14:14" x14ac:dyDescent="0.25">
      <c r="N137" s="104"/>
    </row>
    <row r="138" spans="14:14" x14ac:dyDescent="0.25">
      <c r="N138" s="104"/>
    </row>
    <row r="139" spans="14:14" x14ac:dyDescent="0.25">
      <c r="N139" s="104"/>
    </row>
    <row r="140" spans="14:14" x14ac:dyDescent="0.25">
      <c r="N140" s="104"/>
    </row>
    <row r="141" spans="14:14" x14ac:dyDescent="0.25">
      <c r="N141" s="104"/>
    </row>
    <row r="142" spans="14:14" x14ac:dyDescent="0.25">
      <c r="N142" s="104"/>
    </row>
    <row r="143" spans="14:14" x14ac:dyDescent="0.25">
      <c r="N143" s="104"/>
    </row>
    <row r="144" spans="14:14" x14ac:dyDescent="0.25">
      <c r="N144" s="104"/>
    </row>
    <row r="145" spans="14:14" x14ac:dyDescent="0.25">
      <c r="N145" s="104"/>
    </row>
    <row r="146" spans="14:14" x14ac:dyDescent="0.25">
      <c r="N146" s="104"/>
    </row>
    <row r="147" spans="14:14" x14ac:dyDescent="0.25">
      <c r="N147" s="104"/>
    </row>
    <row r="148" spans="14:14" x14ac:dyDescent="0.25">
      <c r="N148" s="104"/>
    </row>
    <row r="149" spans="14:14" x14ac:dyDescent="0.25">
      <c r="N149" s="104"/>
    </row>
    <row r="150" spans="14:14" x14ac:dyDescent="0.25">
      <c r="N150" s="104"/>
    </row>
    <row r="151" spans="14:14" x14ac:dyDescent="0.25">
      <c r="N151" s="104"/>
    </row>
    <row r="152" spans="14:14" x14ac:dyDescent="0.25">
      <c r="N152" s="104"/>
    </row>
    <row r="153" spans="14:14" x14ac:dyDescent="0.25">
      <c r="N153" s="104"/>
    </row>
    <row r="154" spans="14:14" x14ac:dyDescent="0.25">
      <c r="N154" s="104"/>
    </row>
    <row r="155" spans="14:14" x14ac:dyDescent="0.25">
      <c r="N155" s="104"/>
    </row>
    <row r="156" spans="14:14" x14ac:dyDescent="0.25">
      <c r="N156" s="104"/>
    </row>
    <row r="157" spans="14:14" x14ac:dyDescent="0.25">
      <c r="N157" s="104"/>
    </row>
    <row r="158" spans="14:14" x14ac:dyDescent="0.25">
      <c r="N158" s="104"/>
    </row>
    <row r="159" spans="14:14" x14ac:dyDescent="0.25">
      <c r="N159" s="104"/>
    </row>
    <row r="160" spans="14:14" x14ac:dyDescent="0.25">
      <c r="N160" s="104"/>
    </row>
    <row r="161" spans="14:14" x14ac:dyDescent="0.25">
      <c r="N161" s="104"/>
    </row>
    <row r="162" spans="14:14" x14ac:dyDescent="0.25">
      <c r="N162" s="104"/>
    </row>
    <row r="163" spans="14:14" x14ac:dyDescent="0.25">
      <c r="N163" s="104"/>
    </row>
    <row r="164" spans="14:14" x14ac:dyDescent="0.25">
      <c r="N164" s="104"/>
    </row>
    <row r="165" spans="14:14" x14ac:dyDescent="0.25">
      <c r="N165" s="104"/>
    </row>
    <row r="166" spans="14:14" x14ac:dyDescent="0.25">
      <c r="N166" s="104"/>
    </row>
    <row r="167" spans="14:14" x14ac:dyDescent="0.25">
      <c r="N167" s="104"/>
    </row>
    <row r="168" spans="14:14" x14ac:dyDescent="0.25">
      <c r="N168" s="104"/>
    </row>
    <row r="169" spans="14:14" x14ac:dyDescent="0.25">
      <c r="N169" s="104"/>
    </row>
    <row r="170" spans="14:14" x14ac:dyDescent="0.25">
      <c r="N170" s="104"/>
    </row>
    <row r="171" spans="14:14" x14ac:dyDescent="0.25">
      <c r="N171" s="104"/>
    </row>
    <row r="172" spans="14:14" x14ac:dyDescent="0.25">
      <c r="N172" s="104"/>
    </row>
    <row r="173" spans="14:14" x14ac:dyDescent="0.25">
      <c r="N173" s="104"/>
    </row>
    <row r="174" spans="14:14" x14ac:dyDescent="0.25">
      <c r="N174" s="104"/>
    </row>
    <row r="175" spans="14:14" x14ac:dyDescent="0.25">
      <c r="N175" s="104"/>
    </row>
    <row r="176" spans="14:14" x14ac:dyDescent="0.25">
      <c r="N176" s="104"/>
    </row>
  </sheetData>
  <mergeCells count="23">
    <mergeCell ref="K57:M57"/>
    <mergeCell ref="H4:M4"/>
    <mergeCell ref="H25:M25"/>
    <mergeCell ref="H37:J37"/>
    <mergeCell ref="K37:M37"/>
    <mergeCell ref="H38:J38"/>
    <mergeCell ref="K38:M38"/>
    <mergeCell ref="H77:J77"/>
    <mergeCell ref="K77:M77"/>
    <mergeCell ref="H78:J78"/>
    <mergeCell ref="K78:M78"/>
    <mergeCell ref="O16:X16"/>
    <mergeCell ref="H58:J58"/>
    <mergeCell ref="K58:M58"/>
    <mergeCell ref="H67:J67"/>
    <mergeCell ref="K67:M67"/>
    <mergeCell ref="H68:J68"/>
    <mergeCell ref="K68:M68"/>
    <mergeCell ref="H47:J47"/>
    <mergeCell ref="K47:M47"/>
    <mergeCell ref="H48:J48"/>
    <mergeCell ref="K48:M48"/>
    <mergeCell ref="H57:J5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1308C-03E9-4ADE-9873-1E986FA17356}">
  <dimension ref="A1:F47"/>
  <sheetViews>
    <sheetView workbookViewId="0">
      <selection activeCell="A19" sqref="A19"/>
    </sheetView>
  </sheetViews>
  <sheetFormatPr defaultRowHeight="13.2" x14ac:dyDescent="0.25"/>
  <cols>
    <col min="1" max="9" width="13.6640625" style="63" customWidth="1"/>
    <col min="10" max="16384" width="8.88671875" style="63"/>
  </cols>
  <sheetData>
    <row r="1" spans="1:6" x14ac:dyDescent="0.25">
      <c r="A1" s="105" t="s">
        <v>613</v>
      </c>
    </row>
    <row r="2" spans="1:6" x14ac:dyDescent="0.25">
      <c r="A2" s="105" t="s">
        <v>614</v>
      </c>
    </row>
    <row r="3" spans="1:6" ht="15.6" x14ac:dyDescent="0.25">
      <c r="A3" s="65" t="s">
        <v>537</v>
      </c>
      <c r="B3" s="65" t="s">
        <v>538</v>
      </c>
      <c r="C3" s="65" t="s">
        <v>539</v>
      </c>
      <c r="D3" s="65" t="s">
        <v>542</v>
      </c>
      <c r="E3" s="65" t="s">
        <v>543</v>
      </c>
      <c r="F3" s="65" t="s">
        <v>544</v>
      </c>
    </row>
    <row r="4" spans="1:6" x14ac:dyDescent="0.25">
      <c r="A4" s="68">
        <v>349.65467625899282</v>
      </c>
      <c r="B4" s="68">
        <v>333.38942758836407</v>
      </c>
      <c r="C4" s="68">
        <v>339.01970597435093</v>
      </c>
      <c r="D4" s="68">
        <v>317.74976540506725</v>
      </c>
      <c r="E4" s="68">
        <v>200.76509227400689</v>
      </c>
      <c r="F4" s="68">
        <v>300.85893024710668</v>
      </c>
    </row>
    <row r="5" spans="1:6" x14ac:dyDescent="0.25">
      <c r="A5" s="68">
        <v>354.6593681576478</v>
      </c>
      <c r="B5" s="68">
        <v>355.28495464497968</v>
      </c>
      <c r="C5" s="68">
        <v>317.12417891773538</v>
      </c>
      <c r="D5" s="68">
        <v>297.73099781044726</v>
      </c>
      <c r="E5" s="68">
        <v>318.37535189239912</v>
      </c>
      <c r="F5" s="68">
        <v>326.50797622771347</v>
      </c>
    </row>
    <row r="6" spans="1:6" x14ac:dyDescent="0.25">
      <c r="A6" s="68">
        <v>382.18517360025021</v>
      </c>
      <c r="B6" s="68">
        <v>374.67813575226774</v>
      </c>
      <c r="C6" s="68">
        <v>336.51736002502344</v>
      </c>
      <c r="D6" s="68">
        <v>167.60900844541757</v>
      </c>
      <c r="E6" s="68">
        <v>317.12417891773538</v>
      </c>
    </row>
    <row r="12" spans="1:6" x14ac:dyDescent="0.25">
      <c r="B12" s="68"/>
    </row>
    <row r="15" spans="1:6" x14ac:dyDescent="0.25">
      <c r="A15" s="66" t="s">
        <v>587</v>
      </c>
      <c r="B15" s="67">
        <f>AVERAGE(A4:C6)</f>
        <v>349.16810899106804</v>
      </c>
      <c r="C15" s="67">
        <f>AVERAGE(D4:F6)</f>
        <v>280.8401626524867</v>
      </c>
    </row>
    <row r="16" spans="1:6" x14ac:dyDescent="0.25">
      <c r="A16" s="66" t="s">
        <v>588</v>
      </c>
      <c r="B16" s="22">
        <f>STDEVP(A4:C6)/SQRT(COUNT(A4:C6))</f>
        <v>6.4286264406648526</v>
      </c>
      <c r="C16" s="22">
        <f>STDEVP(D4:F6)/SQRT(COUNT(D4:F6))</f>
        <v>20.191524671269999</v>
      </c>
    </row>
    <row r="17" spans="1:3" x14ac:dyDescent="0.25">
      <c r="B17" s="68"/>
      <c r="C17" s="68"/>
    </row>
    <row r="18" spans="1:3" x14ac:dyDescent="0.25">
      <c r="C18" s="68"/>
    </row>
    <row r="19" spans="1:3" x14ac:dyDescent="0.25">
      <c r="A19" s="63" t="s">
        <v>451</v>
      </c>
      <c r="B19" s="52" t="s">
        <v>664</v>
      </c>
      <c r="C19" s="68"/>
    </row>
    <row r="20" spans="1:3" x14ac:dyDescent="0.25">
      <c r="A20" s="53"/>
      <c r="B20" s="52"/>
      <c r="C20" s="68"/>
    </row>
    <row r="21" spans="1:3" ht="15.6" x14ac:dyDescent="0.25">
      <c r="A21" s="53" t="s">
        <v>419</v>
      </c>
      <c r="B21" s="52" t="s">
        <v>535</v>
      </c>
    </row>
    <row r="22" spans="1:3" x14ac:dyDescent="0.25">
      <c r="A22" s="53" t="s">
        <v>421</v>
      </c>
      <c r="B22" s="52" t="s">
        <v>421</v>
      </c>
    </row>
    <row r="23" spans="1:3" ht="15.6" x14ac:dyDescent="0.25">
      <c r="A23" s="53" t="s">
        <v>422</v>
      </c>
      <c r="B23" s="52" t="s">
        <v>534</v>
      </c>
    </row>
    <row r="24" spans="1:3" x14ac:dyDescent="0.25">
      <c r="A24" s="53"/>
      <c r="B24" s="52"/>
    </row>
    <row r="25" spans="1:3" x14ac:dyDescent="0.25">
      <c r="A25" s="53" t="s">
        <v>424</v>
      </c>
      <c r="B25" s="52"/>
    </row>
    <row r="26" spans="1:3" x14ac:dyDescent="0.25">
      <c r="A26" s="53" t="s">
        <v>425</v>
      </c>
      <c r="B26" s="52">
        <v>6.3E-3</v>
      </c>
    </row>
    <row r="27" spans="1:3" x14ac:dyDescent="0.25">
      <c r="A27" s="53" t="s">
        <v>426</v>
      </c>
      <c r="B27" s="52" t="s">
        <v>427</v>
      </c>
    </row>
    <row r="28" spans="1:3" x14ac:dyDescent="0.25">
      <c r="A28" s="53" t="s">
        <v>428</v>
      </c>
      <c r="B28" s="52" t="s">
        <v>429</v>
      </c>
    </row>
    <row r="29" spans="1:3" x14ac:dyDescent="0.25">
      <c r="A29" s="53" t="s">
        <v>430</v>
      </c>
      <c r="B29" s="52" t="s">
        <v>431</v>
      </c>
    </row>
    <row r="30" spans="1:3" x14ac:dyDescent="0.25">
      <c r="A30" s="53" t="s">
        <v>432</v>
      </c>
      <c r="B30" s="52" t="s">
        <v>665</v>
      </c>
    </row>
    <row r="31" spans="1:3" x14ac:dyDescent="0.25">
      <c r="A31" s="53"/>
      <c r="B31" s="52"/>
    </row>
    <row r="32" spans="1:3" x14ac:dyDescent="0.25">
      <c r="A32" s="53" t="s">
        <v>434</v>
      </c>
      <c r="B32" s="52"/>
    </row>
    <row r="33" spans="1:2" x14ac:dyDescent="0.25">
      <c r="A33" s="53" t="s">
        <v>435</v>
      </c>
      <c r="B33" s="52">
        <v>349.2</v>
      </c>
    </row>
    <row r="34" spans="1:2" x14ac:dyDescent="0.25">
      <c r="A34" s="53" t="s">
        <v>436</v>
      </c>
      <c r="B34" s="52">
        <v>280.8</v>
      </c>
    </row>
    <row r="35" spans="1:2" x14ac:dyDescent="0.25">
      <c r="A35" s="53" t="s">
        <v>437</v>
      </c>
      <c r="B35" s="52" t="s">
        <v>666</v>
      </c>
    </row>
    <row r="36" spans="1:2" x14ac:dyDescent="0.25">
      <c r="A36" s="53" t="s">
        <v>439</v>
      </c>
      <c r="B36" s="52" t="s">
        <v>667</v>
      </c>
    </row>
    <row r="37" spans="1:2" x14ac:dyDescent="0.25">
      <c r="A37" s="53" t="s">
        <v>441</v>
      </c>
      <c r="B37" s="52">
        <v>0.40179999999999999</v>
      </c>
    </row>
    <row r="38" spans="1:2" x14ac:dyDescent="0.25">
      <c r="A38" s="53"/>
      <c r="B38" s="52"/>
    </row>
    <row r="39" spans="1:2" x14ac:dyDescent="0.25">
      <c r="A39" s="53" t="s">
        <v>442</v>
      </c>
      <c r="B39" s="52"/>
    </row>
    <row r="40" spans="1:2" x14ac:dyDescent="0.25">
      <c r="A40" s="53" t="s">
        <v>443</v>
      </c>
      <c r="B40" s="52" t="s">
        <v>668</v>
      </c>
    </row>
    <row r="41" spans="1:2" x14ac:dyDescent="0.25">
      <c r="A41" s="53" t="s">
        <v>425</v>
      </c>
      <c r="B41" s="52">
        <v>6.1999999999999998E-3</v>
      </c>
    </row>
    <row r="42" spans="1:2" x14ac:dyDescent="0.25">
      <c r="A42" s="53" t="s">
        <v>426</v>
      </c>
      <c r="B42" s="52" t="s">
        <v>427</v>
      </c>
    </row>
    <row r="43" spans="1:2" x14ac:dyDescent="0.25">
      <c r="A43" s="53" t="s">
        <v>428</v>
      </c>
      <c r="B43" s="52" t="s">
        <v>429</v>
      </c>
    </row>
    <row r="44" spans="1:2" x14ac:dyDescent="0.25">
      <c r="A44" s="53"/>
      <c r="B44" s="52"/>
    </row>
    <row r="45" spans="1:2" x14ac:dyDescent="0.25">
      <c r="A45" s="53" t="s">
        <v>447</v>
      </c>
      <c r="B45" s="52"/>
    </row>
    <row r="46" spans="1:2" x14ac:dyDescent="0.25">
      <c r="A46" s="53" t="s">
        <v>448</v>
      </c>
      <c r="B46" s="52">
        <v>9</v>
      </c>
    </row>
    <row r="47" spans="1:2" x14ac:dyDescent="0.25">
      <c r="A47" s="53" t="s">
        <v>449</v>
      </c>
      <c r="B47" s="52">
        <v>8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12584-E405-4BC4-959F-495A0A053E9F}">
  <dimension ref="A2:N72"/>
  <sheetViews>
    <sheetView topLeftCell="F22" workbookViewId="0">
      <selection activeCell="F52" sqref="F52"/>
    </sheetView>
  </sheetViews>
  <sheetFormatPr defaultRowHeight="13.2" x14ac:dyDescent="0.25"/>
  <cols>
    <col min="1" max="12" width="15.21875" style="63" customWidth="1"/>
    <col min="13" max="16384" width="8.88671875" style="63"/>
  </cols>
  <sheetData>
    <row r="2" spans="2:12" x14ac:dyDescent="0.25">
      <c r="B2" s="161" t="s">
        <v>669</v>
      </c>
      <c r="C2" s="161"/>
      <c r="D2" s="161"/>
      <c r="E2" s="161"/>
      <c r="F2" s="106"/>
      <c r="G2" s="105"/>
      <c r="H2" s="105"/>
      <c r="I2" s="161" t="s">
        <v>670</v>
      </c>
      <c r="J2" s="161"/>
      <c r="K2" s="161"/>
      <c r="L2" s="161"/>
    </row>
    <row r="3" spans="2:12" ht="13.8" x14ac:dyDescent="0.25">
      <c r="B3" s="162" t="s">
        <v>671</v>
      </c>
      <c r="C3" s="162"/>
      <c r="D3" s="162" t="s">
        <v>672</v>
      </c>
      <c r="E3" s="162"/>
      <c r="F3" s="107"/>
      <c r="I3" s="162" t="s">
        <v>671</v>
      </c>
      <c r="J3" s="162"/>
      <c r="K3" s="162" t="s">
        <v>672</v>
      </c>
      <c r="L3" s="162"/>
    </row>
    <row r="4" spans="2:12" ht="15.6" x14ac:dyDescent="0.25">
      <c r="B4" s="106" t="s">
        <v>534</v>
      </c>
      <c r="C4" s="106" t="s">
        <v>673</v>
      </c>
      <c r="D4" s="106" t="s">
        <v>534</v>
      </c>
      <c r="E4" s="106" t="s">
        <v>673</v>
      </c>
      <c r="F4" s="106"/>
      <c r="I4" s="106" t="s">
        <v>534</v>
      </c>
      <c r="J4" s="106" t="s">
        <v>673</v>
      </c>
      <c r="K4" s="106" t="s">
        <v>534</v>
      </c>
      <c r="L4" s="106" t="s">
        <v>673</v>
      </c>
    </row>
    <row r="5" spans="2:12" ht="13.8" x14ac:dyDescent="0.25">
      <c r="B5" s="108">
        <v>1</v>
      </c>
      <c r="C5" s="108">
        <v>0.72413793103448276</v>
      </c>
      <c r="D5" s="108">
        <v>0.89473684210526316</v>
      </c>
      <c r="E5" s="108">
        <v>0.53333333333333333</v>
      </c>
      <c r="F5" s="108"/>
      <c r="I5" s="108">
        <v>0.92</v>
      </c>
      <c r="J5" s="108">
        <v>0.23529411764705882</v>
      </c>
      <c r="K5" s="108">
        <v>1</v>
      </c>
      <c r="L5" s="108">
        <v>0</v>
      </c>
    </row>
    <row r="6" spans="2:12" ht="13.8" x14ac:dyDescent="0.25">
      <c r="B6" s="108">
        <v>1</v>
      </c>
      <c r="C6" s="108">
        <v>0.75757575757575757</v>
      </c>
      <c r="D6" s="108">
        <v>0.87096774193548387</v>
      </c>
      <c r="E6" s="108">
        <v>0.48148148148148145</v>
      </c>
      <c r="F6" s="108"/>
      <c r="I6" s="108">
        <v>0.9375</v>
      </c>
      <c r="J6" s="108">
        <v>0.4</v>
      </c>
      <c r="K6" s="108">
        <v>1</v>
      </c>
      <c r="L6" s="108">
        <v>0</v>
      </c>
    </row>
    <row r="7" spans="2:12" ht="13.8" x14ac:dyDescent="0.25">
      <c r="B7" s="108">
        <v>0.92592592592592593</v>
      </c>
      <c r="C7" s="108">
        <v>0.76923076923076927</v>
      </c>
      <c r="D7" s="108">
        <v>0.85</v>
      </c>
      <c r="E7" s="108">
        <v>0.55555555555555558</v>
      </c>
      <c r="F7" s="108"/>
      <c r="I7" s="108">
        <v>0.81818181818181823</v>
      </c>
      <c r="J7" s="108">
        <v>0.4</v>
      </c>
      <c r="K7" s="108">
        <v>0.9285714285714286</v>
      </c>
      <c r="L7" s="108">
        <v>0</v>
      </c>
    </row>
    <row r="8" spans="2:12" ht="13.8" x14ac:dyDescent="0.25">
      <c r="B8" s="108">
        <v>0.9</v>
      </c>
      <c r="C8" s="108"/>
      <c r="D8" s="108">
        <v>1</v>
      </c>
      <c r="E8" s="108">
        <v>0.5714285714285714</v>
      </c>
      <c r="F8" s="108"/>
      <c r="I8" s="108">
        <v>0.90909090909090906</v>
      </c>
      <c r="J8" s="108"/>
      <c r="K8" s="108">
        <v>0.7142857142857143</v>
      </c>
      <c r="L8" s="108">
        <v>0</v>
      </c>
    </row>
    <row r="9" spans="2:12" ht="13.8" x14ac:dyDescent="0.25">
      <c r="B9" s="108"/>
      <c r="C9" s="108"/>
      <c r="D9" s="108">
        <v>1</v>
      </c>
      <c r="E9" s="108">
        <v>0.55000000000000004</v>
      </c>
      <c r="F9" s="108"/>
      <c r="I9" s="108"/>
      <c r="J9" s="108"/>
      <c r="K9" s="108">
        <v>0.52631578947368418</v>
      </c>
      <c r="L9" s="108">
        <v>0</v>
      </c>
    </row>
    <row r="10" spans="2:12" ht="13.8" x14ac:dyDescent="0.25">
      <c r="B10" s="70"/>
      <c r="C10" s="109"/>
      <c r="D10" s="109"/>
      <c r="E10" s="108"/>
      <c r="F10" s="108"/>
    </row>
    <row r="11" spans="2:12" ht="13.8" x14ac:dyDescent="0.25">
      <c r="B11" s="70"/>
      <c r="C11" s="110"/>
      <c r="D11" s="110"/>
      <c r="E11" s="107"/>
      <c r="F11" s="107"/>
    </row>
    <row r="12" spans="2:12" x14ac:dyDescent="0.25">
      <c r="B12" s="70"/>
      <c r="C12" s="70"/>
      <c r="D12" s="70"/>
      <c r="E12" s="70"/>
      <c r="F12" s="70"/>
    </row>
    <row r="13" spans="2:12" x14ac:dyDescent="0.25">
      <c r="B13" s="70"/>
      <c r="C13" s="70"/>
      <c r="D13" s="70"/>
      <c r="E13" s="70"/>
      <c r="F13" s="70"/>
    </row>
    <row r="17" spans="1:14" x14ac:dyDescent="0.25">
      <c r="A17" s="111" t="s">
        <v>587</v>
      </c>
      <c r="B17" s="112">
        <f>AVERAGE(B5:B8)</f>
        <v>0.95648148148148149</v>
      </c>
      <c r="C17" s="112">
        <f>AVERAGE(C5:C7)</f>
        <v>0.7503148192803365</v>
      </c>
      <c r="D17" s="112">
        <f>AVERAGE(D5:D9)</f>
        <v>0.92314091680814947</v>
      </c>
      <c r="E17" s="112">
        <f>AVERAGE(E5:E9)</f>
        <v>0.53835978835978826</v>
      </c>
      <c r="F17" s="112"/>
      <c r="H17" s="111" t="s">
        <v>587</v>
      </c>
      <c r="I17" s="112">
        <f>AVERAGE(I5:I8)</f>
        <v>0.89619318181818186</v>
      </c>
      <c r="J17" s="112">
        <f>AVERAGE(J5:J7)</f>
        <v>0.34509803921568621</v>
      </c>
      <c r="K17" s="112">
        <f>AVERAGE(K5:K9)</f>
        <v>0.83383458646616548</v>
      </c>
      <c r="L17" s="112">
        <f>AVERAGE(L5:L9)</f>
        <v>0</v>
      </c>
    </row>
    <row r="18" spans="1:14" x14ac:dyDescent="0.25">
      <c r="A18" s="111" t="s">
        <v>588</v>
      </c>
      <c r="B18" s="113">
        <f>STDEVP(B4:B8)/SQRT(COUNT(B4:B8))</f>
        <v>2.2236685108375606E-2</v>
      </c>
      <c r="C18" s="113">
        <f>STDEVP(C4:C7)/SQRT(COUNT(C4:C7))</f>
        <v>1.1034108057861645E-2</v>
      </c>
      <c r="D18" s="113">
        <f>STDEVP(D4:D9)/SQRT(COUNT(D4:D9))</f>
        <v>2.8770166969095703E-2</v>
      </c>
      <c r="E18" s="113">
        <f>STDEVP(E4:E9)/SQRT(COUNT(E4:E9))</f>
        <v>1.3834941841014014E-2</v>
      </c>
      <c r="F18" s="113"/>
      <c r="H18" s="111" t="s">
        <v>588</v>
      </c>
      <c r="I18" s="113">
        <f>STDEVP(I4:I8)/SQRT(COUNT(I4:I8))</f>
        <v>2.3082923944788898E-2</v>
      </c>
      <c r="J18" s="113">
        <f>STDEVP(J4:J7)/SQRT(COUNT(J4:J7))</f>
        <v>4.4827263266620523E-2</v>
      </c>
      <c r="K18" s="113">
        <f>STDEVP(K4:K9)/SQRT(COUNT(K4:K9))</f>
        <v>8.3200168727025667E-2</v>
      </c>
      <c r="L18" s="113">
        <f>STDEVP(L4:L9)/SQRT(COUNT(L4:L9))</f>
        <v>0</v>
      </c>
    </row>
    <row r="19" spans="1:14" x14ac:dyDescent="0.25">
      <c r="A19" s="160" t="s">
        <v>578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</row>
    <row r="20" spans="1:14" ht="15.6" x14ac:dyDescent="0.25">
      <c r="A20" s="63" t="s">
        <v>451</v>
      </c>
      <c r="B20" s="114" t="s">
        <v>674</v>
      </c>
      <c r="C20" s="68"/>
      <c r="D20" s="114" t="s">
        <v>675</v>
      </c>
      <c r="H20" s="63" t="s">
        <v>19</v>
      </c>
      <c r="I20" s="114" t="s">
        <v>674</v>
      </c>
      <c r="K20" s="114" t="s">
        <v>675</v>
      </c>
    </row>
    <row r="21" spans="1:14" ht="15.6" x14ac:dyDescent="0.25">
      <c r="B21" s="115"/>
      <c r="D21" s="69"/>
      <c r="I21" s="53" t="s">
        <v>419</v>
      </c>
      <c r="J21" s="52" t="s">
        <v>712</v>
      </c>
      <c r="K21" s="53" t="s">
        <v>710</v>
      </c>
      <c r="L21" s="52" t="s">
        <v>711</v>
      </c>
    </row>
    <row r="22" spans="1:14" ht="15.6" x14ac:dyDescent="0.25">
      <c r="B22" s="115" t="s">
        <v>419</v>
      </c>
      <c r="C22" s="63" t="s">
        <v>676</v>
      </c>
      <c r="D22" s="53" t="s">
        <v>710</v>
      </c>
      <c r="E22" s="52" t="s">
        <v>711</v>
      </c>
      <c r="I22" s="53" t="s">
        <v>421</v>
      </c>
      <c r="J22" s="52" t="s">
        <v>421</v>
      </c>
      <c r="K22" s="53" t="s">
        <v>421</v>
      </c>
      <c r="L22" s="52" t="s">
        <v>421</v>
      </c>
    </row>
    <row r="23" spans="1:14" ht="15.6" x14ac:dyDescent="0.25">
      <c r="B23" s="115" t="s">
        <v>421</v>
      </c>
      <c r="C23" s="63" t="s">
        <v>421</v>
      </c>
      <c r="D23" s="53" t="s">
        <v>421</v>
      </c>
      <c r="E23" s="52" t="s">
        <v>421</v>
      </c>
      <c r="I23" s="53" t="s">
        <v>422</v>
      </c>
      <c r="J23" s="52" t="s">
        <v>677</v>
      </c>
      <c r="K23" s="53" t="s">
        <v>419</v>
      </c>
      <c r="L23" s="52" t="s">
        <v>712</v>
      </c>
    </row>
    <row r="24" spans="1:14" ht="15.6" x14ac:dyDescent="0.25">
      <c r="B24" s="115" t="s">
        <v>422</v>
      </c>
      <c r="C24" s="63" t="s">
        <v>677</v>
      </c>
      <c r="D24" s="53" t="s">
        <v>419</v>
      </c>
      <c r="E24" s="52" t="s">
        <v>712</v>
      </c>
      <c r="I24" s="53"/>
      <c r="J24" s="52"/>
      <c r="K24" s="53"/>
      <c r="L24" s="52"/>
    </row>
    <row r="25" spans="1:14" x14ac:dyDescent="0.25">
      <c r="B25" s="115"/>
      <c r="D25" s="53"/>
      <c r="E25" s="52"/>
      <c r="I25" s="53" t="s">
        <v>424</v>
      </c>
      <c r="J25" s="52"/>
      <c r="K25" s="53" t="s">
        <v>424</v>
      </c>
      <c r="L25" s="52"/>
    </row>
    <row r="26" spans="1:14" x14ac:dyDescent="0.25">
      <c r="B26" s="115" t="s">
        <v>424</v>
      </c>
      <c r="D26" s="53" t="s">
        <v>424</v>
      </c>
      <c r="E26" s="52"/>
      <c r="I26" s="53" t="s">
        <v>425</v>
      </c>
      <c r="J26" s="52">
        <v>2.0000000000000001E-4</v>
      </c>
      <c r="K26" s="53" t="s">
        <v>425</v>
      </c>
      <c r="L26" s="52">
        <v>1E-4</v>
      </c>
    </row>
    <row r="27" spans="1:14" x14ac:dyDescent="0.25">
      <c r="B27" s="115" t="s">
        <v>425</v>
      </c>
      <c r="C27" s="63">
        <v>6.9999999999999999E-4</v>
      </c>
      <c r="D27" s="53" t="s">
        <v>425</v>
      </c>
      <c r="E27" s="52" t="s">
        <v>616</v>
      </c>
      <c r="I27" s="53" t="s">
        <v>426</v>
      </c>
      <c r="J27" s="52" t="s">
        <v>454</v>
      </c>
      <c r="K27" s="53" t="s">
        <v>426</v>
      </c>
      <c r="L27" s="52" t="s">
        <v>454</v>
      </c>
    </row>
    <row r="28" spans="1:14" x14ac:dyDescent="0.25">
      <c r="B28" s="115" t="s">
        <v>426</v>
      </c>
      <c r="C28" s="63" t="s">
        <v>454</v>
      </c>
      <c r="D28" s="53" t="s">
        <v>426</v>
      </c>
      <c r="E28" s="52" t="s">
        <v>555</v>
      </c>
      <c r="I28" s="53" t="s">
        <v>428</v>
      </c>
      <c r="J28" s="52" t="s">
        <v>429</v>
      </c>
      <c r="K28" s="53" t="s">
        <v>428</v>
      </c>
      <c r="L28" s="52" t="s">
        <v>429</v>
      </c>
    </row>
    <row r="29" spans="1:14" x14ac:dyDescent="0.25">
      <c r="B29" s="115" t="s">
        <v>428</v>
      </c>
      <c r="C29" s="63" t="s">
        <v>429</v>
      </c>
      <c r="D29" s="53" t="s">
        <v>428</v>
      </c>
      <c r="E29" s="52" t="s">
        <v>429</v>
      </c>
      <c r="I29" s="53" t="s">
        <v>430</v>
      </c>
      <c r="J29" s="52" t="s">
        <v>431</v>
      </c>
      <c r="K29" s="53" t="s">
        <v>430</v>
      </c>
      <c r="L29" s="52" t="s">
        <v>431</v>
      </c>
    </row>
    <row r="30" spans="1:14" x14ac:dyDescent="0.25">
      <c r="B30" s="115" t="s">
        <v>430</v>
      </c>
      <c r="C30" s="63" t="s">
        <v>572</v>
      </c>
      <c r="D30" s="53" t="s">
        <v>430</v>
      </c>
      <c r="E30" s="52" t="s">
        <v>431</v>
      </c>
      <c r="I30" s="53" t="s">
        <v>432</v>
      </c>
      <c r="J30" s="52" t="s">
        <v>725</v>
      </c>
      <c r="K30" s="53" t="s">
        <v>432</v>
      </c>
      <c r="L30" s="52" t="s">
        <v>729</v>
      </c>
    </row>
    <row r="31" spans="1:14" x14ac:dyDescent="0.25">
      <c r="B31" s="115" t="s">
        <v>432</v>
      </c>
      <c r="C31" s="63" t="s">
        <v>679</v>
      </c>
      <c r="D31" s="53" t="s">
        <v>432</v>
      </c>
      <c r="E31" s="52" t="s">
        <v>713</v>
      </c>
      <c r="I31" s="53"/>
      <c r="J31" s="52"/>
      <c r="K31" s="53"/>
      <c r="L31" s="52"/>
    </row>
    <row r="32" spans="1:14" x14ac:dyDescent="0.25">
      <c r="B32" s="115"/>
      <c r="D32" s="53"/>
      <c r="E32" s="52"/>
      <c r="I32" s="53" t="s">
        <v>434</v>
      </c>
      <c r="J32" s="52"/>
      <c r="K32" s="53" t="s">
        <v>434</v>
      </c>
      <c r="L32" s="52"/>
    </row>
    <row r="33" spans="2:12" x14ac:dyDescent="0.25">
      <c r="B33" s="115" t="s">
        <v>434</v>
      </c>
      <c r="D33" s="53" t="s">
        <v>434</v>
      </c>
      <c r="E33" s="52"/>
      <c r="I33" s="53" t="s">
        <v>435</v>
      </c>
      <c r="J33" s="52">
        <v>89.62</v>
      </c>
      <c r="K33" s="53" t="s">
        <v>436</v>
      </c>
      <c r="L33" s="52">
        <v>34.51</v>
      </c>
    </row>
    <row r="34" spans="2:12" x14ac:dyDescent="0.25">
      <c r="B34" s="115" t="s">
        <v>435</v>
      </c>
      <c r="C34" s="63">
        <v>95.65</v>
      </c>
      <c r="D34" s="53" t="s">
        <v>436</v>
      </c>
      <c r="E34" s="52">
        <v>75.03</v>
      </c>
      <c r="I34" s="53" t="s">
        <v>436</v>
      </c>
      <c r="J34" s="52">
        <v>34.51</v>
      </c>
      <c r="K34" s="53" t="s">
        <v>714</v>
      </c>
      <c r="L34" s="52">
        <v>0</v>
      </c>
    </row>
    <row r="35" spans="2:12" x14ac:dyDescent="0.25">
      <c r="B35" s="115" t="s">
        <v>436</v>
      </c>
      <c r="C35" s="63">
        <v>75.03</v>
      </c>
      <c r="D35" s="53" t="s">
        <v>714</v>
      </c>
      <c r="E35" s="52">
        <v>53.84</v>
      </c>
      <c r="I35" s="53" t="s">
        <v>437</v>
      </c>
      <c r="J35" s="52" t="s">
        <v>726</v>
      </c>
      <c r="K35" s="53" t="s">
        <v>715</v>
      </c>
      <c r="L35" s="52" t="s">
        <v>730</v>
      </c>
    </row>
    <row r="36" spans="2:12" x14ac:dyDescent="0.25">
      <c r="B36" s="115" t="s">
        <v>437</v>
      </c>
      <c r="C36" s="63" t="s">
        <v>681</v>
      </c>
      <c r="D36" s="53" t="s">
        <v>715</v>
      </c>
      <c r="E36" s="52" t="s">
        <v>716</v>
      </c>
      <c r="I36" s="53" t="s">
        <v>439</v>
      </c>
      <c r="J36" s="52" t="s">
        <v>727</v>
      </c>
      <c r="K36" s="53" t="s">
        <v>439</v>
      </c>
      <c r="L36" s="52" t="s">
        <v>731</v>
      </c>
    </row>
    <row r="37" spans="2:12" x14ac:dyDescent="0.25">
      <c r="B37" s="115" t="s">
        <v>439</v>
      </c>
      <c r="C37" s="63" t="s">
        <v>682</v>
      </c>
      <c r="D37" s="53" t="s">
        <v>439</v>
      </c>
      <c r="E37" s="52" t="s">
        <v>717</v>
      </c>
      <c r="I37" s="53" t="s">
        <v>441</v>
      </c>
      <c r="J37" s="52">
        <v>0.95140000000000002</v>
      </c>
      <c r="K37" s="53" t="s">
        <v>441</v>
      </c>
      <c r="L37" s="52">
        <v>0.92510000000000003</v>
      </c>
    </row>
    <row r="38" spans="2:12" x14ac:dyDescent="0.25">
      <c r="B38" s="115" t="s">
        <v>441</v>
      </c>
      <c r="C38" s="63">
        <v>0.89</v>
      </c>
      <c r="D38" s="53" t="s">
        <v>441</v>
      </c>
      <c r="E38" s="52">
        <v>0.93469999999999998</v>
      </c>
      <c r="I38" s="53"/>
      <c r="J38" s="52"/>
      <c r="K38" s="53"/>
      <c r="L38" s="52"/>
    </row>
    <row r="39" spans="2:12" x14ac:dyDescent="0.25">
      <c r="B39" s="115"/>
      <c r="D39" s="53"/>
      <c r="E39" s="52"/>
      <c r="I39" s="53" t="s">
        <v>442</v>
      </c>
      <c r="J39" s="52"/>
      <c r="K39" s="53" t="s">
        <v>442</v>
      </c>
      <c r="L39" s="52"/>
    </row>
    <row r="40" spans="2:12" x14ac:dyDescent="0.25">
      <c r="B40" s="115" t="s">
        <v>442</v>
      </c>
      <c r="D40" s="53" t="s">
        <v>442</v>
      </c>
      <c r="E40" s="52"/>
      <c r="I40" s="53" t="s">
        <v>443</v>
      </c>
      <c r="J40" s="52" t="s">
        <v>728</v>
      </c>
      <c r="K40" s="53" t="s">
        <v>443</v>
      </c>
      <c r="L40" s="52" t="s">
        <v>732</v>
      </c>
    </row>
    <row r="41" spans="2:12" x14ac:dyDescent="0.25">
      <c r="B41" s="115" t="s">
        <v>443</v>
      </c>
      <c r="C41" s="63" t="s">
        <v>683</v>
      </c>
      <c r="D41" s="53" t="s">
        <v>443</v>
      </c>
      <c r="E41" s="52" t="s">
        <v>718</v>
      </c>
      <c r="I41" s="53" t="s">
        <v>425</v>
      </c>
      <c r="J41" s="52">
        <v>0.36259999999999998</v>
      </c>
      <c r="K41" s="53" t="s">
        <v>425</v>
      </c>
      <c r="L41" s="52" t="s">
        <v>616</v>
      </c>
    </row>
    <row r="42" spans="2:12" x14ac:dyDescent="0.25">
      <c r="B42" s="115" t="s">
        <v>425</v>
      </c>
      <c r="C42" s="63">
        <v>0.35389999999999999</v>
      </c>
      <c r="D42" s="53" t="s">
        <v>425</v>
      </c>
      <c r="E42" s="52">
        <v>0.67659999999999998</v>
      </c>
      <c r="I42" s="53" t="s">
        <v>426</v>
      </c>
      <c r="J42" s="52" t="s">
        <v>445</v>
      </c>
      <c r="K42" s="53" t="s">
        <v>426</v>
      </c>
      <c r="L42" s="52" t="s">
        <v>617</v>
      </c>
    </row>
    <row r="43" spans="2:12" x14ac:dyDescent="0.25">
      <c r="B43" s="115" t="s">
        <v>426</v>
      </c>
      <c r="C43" s="63" t="s">
        <v>445</v>
      </c>
      <c r="D43" s="53" t="s">
        <v>426</v>
      </c>
      <c r="E43" s="52" t="s">
        <v>445</v>
      </c>
      <c r="I43" s="53" t="s">
        <v>428</v>
      </c>
      <c r="J43" s="52" t="s">
        <v>446</v>
      </c>
      <c r="K43" s="53" t="s">
        <v>428</v>
      </c>
      <c r="L43" s="52" t="s">
        <v>429</v>
      </c>
    </row>
    <row r="44" spans="2:12" x14ac:dyDescent="0.25">
      <c r="B44" s="115" t="s">
        <v>428</v>
      </c>
      <c r="C44" s="63" t="s">
        <v>446</v>
      </c>
      <c r="D44" s="53" t="s">
        <v>428</v>
      </c>
      <c r="E44" s="52" t="s">
        <v>446</v>
      </c>
    </row>
    <row r="45" spans="2:12" x14ac:dyDescent="0.25">
      <c r="B45" s="115"/>
    </row>
    <row r="46" spans="2:12" x14ac:dyDescent="0.25">
      <c r="D46" s="69"/>
    </row>
    <row r="47" spans="2:12" ht="15.6" x14ac:dyDescent="0.25">
      <c r="B47" s="114" t="s">
        <v>678</v>
      </c>
      <c r="D47" s="114" t="s">
        <v>680</v>
      </c>
      <c r="I47" s="114" t="s">
        <v>678</v>
      </c>
      <c r="K47" s="114" t="s">
        <v>680</v>
      </c>
    </row>
    <row r="48" spans="2:12" x14ac:dyDescent="0.25">
      <c r="B48" s="114"/>
      <c r="I48" s="53" t="s">
        <v>418</v>
      </c>
      <c r="J48" s="52" t="s">
        <v>733</v>
      </c>
      <c r="K48" s="53" t="s">
        <v>418</v>
      </c>
      <c r="L48" s="52" t="s">
        <v>733</v>
      </c>
    </row>
    <row r="49" spans="2:12" ht="15.6" x14ac:dyDescent="0.25">
      <c r="B49" s="115" t="s">
        <v>684</v>
      </c>
      <c r="C49" s="63" t="s">
        <v>685</v>
      </c>
      <c r="D49" s="53" t="s">
        <v>710</v>
      </c>
      <c r="E49" s="52" t="s">
        <v>711</v>
      </c>
      <c r="I49" s="53"/>
      <c r="J49" s="52"/>
      <c r="K49" s="53"/>
      <c r="L49" s="52"/>
    </row>
    <row r="50" spans="2:12" ht="15.6" x14ac:dyDescent="0.25">
      <c r="B50" s="115" t="s">
        <v>421</v>
      </c>
      <c r="C50" s="63" t="s">
        <v>421</v>
      </c>
      <c r="D50" s="53" t="s">
        <v>421</v>
      </c>
      <c r="E50" s="52" t="s">
        <v>421</v>
      </c>
      <c r="I50" s="53" t="s">
        <v>684</v>
      </c>
      <c r="J50" s="52" t="s">
        <v>719</v>
      </c>
      <c r="K50" s="53" t="s">
        <v>710</v>
      </c>
      <c r="L50" s="52" t="s">
        <v>711</v>
      </c>
    </row>
    <row r="51" spans="2:12" ht="15.6" x14ac:dyDescent="0.25">
      <c r="B51" s="115" t="s">
        <v>422</v>
      </c>
      <c r="C51" s="63" t="s">
        <v>677</v>
      </c>
      <c r="D51" s="53" t="s">
        <v>684</v>
      </c>
      <c r="E51" s="52" t="s">
        <v>719</v>
      </c>
      <c r="I51" s="53" t="s">
        <v>421</v>
      </c>
      <c r="J51" s="52" t="s">
        <v>421</v>
      </c>
      <c r="K51" s="53" t="s">
        <v>421</v>
      </c>
      <c r="L51" s="52" t="s">
        <v>421</v>
      </c>
    </row>
    <row r="52" spans="2:12" ht="15.6" x14ac:dyDescent="0.25">
      <c r="B52" s="115"/>
      <c r="D52" s="53"/>
      <c r="E52" s="52"/>
      <c r="I52" s="53" t="s">
        <v>422</v>
      </c>
      <c r="J52" s="52" t="s">
        <v>677</v>
      </c>
      <c r="K52" s="53" t="s">
        <v>684</v>
      </c>
      <c r="L52" s="52" t="s">
        <v>719</v>
      </c>
    </row>
    <row r="53" spans="2:12" x14ac:dyDescent="0.25">
      <c r="B53" s="115" t="s">
        <v>424</v>
      </c>
      <c r="D53" s="53" t="s">
        <v>424</v>
      </c>
      <c r="E53" s="52"/>
      <c r="I53" s="53"/>
      <c r="J53" s="52"/>
      <c r="K53" s="53"/>
      <c r="L53" s="52"/>
    </row>
    <row r="54" spans="2:12" x14ac:dyDescent="0.25">
      <c r="B54" s="115" t="s">
        <v>425</v>
      </c>
      <c r="C54" s="63">
        <v>0.46239999999999998</v>
      </c>
      <c r="D54" s="53" t="s">
        <v>425</v>
      </c>
      <c r="E54" s="52" t="s">
        <v>616</v>
      </c>
      <c r="I54" s="53" t="s">
        <v>424</v>
      </c>
      <c r="J54" s="52"/>
      <c r="K54" s="53" t="s">
        <v>424</v>
      </c>
      <c r="L54" s="52"/>
    </row>
    <row r="55" spans="2:12" x14ac:dyDescent="0.25">
      <c r="B55" s="115" t="s">
        <v>426</v>
      </c>
      <c r="C55" s="63" t="s">
        <v>445</v>
      </c>
      <c r="D55" s="53" t="s">
        <v>426</v>
      </c>
      <c r="E55" s="52" t="s">
        <v>555</v>
      </c>
      <c r="I55" s="53" t="s">
        <v>425</v>
      </c>
      <c r="J55" s="52">
        <v>0.58189999999999997</v>
      </c>
      <c r="K55" s="53" t="s">
        <v>425</v>
      </c>
      <c r="L55" s="52" t="s">
        <v>616</v>
      </c>
    </row>
    <row r="56" spans="2:12" x14ac:dyDescent="0.25">
      <c r="B56" s="115" t="s">
        <v>428</v>
      </c>
      <c r="C56" s="63" t="s">
        <v>446</v>
      </c>
      <c r="D56" s="53" t="s">
        <v>428</v>
      </c>
      <c r="E56" s="52" t="s">
        <v>429</v>
      </c>
      <c r="I56" s="53" t="s">
        <v>426</v>
      </c>
      <c r="J56" s="52" t="s">
        <v>445</v>
      </c>
      <c r="K56" s="53" t="s">
        <v>426</v>
      </c>
      <c r="L56" s="52" t="s">
        <v>555</v>
      </c>
    </row>
    <row r="57" spans="2:12" x14ac:dyDescent="0.25">
      <c r="B57" s="115" t="s">
        <v>430</v>
      </c>
      <c r="C57" s="63" t="s">
        <v>431</v>
      </c>
      <c r="D57" s="53" t="s">
        <v>430</v>
      </c>
      <c r="E57" s="52" t="s">
        <v>431</v>
      </c>
      <c r="I57" s="53" t="s">
        <v>428</v>
      </c>
      <c r="J57" s="52" t="s">
        <v>446</v>
      </c>
      <c r="K57" s="53" t="s">
        <v>428</v>
      </c>
      <c r="L57" s="52" t="s">
        <v>429</v>
      </c>
    </row>
    <row r="58" spans="2:12" x14ac:dyDescent="0.25">
      <c r="B58" s="115" t="s">
        <v>432</v>
      </c>
      <c r="C58" s="63" t="s">
        <v>686</v>
      </c>
      <c r="D58" s="53" t="s">
        <v>432</v>
      </c>
      <c r="E58" s="52" t="s">
        <v>720</v>
      </c>
      <c r="I58" s="53" t="s">
        <v>430</v>
      </c>
      <c r="J58" s="52" t="s">
        <v>431</v>
      </c>
      <c r="K58" s="53" t="s">
        <v>430</v>
      </c>
      <c r="L58" s="52" t="s">
        <v>431</v>
      </c>
    </row>
    <row r="59" spans="2:12" x14ac:dyDescent="0.25">
      <c r="B59" s="115"/>
      <c r="D59" s="53"/>
      <c r="E59" s="52"/>
      <c r="I59" s="53" t="s">
        <v>432</v>
      </c>
      <c r="J59" s="52" t="s">
        <v>734</v>
      </c>
      <c r="K59" s="53" t="s">
        <v>432</v>
      </c>
      <c r="L59" s="52" t="s">
        <v>738</v>
      </c>
    </row>
    <row r="60" spans="2:12" x14ac:dyDescent="0.25">
      <c r="B60" s="115" t="s">
        <v>434</v>
      </c>
      <c r="D60" s="53" t="s">
        <v>434</v>
      </c>
      <c r="E60" s="52"/>
      <c r="I60" s="53"/>
      <c r="J60" s="52"/>
      <c r="K60" s="53"/>
      <c r="L60" s="52"/>
    </row>
    <row r="61" spans="2:12" x14ac:dyDescent="0.25">
      <c r="B61" s="115" t="s">
        <v>435</v>
      </c>
      <c r="C61" s="63">
        <v>95.65</v>
      </c>
      <c r="D61" s="53" t="s">
        <v>687</v>
      </c>
      <c r="E61" s="52">
        <v>92.31</v>
      </c>
      <c r="I61" s="53" t="s">
        <v>434</v>
      </c>
      <c r="J61" s="52"/>
      <c r="K61" s="53" t="s">
        <v>434</v>
      </c>
      <c r="L61" s="52"/>
    </row>
    <row r="62" spans="2:12" x14ac:dyDescent="0.25">
      <c r="B62" s="115" t="s">
        <v>687</v>
      </c>
      <c r="C62" s="63">
        <v>92.31</v>
      </c>
      <c r="D62" s="53" t="s">
        <v>714</v>
      </c>
      <c r="E62" s="52">
        <v>53.84</v>
      </c>
      <c r="I62" s="53" t="s">
        <v>435</v>
      </c>
      <c r="J62" s="52">
        <v>89.62</v>
      </c>
      <c r="K62" s="53" t="s">
        <v>687</v>
      </c>
      <c r="L62" s="52">
        <v>83.38</v>
      </c>
    </row>
    <row r="63" spans="2:12" x14ac:dyDescent="0.25">
      <c r="B63" s="115" t="s">
        <v>688</v>
      </c>
      <c r="C63" s="63" t="s">
        <v>689</v>
      </c>
      <c r="D63" s="53" t="s">
        <v>721</v>
      </c>
      <c r="E63" s="52" t="s">
        <v>722</v>
      </c>
      <c r="I63" s="53" t="s">
        <v>687</v>
      </c>
      <c r="J63" s="52">
        <v>83.38</v>
      </c>
      <c r="K63" s="53" t="s">
        <v>714</v>
      </c>
      <c r="L63" s="52">
        <v>0</v>
      </c>
    </row>
    <row r="64" spans="2:12" x14ac:dyDescent="0.25">
      <c r="B64" s="115" t="s">
        <v>439</v>
      </c>
      <c r="C64" s="63" t="s">
        <v>690</v>
      </c>
      <c r="D64" s="53" t="s">
        <v>439</v>
      </c>
      <c r="E64" s="52" t="s">
        <v>723</v>
      </c>
      <c r="I64" s="53" t="s">
        <v>688</v>
      </c>
      <c r="J64" s="52" t="s">
        <v>735</v>
      </c>
      <c r="K64" s="53" t="s">
        <v>721</v>
      </c>
      <c r="L64" s="52" t="s">
        <v>739</v>
      </c>
    </row>
    <row r="65" spans="2:12" x14ac:dyDescent="0.25">
      <c r="B65" s="115" t="s">
        <v>441</v>
      </c>
      <c r="C65" s="63">
        <v>7.9469999999999999E-2</v>
      </c>
      <c r="D65" s="53" t="s">
        <v>441</v>
      </c>
      <c r="E65" s="52">
        <v>0.93559999999999999</v>
      </c>
      <c r="I65" s="53" t="s">
        <v>439</v>
      </c>
      <c r="J65" s="52" t="s">
        <v>736</v>
      </c>
      <c r="K65" s="53" t="s">
        <v>439</v>
      </c>
      <c r="L65" s="52" t="s">
        <v>740</v>
      </c>
    </row>
    <row r="66" spans="2:12" x14ac:dyDescent="0.25">
      <c r="B66" s="115"/>
      <c r="D66" s="53"/>
      <c r="E66" s="52"/>
      <c r="I66" s="53" t="s">
        <v>441</v>
      </c>
      <c r="J66" s="52">
        <v>4.5429999999999998E-2</v>
      </c>
      <c r="K66" s="53" t="s">
        <v>441</v>
      </c>
      <c r="L66" s="52">
        <v>0.90939999999999999</v>
      </c>
    </row>
    <row r="67" spans="2:12" x14ac:dyDescent="0.25">
      <c r="B67" s="115" t="s">
        <v>442</v>
      </c>
      <c r="D67" s="53" t="s">
        <v>442</v>
      </c>
      <c r="E67" s="52"/>
      <c r="I67" s="53"/>
      <c r="J67" s="52"/>
      <c r="K67" s="53"/>
      <c r="L67" s="52"/>
    </row>
    <row r="68" spans="2:12" x14ac:dyDescent="0.25">
      <c r="B68" s="115" t="s">
        <v>443</v>
      </c>
      <c r="C68" s="63" t="s">
        <v>691</v>
      </c>
      <c r="D68" s="53" t="s">
        <v>443</v>
      </c>
      <c r="E68" s="52" t="s">
        <v>724</v>
      </c>
      <c r="I68" s="53" t="s">
        <v>442</v>
      </c>
      <c r="J68" s="52"/>
      <c r="K68" s="53" t="s">
        <v>442</v>
      </c>
      <c r="L68" s="52"/>
    </row>
    <row r="69" spans="2:12" x14ac:dyDescent="0.25">
      <c r="B69" s="115" t="s">
        <v>425</v>
      </c>
      <c r="C69" s="63">
        <v>0.60670000000000002</v>
      </c>
      <c r="D69" s="53" t="s">
        <v>425</v>
      </c>
      <c r="E69" s="52">
        <v>0.185</v>
      </c>
      <c r="I69" s="53" t="s">
        <v>443</v>
      </c>
      <c r="J69" s="52" t="s">
        <v>737</v>
      </c>
      <c r="K69" s="53" t="s">
        <v>443</v>
      </c>
      <c r="L69" s="52" t="s">
        <v>741</v>
      </c>
    </row>
    <row r="70" spans="2:12" x14ac:dyDescent="0.25">
      <c r="B70" s="115" t="s">
        <v>426</v>
      </c>
      <c r="C70" s="63" t="s">
        <v>445</v>
      </c>
      <c r="D70" s="53" t="s">
        <v>426</v>
      </c>
      <c r="E70" s="52" t="s">
        <v>445</v>
      </c>
      <c r="I70" s="53" t="s">
        <v>425</v>
      </c>
      <c r="J70" s="52">
        <v>4.9399999999999999E-2</v>
      </c>
      <c r="K70" s="53" t="s">
        <v>425</v>
      </c>
      <c r="L70" s="52" t="s">
        <v>616</v>
      </c>
    </row>
    <row r="71" spans="2:12" x14ac:dyDescent="0.25">
      <c r="B71" s="115" t="s">
        <v>428</v>
      </c>
      <c r="C71" s="63" t="s">
        <v>446</v>
      </c>
      <c r="D71" s="53" t="s">
        <v>428</v>
      </c>
      <c r="E71" s="52" t="s">
        <v>446</v>
      </c>
      <c r="I71" s="53" t="s">
        <v>426</v>
      </c>
      <c r="J71" s="52" t="s">
        <v>508</v>
      </c>
      <c r="K71" s="53" t="s">
        <v>426</v>
      </c>
      <c r="L71" s="52" t="s">
        <v>617</v>
      </c>
    </row>
    <row r="72" spans="2:12" x14ac:dyDescent="0.25">
      <c r="I72" s="53" t="s">
        <v>428</v>
      </c>
      <c r="J72" s="52" t="s">
        <v>429</v>
      </c>
      <c r="K72" s="53" t="s">
        <v>428</v>
      </c>
      <c r="L72" s="52" t="s">
        <v>429</v>
      </c>
    </row>
  </sheetData>
  <mergeCells count="7">
    <mergeCell ref="A19:N19"/>
    <mergeCell ref="B2:E2"/>
    <mergeCell ref="I2:L2"/>
    <mergeCell ref="B3:C3"/>
    <mergeCell ref="D3:E3"/>
    <mergeCell ref="I3:J3"/>
    <mergeCell ref="K3:L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E38CE-7601-4ADE-BBD9-97D6992F50A6}">
  <dimension ref="A1:AG192"/>
  <sheetViews>
    <sheetView tabSelected="1" topLeftCell="Q136" zoomScale="85" zoomScaleNormal="85" workbookViewId="0">
      <selection activeCell="V182" sqref="V182"/>
    </sheetView>
  </sheetViews>
  <sheetFormatPr defaultRowHeight="13.2" x14ac:dyDescent="0.25"/>
  <cols>
    <col min="1" max="19" width="8.88671875" style="70"/>
    <col min="20" max="20" width="9.88671875" style="70" customWidth="1"/>
    <col min="21" max="16384" width="8.88671875" style="70"/>
  </cols>
  <sheetData>
    <row r="1" spans="1:33" ht="13.8" x14ac:dyDescent="0.25">
      <c r="A1" s="116" t="s">
        <v>692</v>
      </c>
    </row>
    <row r="2" spans="1:33" ht="13.8" x14ac:dyDescent="0.25">
      <c r="A2" s="116" t="s">
        <v>693</v>
      </c>
    </row>
    <row r="4" spans="1:33" x14ac:dyDescent="0.25">
      <c r="C4" s="70" t="s">
        <v>476</v>
      </c>
      <c r="D4" s="70" t="s">
        <v>477</v>
      </c>
      <c r="E4" s="70" t="s">
        <v>478</v>
      </c>
      <c r="F4" s="70" t="s">
        <v>479</v>
      </c>
      <c r="G4" s="70" t="s">
        <v>480</v>
      </c>
      <c r="H4" s="70" t="s">
        <v>481</v>
      </c>
      <c r="J4" s="70" t="s">
        <v>482</v>
      </c>
      <c r="L4" s="70" t="s">
        <v>476</v>
      </c>
      <c r="M4" s="70" t="s">
        <v>477</v>
      </c>
      <c r="N4" s="70" t="s">
        <v>478</v>
      </c>
      <c r="O4" s="70" t="s">
        <v>479</v>
      </c>
      <c r="P4" s="70" t="s">
        <v>480</v>
      </c>
      <c r="Q4" s="70" t="s">
        <v>481</v>
      </c>
      <c r="AB4" s="70" t="s">
        <v>587</v>
      </c>
    </row>
    <row r="5" spans="1:33" x14ac:dyDescent="0.25">
      <c r="A5" s="70" t="s">
        <v>393</v>
      </c>
      <c r="B5" s="70" t="s">
        <v>483</v>
      </c>
      <c r="C5" s="70">
        <v>24</v>
      </c>
      <c r="D5" s="70">
        <v>9</v>
      </c>
      <c r="E5" s="70">
        <v>6</v>
      </c>
      <c r="F5" s="70">
        <v>2</v>
      </c>
      <c r="G5" s="70">
        <v>3</v>
      </c>
      <c r="H5" s="70">
        <v>2</v>
      </c>
      <c r="K5" s="70" t="s">
        <v>483</v>
      </c>
      <c r="L5" s="70">
        <f>C5*5</f>
        <v>120</v>
      </c>
      <c r="M5" s="70">
        <f>D5</f>
        <v>9</v>
      </c>
      <c r="N5" s="70">
        <f t="shared" ref="N5:P9" si="0">E5</f>
        <v>6</v>
      </c>
      <c r="O5" s="70">
        <f t="shared" si="0"/>
        <v>2</v>
      </c>
      <c r="P5" s="70">
        <f t="shared" si="0"/>
        <v>3</v>
      </c>
      <c r="Q5" s="70">
        <f t="shared" ref="Q5:Q8" si="1">H5*5</f>
        <v>10</v>
      </c>
      <c r="U5" s="70" t="s">
        <v>476</v>
      </c>
      <c r="V5" s="70" t="s">
        <v>477</v>
      </c>
      <c r="W5" s="70" t="s">
        <v>478</v>
      </c>
      <c r="X5" s="70" t="s">
        <v>479</v>
      </c>
      <c r="Y5" s="70" t="s">
        <v>480</v>
      </c>
      <c r="Z5" s="70" t="s">
        <v>481</v>
      </c>
      <c r="AB5" s="70" t="s">
        <v>476</v>
      </c>
      <c r="AC5" s="70" t="s">
        <v>477</v>
      </c>
      <c r="AD5" s="70" t="s">
        <v>478</v>
      </c>
      <c r="AE5" s="70" t="s">
        <v>479</v>
      </c>
      <c r="AF5" s="70" t="s">
        <v>480</v>
      </c>
      <c r="AG5" s="70" t="s">
        <v>481</v>
      </c>
    </row>
    <row r="6" spans="1:33" x14ac:dyDescent="0.25">
      <c r="B6" s="70" t="s">
        <v>485</v>
      </c>
      <c r="C6" s="70">
        <v>16</v>
      </c>
      <c r="D6" s="70">
        <v>11</v>
      </c>
      <c r="E6" s="70">
        <v>6</v>
      </c>
      <c r="F6" s="70">
        <v>1</v>
      </c>
      <c r="G6" s="70">
        <v>2</v>
      </c>
      <c r="H6" s="70">
        <v>5</v>
      </c>
      <c r="K6" s="70" t="s">
        <v>485</v>
      </c>
      <c r="L6" s="70">
        <f>C6*5</f>
        <v>80</v>
      </c>
      <c r="M6" s="70">
        <f t="shared" ref="M6:M9" si="2">D6</f>
        <v>11</v>
      </c>
      <c r="N6" s="70">
        <f t="shared" si="0"/>
        <v>6</v>
      </c>
      <c r="O6" s="70">
        <f t="shared" si="0"/>
        <v>1</v>
      </c>
      <c r="P6" s="70">
        <f t="shared" si="0"/>
        <v>2</v>
      </c>
      <c r="Q6" s="70">
        <f t="shared" si="1"/>
        <v>25</v>
      </c>
      <c r="T6" s="70" t="s">
        <v>393</v>
      </c>
      <c r="U6" s="70">
        <v>390</v>
      </c>
      <c r="V6" s="70">
        <v>36</v>
      </c>
      <c r="W6" s="70">
        <v>29</v>
      </c>
      <c r="X6" s="70">
        <v>10</v>
      </c>
      <c r="Y6" s="70">
        <v>9</v>
      </c>
      <c r="Z6" s="70">
        <v>70</v>
      </c>
      <c r="AA6" s="70" t="s">
        <v>694</v>
      </c>
      <c r="AB6" s="70">
        <f>AVERAGE(U6:U8)</f>
        <v>405</v>
      </c>
      <c r="AC6" s="70">
        <f t="shared" ref="AC6:AE6" si="3">AVERAGE(V6:V8)</f>
        <v>34</v>
      </c>
      <c r="AD6" s="70">
        <f t="shared" si="3"/>
        <v>27.333333333333332</v>
      </c>
      <c r="AE6" s="70">
        <f t="shared" si="3"/>
        <v>11.333333333333334</v>
      </c>
      <c r="AF6" s="70">
        <f>AVERAGE(Y6:Y8)</f>
        <v>11.333333333333334</v>
      </c>
      <c r="AG6" s="70">
        <f>AVERAGE(Z6:Z8)</f>
        <v>78.333333333333329</v>
      </c>
    </row>
    <row r="7" spans="1:33" x14ac:dyDescent="0.25">
      <c r="B7" s="70" t="s">
        <v>487</v>
      </c>
      <c r="C7" s="70">
        <v>22</v>
      </c>
      <c r="D7" s="70">
        <v>10</v>
      </c>
      <c r="E7" s="70">
        <v>12</v>
      </c>
      <c r="F7" s="70">
        <v>5</v>
      </c>
      <c r="G7" s="70">
        <v>0</v>
      </c>
      <c r="H7" s="70">
        <v>4</v>
      </c>
      <c r="K7" s="70" t="s">
        <v>487</v>
      </c>
      <c r="L7" s="70">
        <f>C7*5</f>
        <v>110</v>
      </c>
      <c r="M7" s="70">
        <f t="shared" si="2"/>
        <v>10</v>
      </c>
      <c r="N7" s="70">
        <f t="shared" si="0"/>
        <v>12</v>
      </c>
      <c r="O7" s="70">
        <f t="shared" si="0"/>
        <v>5</v>
      </c>
      <c r="P7" s="70">
        <f t="shared" si="0"/>
        <v>0</v>
      </c>
      <c r="Q7" s="70">
        <f t="shared" si="1"/>
        <v>20</v>
      </c>
      <c r="T7" s="70" t="s">
        <v>388</v>
      </c>
      <c r="U7" s="70">
        <v>380</v>
      </c>
      <c r="V7" s="70">
        <v>33</v>
      </c>
      <c r="W7" s="70">
        <v>24</v>
      </c>
      <c r="X7" s="70">
        <v>9</v>
      </c>
      <c r="Y7" s="70">
        <v>10</v>
      </c>
      <c r="Z7" s="70">
        <v>75</v>
      </c>
      <c r="AA7" s="70" t="s">
        <v>695</v>
      </c>
      <c r="AB7" s="70">
        <f>AVERAGE(U9:U11)</f>
        <v>406.66666666666669</v>
      </c>
      <c r="AC7" s="70">
        <f t="shared" ref="AC7:AG7" si="4">AVERAGE(V9:V11)</f>
        <v>45.333333333333336</v>
      </c>
      <c r="AD7" s="70">
        <f t="shared" si="4"/>
        <v>38</v>
      </c>
      <c r="AE7" s="70">
        <f t="shared" si="4"/>
        <v>22.333333333333332</v>
      </c>
      <c r="AF7" s="70">
        <f t="shared" si="4"/>
        <v>15.666666666666666</v>
      </c>
      <c r="AG7" s="70">
        <f t="shared" si="4"/>
        <v>55</v>
      </c>
    </row>
    <row r="8" spans="1:33" x14ac:dyDescent="0.25">
      <c r="B8" s="70" t="s">
        <v>488</v>
      </c>
      <c r="C8" s="70">
        <v>16</v>
      </c>
      <c r="D8" s="70">
        <v>6</v>
      </c>
      <c r="E8" s="70">
        <v>5</v>
      </c>
      <c r="F8" s="70">
        <v>2</v>
      </c>
      <c r="G8" s="70">
        <v>4</v>
      </c>
      <c r="H8" s="70">
        <v>3</v>
      </c>
      <c r="K8" s="70" t="s">
        <v>488</v>
      </c>
      <c r="L8" s="70">
        <f>C8*5</f>
        <v>80</v>
      </c>
      <c r="M8" s="70">
        <f t="shared" si="2"/>
        <v>6</v>
      </c>
      <c r="N8" s="70">
        <f t="shared" si="0"/>
        <v>5</v>
      </c>
      <c r="O8" s="70">
        <f t="shared" si="0"/>
        <v>2</v>
      </c>
      <c r="P8" s="70">
        <f t="shared" si="0"/>
        <v>4</v>
      </c>
      <c r="Q8" s="70">
        <f t="shared" si="1"/>
        <v>15</v>
      </c>
      <c r="T8" s="70" t="s">
        <v>383</v>
      </c>
      <c r="U8" s="70">
        <v>445</v>
      </c>
      <c r="V8" s="70">
        <v>33</v>
      </c>
      <c r="W8" s="70">
        <v>29</v>
      </c>
      <c r="X8" s="70">
        <v>15</v>
      </c>
      <c r="Y8" s="70">
        <v>15</v>
      </c>
      <c r="Z8" s="70">
        <v>90</v>
      </c>
      <c r="AA8" s="70" t="s">
        <v>696</v>
      </c>
      <c r="AB8" s="70">
        <f>AVERAGE(U12:U14)</f>
        <v>301.66666666666669</v>
      </c>
      <c r="AC8" s="70">
        <f t="shared" ref="AC8:AG8" si="5">AVERAGE(V12:V14)</f>
        <v>38.666666666666664</v>
      </c>
      <c r="AD8" s="70">
        <f t="shared" si="5"/>
        <v>30.333333333333332</v>
      </c>
      <c r="AE8" s="70">
        <f t="shared" si="5"/>
        <v>11.666666666666666</v>
      </c>
      <c r="AF8" s="70">
        <f t="shared" si="5"/>
        <v>9.3333333333333339</v>
      </c>
      <c r="AG8" s="70">
        <f t="shared" si="5"/>
        <v>183.33333333333334</v>
      </c>
    </row>
    <row r="9" spans="1:33" x14ac:dyDescent="0.25">
      <c r="C9" s="70">
        <f t="shared" ref="C9:H9" si="6">SUM(C5:C8)</f>
        <v>78</v>
      </c>
      <c r="D9" s="70">
        <f t="shared" si="6"/>
        <v>36</v>
      </c>
      <c r="E9" s="70">
        <f t="shared" si="6"/>
        <v>29</v>
      </c>
      <c r="F9" s="70">
        <f t="shared" si="6"/>
        <v>10</v>
      </c>
      <c r="G9" s="70">
        <f t="shared" si="6"/>
        <v>9</v>
      </c>
      <c r="H9" s="70">
        <f t="shared" si="6"/>
        <v>14</v>
      </c>
      <c r="I9" s="70">
        <f>SUM(C9:H9)</f>
        <v>176</v>
      </c>
      <c r="L9" s="70">
        <f>SUM(L5:L8)</f>
        <v>390</v>
      </c>
      <c r="M9" s="70">
        <f t="shared" si="2"/>
        <v>36</v>
      </c>
      <c r="N9" s="70">
        <f t="shared" si="0"/>
        <v>29</v>
      </c>
      <c r="O9" s="70">
        <f t="shared" si="0"/>
        <v>10</v>
      </c>
      <c r="P9" s="70">
        <f t="shared" si="0"/>
        <v>9</v>
      </c>
      <c r="Q9" s="70">
        <f>SUM(Q5:Q8)</f>
        <v>70</v>
      </c>
      <c r="R9" s="70">
        <f>SUM(L9:Q9)</f>
        <v>544</v>
      </c>
      <c r="T9" s="70" t="s">
        <v>490</v>
      </c>
      <c r="U9" s="70">
        <v>385</v>
      </c>
      <c r="V9" s="70">
        <v>44</v>
      </c>
      <c r="W9" s="70">
        <v>35</v>
      </c>
      <c r="X9" s="70">
        <v>21</v>
      </c>
      <c r="Y9" s="70">
        <v>12</v>
      </c>
      <c r="Z9" s="70">
        <v>50</v>
      </c>
      <c r="AA9" s="70" t="s">
        <v>697</v>
      </c>
      <c r="AB9" s="70">
        <f>AVERAGE(U15:U17)</f>
        <v>381.66666666666669</v>
      </c>
      <c r="AC9" s="70">
        <f t="shared" ref="AC9:AG9" si="7">AVERAGE(V15:V17)</f>
        <v>54</v>
      </c>
      <c r="AD9" s="70">
        <f t="shared" si="7"/>
        <v>44.333333333333336</v>
      </c>
      <c r="AE9" s="70">
        <f t="shared" si="7"/>
        <v>27.333333333333332</v>
      </c>
      <c r="AF9" s="70">
        <f t="shared" si="7"/>
        <v>19</v>
      </c>
      <c r="AG9" s="70">
        <f t="shared" si="7"/>
        <v>71.666666666666671</v>
      </c>
    </row>
    <row r="10" spans="1:33" x14ac:dyDescent="0.25">
      <c r="C10" s="70">
        <f>C9/I9%</f>
        <v>44.31818181818182</v>
      </c>
      <c r="D10" s="70">
        <f>D9/$I9 %</f>
        <v>20.454545454545453</v>
      </c>
      <c r="E10" s="70">
        <f>E9/$I9 %</f>
        <v>16.477272727272727</v>
      </c>
      <c r="F10" s="70">
        <f>F9/$I9 %</f>
        <v>5.6818181818181817</v>
      </c>
      <c r="G10" s="70">
        <f>G9/$I9 %</f>
        <v>5.1136363636363633</v>
      </c>
      <c r="H10" s="70">
        <f>H9/$I9 %</f>
        <v>7.9545454545454541</v>
      </c>
      <c r="L10" s="70">
        <f t="shared" ref="L10:Q10" si="8">L9/$R9 %</f>
        <v>71.691176470588232</v>
      </c>
      <c r="M10" s="70">
        <f t="shared" si="8"/>
        <v>6.617647058823529</v>
      </c>
      <c r="N10" s="70">
        <f t="shared" si="8"/>
        <v>5.3308823529411757</v>
      </c>
      <c r="O10" s="70">
        <f t="shared" si="8"/>
        <v>1.838235294117647</v>
      </c>
      <c r="P10" s="70">
        <f t="shared" si="8"/>
        <v>1.6544117647058822</v>
      </c>
      <c r="Q10" s="70">
        <f t="shared" si="8"/>
        <v>12.867647058823529</v>
      </c>
      <c r="T10" s="70" t="s">
        <v>352</v>
      </c>
      <c r="U10" s="70">
        <v>425</v>
      </c>
      <c r="V10" s="70">
        <v>49</v>
      </c>
      <c r="W10" s="70">
        <v>45</v>
      </c>
      <c r="X10" s="70">
        <v>29</v>
      </c>
      <c r="Y10" s="70">
        <v>19</v>
      </c>
      <c r="Z10" s="70">
        <v>60</v>
      </c>
    </row>
    <row r="11" spans="1:33" x14ac:dyDescent="0.25">
      <c r="T11" s="70" t="s">
        <v>347</v>
      </c>
      <c r="U11" s="70">
        <v>410</v>
      </c>
      <c r="V11" s="70">
        <v>43</v>
      </c>
      <c r="W11" s="70">
        <v>34</v>
      </c>
      <c r="X11" s="70">
        <v>17</v>
      </c>
      <c r="Y11" s="70">
        <v>16</v>
      </c>
      <c r="Z11" s="70">
        <v>55</v>
      </c>
      <c r="AB11" s="70" t="s">
        <v>475</v>
      </c>
    </row>
    <row r="12" spans="1:33" x14ac:dyDescent="0.25">
      <c r="T12" s="70" t="s">
        <v>698</v>
      </c>
      <c r="U12" s="70">
        <v>270</v>
      </c>
      <c r="V12" s="70">
        <v>44</v>
      </c>
      <c r="W12" s="70">
        <v>33</v>
      </c>
      <c r="X12" s="70">
        <v>7</v>
      </c>
      <c r="Y12" s="70">
        <v>5</v>
      </c>
      <c r="Z12" s="70">
        <v>190</v>
      </c>
      <c r="AA12" s="70" t="s">
        <v>694</v>
      </c>
      <c r="AB12" s="70">
        <f>STDEVP(U6:U8)/SQRT(COUNT(U6:U8))</f>
        <v>16.49915822768611</v>
      </c>
      <c r="AC12" s="70">
        <f t="shared" ref="AC12:AG12" si="9">STDEVP(V6:V8)/SQRT(COUNT(V6:V8))</f>
        <v>0.81649658092772615</v>
      </c>
      <c r="AD12" s="70">
        <f t="shared" si="9"/>
        <v>1.3608276348795436</v>
      </c>
      <c r="AE12" s="70">
        <f t="shared" si="9"/>
        <v>1.5153535218873173</v>
      </c>
      <c r="AF12" s="70">
        <f t="shared" si="9"/>
        <v>1.5153535218873173</v>
      </c>
      <c r="AG12" s="70">
        <f t="shared" si="9"/>
        <v>4.9065338146265827</v>
      </c>
    </row>
    <row r="13" spans="1:33" x14ac:dyDescent="0.25">
      <c r="T13" s="70" t="s">
        <v>699</v>
      </c>
      <c r="U13" s="70">
        <v>315</v>
      </c>
      <c r="V13" s="70">
        <v>33</v>
      </c>
      <c r="W13" s="70">
        <v>25</v>
      </c>
      <c r="X13" s="70">
        <v>15</v>
      </c>
      <c r="Y13" s="70">
        <v>8</v>
      </c>
      <c r="Z13" s="70">
        <v>185</v>
      </c>
      <c r="AA13" s="70" t="s">
        <v>695</v>
      </c>
      <c r="AB13" s="70">
        <f>STDEVP(U9:U11)/SQRT(COUNT(U9:U11))</f>
        <v>9.525793444156804</v>
      </c>
      <c r="AC13" s="70">
        <f t="shared" ref="AC13:AG13" si="10">STDEVP(V9:V11)/SQRT(COUNT(V9:V11))</f>
        <v>1.5153535218873173</v>
      </c>
      <c r="AD13" s="70">
        <f t="shared" si="10"/>
        <v>2.8674417556808756</v>
      </c>
      <c r="AE13" s="70">
        <f t="shared" si="10"/>
        <v>2.8803291992923823</v>
      </c>
      <c r="AF13" s="70">
        <f t="shared" si="10"/>
        <v>1.6555182695279267</v>
      </c>
      <c r="AG13" s="70">
        <f t="shared" si="10"/>
        <v>2.3570226039551585</v>
      </c>
    </row>
    <row r="14" spans="1:33" x14ac:dyDescent="0.25">
      <c r="A14" s="70" t="s">
        <v>489</v>
      </c>
      <c r="B14" s="70" t="s">
        <v>483</v>
      </c>
      <c r="C14" s="70">
        <v>27</v>
      </c>
      <c r="D14" s="70">
        <v>5</v>
      </c>
      <c r="E14" s="70">
        <v>4</v>
      </c>
      <c r="F14" s="70">
        <v>1</v>
      </c>
      <c r="G14" s="70">
        <v>1</v>
      </c>
      <c r="H14" s="70">
        <v>3</v>
      </c>
      <c r="K14" s="70" t="s">
        <v>483</v>
      </c>
      <c r="L14" s="70">
        <f t="shared" ref="L14:L17" si="11">C14*5</f>
        <v>135</v>
      </c>
      <c r="M14" s="70">
        <f>D14</f>
        <v>5</v>
      </c>
      <c r="N14" s="70">
        <f t="shared" ref="N14:P18" si="12">E14</f>
        <v>4</v>
      </c>
      <c r="O14" s="70">
        <f t="shared" si="12"/>
        <v>1</v>
      </c>
      <c r="P14" s="70">
        <f t="shared" si="12"/>
        <v>1</v>
      </c>
      <c r="Q14" s="70">
        <f t="shared" ref="Q14:Q17" si="13">H14*5</f>
        <v>15</v>
      </c>
      <c r="T14" s="70" t="s">
        <v>700</v>
      </c>
      <c r="U14" s="70">
        <v>320</v>
      </c>
      <c r="V14" s="70">
        <v>39</v>
      </c>
      <c r="W14" s="70">
        <v>33</v>
      </c>
      <c r="X14" s="70">
        <v>13</v>
      </c>
      <c r="Y14" s="70">
        <v>15</v>
      </c>
      <c r="Z14" s="70">
        <v>175</v>
      </c>
      <c r="AA14" s="70" t="s">
        <v>696</v>
      </c>
      <c r="AB14" s="70">
        <f>STDEVP(U12:U14)/SQRT(COUNT(U12:U14))</f>
        <v>12.981468272831025</v>
      </c>
      <c r="AC14" s="70">
        <f t="shared" ref="AC14:AG14" si="14">STDEVP(V12:V14)/SQRT(COUNT(V12:V14))</f>
        <v>2.596293654566205</v>
      </c>
      <c r="AD14" s="70">
        <f t="shared" si="14"/>
        <v>2.1773242158072694</v>
      </c>
      <c r="AE14" s="70">
        <f t="shared" si="14"/>
        <v>1.9626135258506328</v>
      </c>
      <c r="AF14" s="70">
        <f t="shared" si="14"/>
        <v>2.4190601174530273</v>
      </c>
      <c r="AG14" s="70">
        <f t="shared" si="14"/>
        <v>3.6004114991154781</v>
      </c>
    </row>
    <row r="15" spans="1:33" x14ac:dyDescent="0.25">
      <c r="B15" s="70" t="s">
        <v>485</v>
      </c>
      <c r="C15" s="70">
        <v>13</v>
      </c>
      <c r="D15" s="70">
        <v>14</v>
      </c>
      <c r="E15" s="70">
        <v>3</v>
      </c>
      <c r="F15" s="70">
        <v>4</v>
      </c>
      <c r="G15" s="70">
        <v>3</v>
      </c>
      <c r="H15" s="70">
        <v>4</v>
      </c>
      <c r="K15" s="70" t="s">
        <v>485</v>
      </c>
      <c r="L15" s="70">
        <f t="shared" si="11"/>
        <v>65</v>
      </c>
      <c r="M15" s="70">
        <f t="shared" ref="M15:M18" si="15">D15</f>
        <v>14</v>
      </c>
      <c r="N15" s="70">
        <f t="shared" si="12"/>
        <v>3</v>
      </c>
      <c r="O15" s="70">
        <f t="shared" si="12"/>
        <v>4</v>
      </c>
      <c r="P15" s="70">
        <f t="shared" si="12"/>
        <v>3</v>
      </c>
      <c r="Q15" s="70">
        <f t="shared" si="13"/>
        <v>20</v>
      </c>
      <c r="T15" s="70" t="s">
        <v>701</v>
      </c>
      <c r="U15" s="70">
        <v>410</v>
      </c>
      <c r="V15" s="70">
        <v>56</v>
      </c>
      <c r="W15" s="70">
        <v>42</v>
      </c>
      <c r="X15" s="70">
        <v>31</v>
      </c>
      <c r="Y15" s="70">
        <v>21</v>
      </c>
      <c r="Z15" s="70">
        <v>70</v>
      </c>
      <c r="AA15" s="70" t="s">
        <v>697</v>
      </c>
      <c r="AB15" s="70">
        <f>STDEVP(U15:U17)/SQRT(COUNT(U15:U17))</f>
        <v>31.652043407209145</v>
      </c>
      <c r="AC15" s="70">
        <f t="shared" ref="AC15:AG15" si="16">STDEVP(V15:V17)/SQRT(COUNT(V15:V17))</f>
        <v>2.0548046676563256</v>
      </c>
      <c r="AD15" s="70">
        <f t="shared" si="16"/>
        <v>2.7621784210346787</v>
      </c>
      <c r="AE15" s="70">
        <f t="shared" si="16"/>
        <v>2.9938207967349957</v>
      </c>
      <c r="AF15" s="70">
        <f t="shared" si="16"/>
        <v>0.81649658092772615</v>
      </c>
      <c r="AG15" s="70">
        <f t="shared" si="16"/>
        <v>1.3608276348795432</v>
      </c>
    </row>
    <row r="16" spans="1:33" x14ac:dyDescent="0.25">
      <c r="B16" s="70" t="s">
        <v>487</v>
      </c>
      <c r="C16" s="70">
        <v>28</v>
      </c>
      <c r="D16" s="70">
        <v>1</v>
      </c>
      <c r="E16" s="70">
        <v>9</v>
      </c>
      <c r="F16" s="70">
        <v>3</v>
      </c>
      <c r="G16" s="70">
        <v>1</v>
      </c>
      <c r="H16" s="70">
        <v>6</v>
      </c>
      <c r="K16" s="70" t="s">
        <v>487</v>
      </c>
      <c r="L16" s="70">
        <f t="shared" si="11"/>
        <v>140</v>
      </c>
      <c r="M16" s="70">
        <f t="shared" si="15"/>
        <v>1</v>
      </c>
      <c r="N16" s="70">
        <f t="shared" si="12"/>
        <v>9</v>
      </c>
      <c r="O16" s="70">
        <f t="shared" si="12"/>
        <v>3</v>
      </c>
      <c r="P16" s="70">
        <f t="shared" si="12"/>
        <v>1</v>
      </c>
      <c r="Q16" s="70">
        <f t="shared" si="13"/>
        <v>30</v>
      </c>
      <c r="T16" s="70" t="s">
        <v>702</v>
      </c>
      <c r="U16" s="70">
        <v>430</v>
      </c>
      <c r="V16" s="70">
        <v>49</v>
      </c>
      <c r="W16" s="70">
        <v>51</v>
      </c>
      <c r="X16" s="70">
        <v>31</v>
      </c>
      <c r="Y16" s="70">
        <v>18</v>
      </c>
      <c r="Z16" s="70">
        <v>75</v>
      </c>
    </row>
    <row r="17" spans="1:33" x14ac:dyDescent="0.25">
      <c r="B17" s="70" t="s">
        <v>488</v>
      </c>
      <c r="C17" s="70">
        <v>8</v>
      </c>
      <c r="D17" s="70">
        <v>4</v>
      </c>
      <c r="E17" s="70">
        <v>8</v>
      </c>
      <c r="F17" s="70">
        <v>1</v>
      </c>
      <c r="G17" s="70">
        <v>5</v>
      </c>
      <c r="H17" s="70">
        <v>2</v>
      </c>
      <c r="K17" s="70" t="s">
        <v>488</v>
      </c>
      <c r="L17" s="70">
        <f t="shared" si="11"/>
        <v>40</v>
      </c>
      <c r="M17" s="70">
        <f t="shared" si="15"/>
        <v>4</v>
      </c>
      <c r="N17" s="70">
        <f t="shared" si="12"/>
        <v>8</v>
      </c>
      <c r="O17" s="70">
        <f t="shared" si="12"/>
        <v>1</v>
      </c>
      <c r="P17" s="70">
        <f t="shared" si="12"/>
        <v>5</v>
      </c>
      <c r="Q17" s="70">
        <f t="shared" si="13"/>
        <v>10</v>
      </c>
      <c r="T17" s="70" t="s">
        <v>703</v>
      </c>
      <c r="U17" s="70">
        <v>305</v>
      </c>
      <c r="V17" s="70">
        <v>57</v>
      </c>
      <c r="W17" s="70">
        <v>40</v>
      </c>
      <c r="X17" s="70">
        <v>20</v>
      </c>
      <c r="Y17" s="70">
        <v>18</v>
      </c>
      <c r="Z17" s="70">
        <v>70</v>
      </c>
    </row>
    <row r="18" spans="1:33" x14ac:dyDescent="0.25">
      <c r="C18" s="70">
        <f>SUM(C14:C17)</f>
        <v>76</v>
      </c>
      <c r="D18" s="70">
        <v>33</v>
      </c>
      <c r="E18" s="70">
        <f>SUM(E14:E17)</f>
        <v>24</v>
      </c>
      <c r="F18" s="70">
        <f>SUM(F14:F17)</f>
        <v>9</v>
      </c>
      <c r="G18" s="70">
        <f>SUM(G14:G17)</f>
        <v>10</v>
      </c>
      <c r="H18" s="70">
        <f>SUM(H14:H17)</f>
        <v>15</v>
      </c>
      <c r="I18" s="70">
        <f>SUM(C18:H18)</f>
        <v>167</v>
      </c>
      <c r="L18" s="70">
        <f>SUM(L14:L17)</f>
        <v>380</v>
      </c>
      <c r="M18" s="70">
        <f t="shared" si="15"/>
        <v>33</v>
      </c>
      <c r="N18" s="70">
        <f t="shared" si="12"/>
        <v>24</v>
      </c>
      <c r="O18" s="70">
        <f t="shared" si="12"/>
        <v>9</v>
      </c>
      <c r="P18" s="70">
        <f t="shared" si="12"/>
        <v>10</v>
      </c>
      <c r="Q18" s="70">
        <f>SUM(Q14:Q17)</f>
        <v>75</v>
      </c>
      <c r="R18" s="70">
        <f>SUM(L18:Q18)</f>
        <v>531</v>
      </c>
    </row>
    <row r="19" spans="1:33" x14ac:dyDescent="0.25">
      <c r="C19" s="70">
        <f>C18/I18%</f>
        <v>45.508982035928149</v>
      </c>
      <c r="D19" s="70">
        <f>D18/$I18 %</f>
        <v>19.76047904191617</v>
      </c>
      <c r="E19" s="70">
        <f>E18/$I18 %</f>
        <v>14.371257485029941</v>
      </c>
      <c r="F19" s="70">
        <f>F18/$I18 %</f>
        <v>5.3892215568862278</v>
      </c>
      <c r="G19" s="70">
        <f>G18/$I18 %</f>
        <v>5.9880239520958085</v>
      </c>
      <c r="H19" s="70">
        <f>H18/$I18 %</f>
        <v>8.9820359281437128</v>
      </c>
      <c r="L19" s="70">
        <f t="shared" ref="L19:Q19" si="17">L18/$R18 %</f>
        <v>71.563088512241066</v>
      </c>
      <c r="M19" s="70">
        <f t="shared" si="17"/>
        <v>6.2146892655367232</v>
      </c>
      <c r="N19" s="70">
        <f t="shared" si="17"/>
        <v>4.5197740112994351</v>
      </c>
      <c r="O19" s="70">
        <f t="shared" si="17"/>
        <v>1.6949152542372883</v>
      </c>
      <c r="P19" s="70">
        <f t="shared" si="17"/>
        <v>1.8832391713747647</v>
      </c>
      <c r="Q19" s="70">
        <f t="shared" si="17"/>
        <v>14.124293785310735</v>
      </c>
    </row>
    <row r="21" spans="1:33" x14ac:dyDescent="0.25">
      <c r="T21" s="157" t="s">
        <v>578</v>
      </c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</row>
    <row r="22" spans="1:33" x14ac:dyDescent="0.25">
      <c r="U22" s="70" t="s">
        <v>491</v>
      </c>
      <c r="V22" s="70" t="s">
        <v>352</v>
      </c>
      <c r="W22" s="70" t="s">
        <v>347</v>
      </c>
      <c r="X22" s="70" t="s">
        <v>701</v>
      </c>
      <c r="Y22" s="70" t="s">
        <v>702</v>
      </c>
      <c r="Z22" s="70" t="s">
        <v>703</v>
      </c>
      <c r="AA22" s="70" t="s">
        <v>492</v>
      </c>
      <c r="AB22" s="70" t="s">
        <v>388</v>
      </c>
      <c r="AC22" s="70" t="s">
        <v>383</v>
      </c>
      <c r="AD22" s="70" t="s">
        <v>698</v>
      </c>
      <c r="AE22" s="70" t="s">
        <v>699</v>
      </c>
      <c r="AF22" s="70" t="s">
        <v>700</v>
      </c>
    </row>
    <row r="23" spans="1:33" x14ac:dyDescent="0.25">
      <c r="A23" s="70" t="s">
        <v>489</v>
      </c>
      <c r="B23" s="70" t="s">
        <v>483</v>
      </c>
      <c r="C23" s="70">
        <v>24</v>
      </c>
      <c r="D23" s="70">
        <v>4</v>
      </c>
      <c r="E23" s="70">
        <v>6</v>
      </c>
      <c r="F23" s="70">
        <v>3</v>
      </c>
      <c r="G23" s="70">
        <v>6</v>
      </c>
      <c r="H23" s="70">
        <v>3</v>
      </c>
      <c r="K23" s="70" t="s">
        <v>483</v>
      </c>
      <c r="L23" s="70">
        <f t="shared" ref="L23:L26" si="18">C23*5</f>
        <v>120</v>
      </c>
      <c r="M23" s="70">
        <f>D23</f>
        <v>4</v>
      </c>
      <c r="N23" s="70">
        <f t="shared" ref="N23:P27" si="19">E23</f>
        <v>6</v>
      </c>
      <c r="O23" s="70">
        <f t="shared" si="19"/>
        <v>3</v>
      </c>
      <c r="P23" s="70">
        <f t="shared" si="19"/>
        <v>6</v>
      </c>
      <c r="Q23" s="70">
        <f t="shared" ref="Q23:Q26" si="20">H23*5</f>
        <v>15</v>
      </c>
      <c r="T23" s="70" t="s">
        <v>493</v>
      </c>
      <c r="U23" s="70">
        <v>385</v>
      </c>
      <c r="V23" s="70">
        <v>425</v>
      </c>
      <c r="W23" s="70">
        <v>410</v>
      </c>
      <c r="X23" s="70">
        <v>410</v>
      </c>
      <c r="Y23" s="70">
        <v>430</v>
      </c>
      <c r="Z23" s="70">
        <v>305</v>
      </c>
      <c r="AA23" s="70">
        <v>390</v>
      </c>
      <c r="AB23" s="70">
        <v>380</v>
      </c>
      <c r="AC23" s="70">
        <v>445</v>
      </c>
      <c r="AD23" s="70">
        <v>270</v>
      </c>
      <c r="AE23" s="70">
        <v>315</v>
      </c>
      <c r="AF23" s="70">
        <v>320</v>
      </c>
    </row>
    <row r="24" spans="1:33" x14ac:dyDescent="0.25">
      <c r="B24" s="70" t="s">
        <v>485</v>
      </c>
      <c r="C24" s="70">
        <v>22</v>
      </c>
      <c r="D24" s="70">
        <v>12</v>
      </c>
      <c r="E24" s="70">
        <v>9</v>
      </c>
      <c r="F24" s="70">
        <v>5</v>
      </c>
      <c r="G24" s="70">
        <v>2</v>
      </c>
      <c r="H24" s="70">
        <v>4</v>
      </c>
      <c r="K24" s="70" t="s">
        <v>485</v>
      </c>
      <c r="L24" s="70">
        <f t="shared" si="18"/>
        <v>110</v>
      </c>
      <c r="M24" s="70">
        <f t="shared" ref="M24:M27" si="21">D24</f>
        <v>12</v>
      </c>
      <c r="N24" s="70">
        <f t="shared" si="19"/>
        <v>9</v>
      </c>
      <c r="O24" s="70">
        <f t="shared" si="19"/>
        <v>5</v>
      </c>
      <c r="P24" s="70">
        <f t="shared" si="19"/>
        <v>2</v>
      </c>
      <c r="Q24" s="70">
        <f t="shared" si="20"/>
        <v>20</v>
      </c>
      <c r="T24" s="70" t="s">
        <v>605</v>
      </c>
      <c r="U24" s="117" t="s">
        <v>606</v>
      </c>
      <c r="V24" s="118"/>
      <c r="W24" s="117" t="s">
        <v>704</v>
      </c>
      <c r="X24" s="118"/>
      <c r="Y24" s="117" t="s">
        <v>705</v>
      </c>
      <c r="Z24" s="118"/>
      <c r="AA24" s="117" t="s">
        <v>706</v>
      </c>
      <c r="AB24" s="118"/>
      <c r="AC24" s="117" t="s">
        <v>707</v>
      </c>
    </row>
    <row r="25" spans="1:33" x14ac:dyDescent="0.25">
      <c r="B25" s="70" t="s">
        <v>487</v>
      </c>
      <c r="C25" s="70">
        <v>25</v>
      </c>
      <c r="D25" s="70">
        <v>8</v>
      </c>
      <c r="E25" s="70">
        <v>11</v>
      </c>
      <c r="F25" s="70">
        <v>4</v>
      </c>
      <c r="G25" s="70">
        <v>4</v>
      </c>
      <c r="H25" s="70">
        <v>6</v>
      </c>
      <c r="K25" s="70" t="s">
        <v>487</v>
      </c>
      <c r="L25" s="70">
        <f t="shared" si="18"/>
        <v>125</v>
      </c>
      <c r="M25" s="70">
        <f t="shared" si="21"/>
        <v>8</v>
      </c>
      <c r="N25" s="70">
        <f t="shared" si="19"/>
        <v>11</v>
      </c>
      <c r="O25" s="70">
        <f t="shared" si="19"/>
        <v>4</v>
      </c>
      <c r="P25" s="70">
        <f t="shared" si="19"/>
        <v>4</v>
      </c>
      <c r="Q25" s="70">
        <f t="shared" si="20"/>
        <v>30</v>
      </c>
      <c r="T25" s="63"/>
      <c r="U25" s="53" t="s">
        <v>684</v>
      </c>
      <c r="V25" s="52" t="s">
        <v>742</v>
      </c>
      <c r="W25" s="53" t="s">
        <v>419</v>
      </c>
      <c r="X25" s="52" t="s">
        <v>743</v>
      </c>
      <c r="Y25" s="53" t="s">
        <v>710</v>
      </c>
      <c r="Z25" s="52" t="s">
        <v>748</v>
      </c>
      <c r="AA25" s="53" t="s">
        <v>710</v>
      </c>
      <c r="AB25" s="52" t="s">
        <v>748</v>
      </c>
      <c r="AC25" s="53" t="s">
        <v>684</v>
      </c>
      <c r="AD25" s="52" t="s">
        <v>742</v>
      </c>
      <c r="AE25" s="63"/>
      <c r="AF25" s="63"/>
    </row>
    <row r="26" spans="1:33" x14ac:dyDescent="0.25">
      <c r="B26" s="70" t="s">
        <v>488</v>
      </c>
      <c r="C26" s="70">
        <v>18</v>
      </c>
      <c r="D26" s="70">
        <v>9</v>
      </c>
      <c r="E26" s="70">
        <v>3</v>
      </c>
      <c r="F26" s="70">
        <v>3</v>
      </c>
      <c r="G26" s="70">
        <v>3</v>
      </c>
      <c r="H26" s="70">
        <v>5</v>
      </c>
      <c r="K26" s="70" t="s">
        <v>488</v>
      </c>
      <c r="L26" s="70">
        <f t="shared" si="18"/>
        <v>90</v>
      </c>
      <c r="M26" s="70">
        <f t="shared" si="21"/>
        <v>9</v>
      </c>
      <c r="N26" s="70">
        <f t="shared" si="19"/>
        <v>3</v>
      </c>
      <c r="O26" s="70">
        <f t="shared" si="19"/>
        <v>3</v>
      </c>
      <c r="P26" s="70">
        <f t="shared" si="19"/>
        <v>3</v>
      </c>
      <c r="Q26" s="70">
        <f t="shared" si="20"/>
        <v>25</v>
      </c>
      <c r="T26" s="63"/>
      <c r="U26" s="53" t="s">
        <v>421</v>
      </c>
      <c r="V26" s="52" t="s">
        <v>421</v>
      </c>
      <c r="W26" s="53" t="s">
        <v>421</v>
      </c>
      <c r="X26" s="52" t="s">
        <v>421</v>
      </c>
      <c r="Y26" s="53" t="s">
        <v>421</v>
      </c>
      <c r="Z26" s="52" t="s">
        <v>421</v>
      </c>
      <c r="AA26" s="53" t="s">
        <v>421</v>
      </c>
      <c r="AB26" s="52" t="s">
        <v>421</v>
      </c>
      <c r="AC26" s="53" t="s">
        <v>421</v>
      </c>
      <c r="AD26" s="52" t="s">
        <v>421</v>
      </c>
      <c r="AE26" s="63"/>
      <c r="AF26" s="63"/>
    </row>
    <row r="27" spans="1:33" x14ac:dyDescent="0.25">
      <c r="C27" s="70">
        <f t="shared" ref="C27:H27" si="22">SUM(C23:C26)</f>
        <v>89</v>
      </c>
      <c r="D27" s="70">
        <f t="shared" si="22"/>
        <v>33</v>
      </c>
      <c r="E27" s="70">
        <f t="shared" si="22"/>
        <v>29</v>
      </c>
      <c r="F27" s="70">
        <f t="shared" si="22"/>
        <v>15</v>
      </c>
      <c r="G27" s="70">
        <f t="shared" si="22"/>
        <v>15</v>
      </c>
      <c r="H27" s="70">
        <f t="shared" si="22"/>
        <v>18</v>
      </c>
      <c r="I27" s="70">
        <f>SUM(C27:H27)</f>
        <v>199</v>
      </c>
      <c r="L27" s="70">
        <f>SUM(L23:L26)</f>
        <v>445</v>
      </c>
      <c r="M27" s="70">
        <f t="shared" si="21"/>
        <v>33</v>
      </c>
      <c r="N27" s="70">
        <f t="shared" si="19"/>
        <v>29</v>
      </c>
      <c r="O27" s="70">
        <f t="shared" si="19"/>
        <v>15</v>
      </c>
      <c r="P27" s="70">
        <f t="shared" si="19"/>
        <v>15</v>
      </c>
      <c r="Q27" s="70">
        <f>SUM(Q23:Q26)</f>
        <v>90</v>
      </c>
      <c r="R27" s="70">
        <f>SUM(L27:Q27)</f>
        <v>627</v>
      </c>
      <c r="T27" s="63"/>
      <c r="U27" s="53" t="s">
        <v>422</v>
      </c>
      <c r="V27" s="52" t="s">
        <v>412</v>
      </c>
      <c r="W27" s="53" t="s">
        <v>422</v>
      </c>
      <c r="X27" s="52" t="s">
        <v>412</v>
      </c>
      <c r="Y27" s="53" t="s">
        <v>684</v>
      </c>
      <c r="Z27" s="52" t="s">
        <v>742</v>
      </c>
      <c r="AA27" s="53" t="s">
        <v>419</v>
      </c>
      <c r="AB27" s="52" t="s">
        <v>743</v>
      </c>
      <c r="AC27" s="53" t="s">
        <v>419</v>
      </c>
      <c r="AD27" s="52" t="s">
        <v>743</v>
      </c>
      <c r="AE27" s="63"/>
      <c r="AF27" s="63"/>
    </row>
    <row r="28" spans="1:33" x14ac:dyDescent="0.25">
      <c r="C28" s="70">
        <f>C27/I27%</f>
        <v>44.723618090452263</v>
      </c>
      <c r="D28" s="70">
        <f>D27/$I27 %</f>
        <v>16.582914572864322</v>
      </c>
      <c r="E28" s="70">
        <f>E27/$I27 %</f>
        <v>14.572864321608041</v>
      </c>
      <c r="F28" s="70">
        <f>F27/$I27 %</f>
        <v>7.5376884422110555</v>
      </c>
      <c r="G28" s="70">
        <f>G27/$I27 %</f>
        <v>7.5376884422110555</v>
      </c>
      <c r="H28" s="70">
        <f>H27/$I27 %</f>
        <v>9.0452261306532655</v>
      </c>
      <c r="L28" s="70">
        <f t="shared" ref="L28:Q28" si="23">L27/$R27 %</f>
        <v>70.972886762360446</v>
      </c>
      <c r="M28" s="70">
        <f t="shared" si="23"/>
        <v>5.2631578947368425</v>
      </c>
      <c r="N28" s="70">
        <f t="shared" si="23"/>
        <v>4.6251993620414673</v>
      </c>
      <c r="O28" s="70">
        <f t="shared" si="23"/>
        <v>2.3923444976076556</v>
      </c>
      <c r="P28" s="70">
        <f t="shared" si="23"/>
        <v>2.3923444976076556</v>
      </c>
      <c r="Q28" s="70">
        <f t="shared" si="23"/>
        <v>14.354066985645934</v>
      </c>
      <c r="T28" s="63"/>
      <c r="U28" s="53"/>
      <c r="V28" s="52"/>
      <c r="W28" s="53"/>
      <c r="X28" s="52"/>
      <c r="Y28" s="53"/>
      <c r="Z28" s="52"/>
      <c r="AA28" s="53"/>
      <c r="AB28" s="52"/>
      <c r="AC28" s="53"/>
      <c r="AD28" s="52"/>
      <c r="AE28" s="63"/>
      <c r="AF28" s="63"/>
    </row>
    <row r="29" spans="1:33" x14ac:dyDescent="0.25">
      <c r="T29" s="63"/>
      <c r="U29" s="53" t="s">
        <v>424</v>
      </c>
      <c r="V29" s="52"/>
      <c r="W29" s="53" t="s">
        <v>424</v>
      </c>
      <c r="X29" s="52"/>
      <c r="Y29" s="53" t="s">
        <v>424</v>
      </c>
      <c r="Z29" s="52"/>
      <c r="AA29" s="53" t="s">
        <v>424</v>
      </c>
      <c r="AB29" s="52"/>
      <c r="AC29" s="53" t="s">
        <v>424</v>
      </c>
      <c r="AD29" s="52"/>
      <c r="AE29" s="63"/>
      <c r="AF29" s="63"/>
    </row>
    <row r="30" spans="1:33" x14ac:dyDescent="0.25">
      <c r="T30" s="63"/>
      <c r="U30" s="53" t="s">
        <v>425</v>
      </c>
      <c r="V30" s="52">
        <v>0.94650000000000001</v>
      </c>
      <c r="W30" s="53" t="s">
        <v>425</v>
      </c>
      <c r="X30" s="52">
        <v>0.57030000000000003</v>
      </c>
      <c r="Y30" s="53" t="s">
        <v>425</v>
      </c>
      <c r="Z30" s="52">
        <v>1.5900000000000001E-2</v>
      </c>
      <c r="AA30" s="53" t="s">
        <v>425</v>
      </c>
      <c r="AB30" s="52">
        <v>0.1288</v>
      </c>
      <c r="AC30" s="53" t="s">
        <v>425</v>
      </c>
      <c r="AD30" s="52">
        <v>0.62180000000000002</v>
      </c>
      <c r="AE30" s="63"/>
      <c r="AF30" s="63"/>
    </row>
    <row r="31" spans="1:33" x14ac:dyDescent="0.25">
      <c r="T31" s="63"/>
      <c r="U31" s="53" t="s">
        <v>426</v>
      </c>
      <c r="V31" s="52" t="s">
        <v>445</v>
      </c>
      <c r="W31" s="53" t="s">
        <v>426</v>
      </c>
      <c r="X31" s="52" t="s">
        <v>445</v>
      </c>
      <c r="Y31" s="53" t="s">
        <v>426</v>
      </c>
      <c r="Z31" s="52" t="s">
        <v>508</v>
      </c>
      <c r="AA31" s="53" t="s">
        <v>426</v>
      </c>
      <c r="AB31" s="52" t="s">
        <v>445</v>
      </c>
      <c r="AC31" s="53" t="s">
        <v>426</v>
      </c>
      <c r="AD31" s="52" t="s">
        <v>445</v>
      </c>
      <c r="AE31" s="63"/>
      <c r="AF31" s="63"/>
    </row>
    <row r="32" spans="1:33" x14ac:dyDescent="0.25">
      <c r="A32" s="70" t="s">
        <v>490</v>
      </c>
      <c r="B32" s="70" t="s">
        <v>483</v>
      </c>
      <c r="C32" s="70">
        <v>22</v>
      </c>
      <c r="D32" s="70">
        <v>15</v>
      </c>
      <c r="E32" s="70">
        <v>12</v>
      </c>
      <c r="F32" s="70">
        <v>7</v>
      </c>
      <c r="G32" s="70">
        <v>10</v>
      </c>
      <c r="H32" s="70">
        <v>3</v>
      </c>
      <c r="K32" s="70" t="s">
        <v>483</v>
      </c>
      <c r="L32" s="70">
        <f>C32*5</f>
        <v>110</v>
      </c>
      <c r="M32" s="70">
        <f>D32</f>
        <v>15</v>
      </c>
      <c r="N32" s="70">
        <f t="shared" ref="N32:P35" si="24">E32</f>
        <v>12</v>
      </c>
      <c r="O32" s="70">
        <f t="shared" si="24"/>
        <v>7</v>
      </c>
      <c r="P32" s="70">
        <f t="shared" si="24"/>
        <v>10</v>
      </c>
      <c r="Q32" s="70">
        <f t="shared" ref="Q32:Q34" si="25">H32*5</f>
        <v>15</v>
      </c>
      <c r="T32" s="63"/>
      <c r="U32" s="53" t="s">
        <v>428</v>
      </c>
      <c r="V32" s="52" t="s">
        <v>446</v>
      </c>
      <c r="W32" s="53" t="s">
        <v>428</v>
      </c>
      <c r="X32" s="52" t="s">
        <v>446</v>
      </c>
      <c r="Y32" s="53" t="s">
        <v>428</v>
      </c>
      <c r="Z32" s="52" t="s">
        <v>429</v>
      </c>
      <c r="AA32" s="53" t="s">
        <v>428</v>
      </c>
      <c r="AB32" s="52" t="s">
        <v>446</v>
      </c>
      <c r="AC32" s="53" t="s">
        <v>428</v>
      </c>
      <c r="AD32" s="52" t="s">
        <v>446</v>
      </c>
      <c r="AE32" s="63"/>
      <c r="AF32" s="63"/>
    </row>
    <row r="33" spans="1:32" x14ac:dyDescent="0.25">
      <c r="B33" s="70" t="s">
        <v>485</v>
      </c>
      <c r="C33" s="70">
        <v>28</v>
      </c>
      <c r="D33" s="70">
        <v>20</v>
      </c>
      <c r="E33" s="70">
        <v>14</v>
      </c>
      <c r="F33" s="70">
        <v>9</v>
      </c>
      <c r="G33" s="70">
        <v>2</v>
      </c>
      <c r="H33" s="70">
        <v>4</v>
      </c>
      <c r="K33" s="70" t="s">
        <v>485</v>
      </c>
      <c r="L33" s="70">
        <f>C33*5</f>
        <v>140</v>
      </c>
      <c r="M33" s="70">
        <f t="shared" ref="M33:M35" si="26">D33</f>
        <v>20</v>
      </c>
      <c r="N33" s="70">
        <f t="shared" si="24"/>
        <v>14</v>
      </c>
      <c r="O33" s="70">
        <f t="shared" si="24"/>
        <v>9</v>
      </c>
      <c r="P33" s="70">
        <f t="shared" si="24"/>
        <v>2</v>
      </c>
      <c r="Q33" s="70">
        <f t="shared" si="25"/>
        <v>20</v>
      </c>
      <c r="T33" s="63"/>
      <c r="U33" s="53" t="s">
        <v>430</v>
      </c>
      <c r="V33" s="52" t="s">
        <v>431</v>
      </c>
      <c r="W33" s="53" t="s">
        <v>430</v>
      </c>
      <c r="X33" s="52" t="s">
        <v>431</v>
      </c>
      <c r="Y33" s="53" t="s">
        <v>430</v>
      </c>
      <c r="Z33" s="52" t="s">
        <v>431</v>
      </c>
      <c r="AA33" s="53" t="s">
        <v>430</v>
      </c>
      <c r="AB33" s="52" t="s">
        <v>431</v>
      </c>
      <c r="AC33" s="53" t="s">
        <v>430</v>
      </c>
      <c r="AD33" s="52" t="s">
        <v>431</v>
      </c>
      <c r="AE33" s="63"/>
      <c r="AF33" s="63"/>
    </row>
    <row r="34" spans="1:32" x14ac:dyDescent="0.25">
      <c r="B34" s="70" t="s">
        <v>487</v>
      </c>
      <c r="C34" s="70">
        <v>27</v>
      </c>
      <c r="D34" s="70">
        <v>9</v>
      </c>
      <c r="E34" s="70">
        <v>9</v>
      </c>
      <c r="F34" s="70">
        <v>5</v>
      </c>
      <c r="G34" s="70">
        <v>0</v>
      </c>
      <c r="H34" s="70">
        <v>3</v>
      </c>
      <c r="K34" s="70" t="s">
        <v>487</v>
      </c>
      <c r="L34" s="70">
        <f>C34*5</f>
        <v>135</v>
      </c>
      <c r="M34" s="70">
        <f t="shared" si="26"/>
        <v>9</v>
      </c>
      <c r="N34" s="70">
        <f t="shared" si="24"/>
        <v>9</v>
      </c>
      <c r="O34" s="70">
        <f t="shared" si="24"/>
        <v>5</v>
      </c>
      <c r="P34" s="70">
        <f t="shared" si="24"/>
        <v>0</v>
      </c>
      <c r="Q34" s="70">
        <f t="shared" si="25"/>
        <v>15</v>
      </c>
      <c r="T34" s="63"/>
      <c r="U34" s="53" t="s">
        <v>432</v>
      </c>
      <c r="V34" s="52" t="s">
        <v>502</v>
      </c>
      <c r="W34" s="53" t="s">
        <v>432</v>
      </c>
      <c r="X34" s="52" t="s">
        <v>744</v>
      </c>
      <c r="Y34" s="53" t="s">
        <v>432</v>
      </c>
      <c r="Z34" s="52" t="s">
        <v>749</v>
      </c>
      <c r="AA34" s="53" t="s">
        <v>432</v>
      </c>
      <c r="AB34" s="52" t="s">
        <v>753</v>
      </c>
      <c r="AC34" s="53" t="s">
        <v>432</v>
      </c>
      <c r="AD34" s="52" t="s">
        <v>757</v>
      </c>
      <c r="AE34" s="63"/>
      <c r="AF34" s="63"/>
    </row>
    <row r="35" spans="1:32" x14ac:dyDescent="0.25">
      <c r="C35" s="70">
        <f t="shared" ref="C35:H35" si="27">SUM(C32:C34)</f>
        <v>77</v>
      </c>
      <c r="D35" s="70">
        <f t="shared" si="27"/>
        <v>44</v>
      </c>
      <c r="E35" s="70">
        <f t="shared" si="27"/>
        <v>35</v>
      </c>
      <c r="F35" s="70">
        <f t="shared" si="27"/>
        <v>21</v>
      </c>
      <c r="G35" s="70">
        <f t="shared" si="27"/>
        <v>12</v>
      </c>
      <c r="H35" s="70">
        <f t="shared" si="27"/>
        <v>10</v>
      </c>
      <c r="I35" s="70">
        <f>SUM(C35:H35)</f>
        <v>199</v>
      </c>
      <c r="L35" s="70">
        <f>C35*5</f>
        <v>385</v>
      </c>
      <c r="M35" s="70">
        <f t="shared" si="26"/>
        <v>44</v>
      </c>
      <c r="N35" s="70">
        <f t="shared" si="24"/>
        <v>35</v>
      </c>
      <c r="O35" s="70">
        <f t="shared" si="24"/>
        <v>21</v>
      </c>
      <c r="P35" s="70">
        <f t="shared" si="24"/>
        <v>12</v>
      </c>
      <c r="Q35" s="70">
        <f t="shared" ref="Q35" si="28">SUM(Q32:Q34)</f>
        <v>50</v>
      </c>
      <c r="R35" s="70">
        <f>SUM(L35:Q35)</f>
        <v>547</v>
      </c>
      <c r="T35" s="63"/>
      <c r="U35" s="53"/>
      <c r="V35" s="52"/>
      <c r="W35" s="53"/>
      <c r="X35" s="52"/>
      <c r="Y35" s="53"/>
      <c r="Z35" s="52"/>
      <c r="AA35" s="53"/>
      <c r="AB35" s="52"/>
      <c r="AC35" s="53"/>
      <c r="AD35" s="52"/>
      <c r="AE35" s="63"/>
      <c r="AF35" s="63"/>
    </row>
    <row r="36" spans="1:32" x14ac:dyDescent="0.25">
      <c r="C36" s="70">
        <f>C35/I35%</f>
        <v>38.693467336683419</v>
      </c>
      <c r="D36" s="70">
        <f>D35/$I35 %</f>
        <v>22.110552763819097</v>
      </c>
      <c r="E36" s="70">
        <f>E35/$I35 %</f>
        <v>17.587939698492463</v>
      </c>
      <c r="F36" s="70">
        <f>F35/$I35 %</f>
        <v>10.552763819095478</v>
      </c>
      <c r="G36" s="70">
        <f>G35/$I35 %</f>
        <v>6.0301507537688446</v>
      </c>
      <c r="H36" s="70">
        <f>H35/$I35 %</f>
        <v>5.025125628140704</v>
      </c>
      <c r="L36" s="70">
        <f t="shared" ref="L36:Q36" si="29">L35/$R35 %</f>
        <v>70.383912248628889</v>
      </c>
      <c r="M36" s="70">
        <f t="shared" si="29"/>
        <v>8.0438756855575875</v>
      </c>
      <c r="N36" s="70">
        <f t="shared" si="29"/>
        <v>6.3985374771480803</v>
      </c>
      <c r="O36" s="70">
        <f t="shared" si="29"/>
        <v>3.8391224862888484</v>
      </c>
      <c r="P36" s="70">
        <f t="shared" si="29"/>
        <v>2.1937842778793422</v>
      </c>
      <c r="Q36" s="70">
        <f t="shared" si="29"/>
        <v>9.1407678244972583</v>
      </c>
      <c r="T36" s="63"/>
      <c r="U36" s="53" t="s">
        <v>434</v>
      </c>
      <c r="V36" s="52"/>
      <c r="W36" s="53" t="s">
        <v>434</v>
      </c>
      <c r="X36" s="52"/>
      <c r="Y36" s="53" t="s">
        <v>434</v>
      </c>
      <c r="Z36" s="52"/>
      <c r="AA36" s="53" t="s">
        <v>434</v>
      </c>
      <c r="AB36" s="52"/>
      <c r="AC36" s="53" t="s">
        <v>434</v>
      </c>
      <c r="AD36" s="52"/>
      <c r="AE36" s="63"/>
      <c r="AF36" s="63"/>
    </row>
    <row r="37" spans="1:32" x14ac:dyDescent="0.25">
      <c r="T37" s="63"/>
      <c r="U37" s="53" t="s">
        <v>435</v>
      </c>
      <c r="V37" s="52">
        <v>406.7</v>
      </c>
      <c r="W37" s="53" t="s">
        <v>435</v>
      </c>
      <c r="X37" s="52">
        <v>406.7</v>
      </c>
      <c r="Y37" s="53" t="s">
        <v>687</v>
      </c>
      <c r="Z37" s="52">
        <v>405</v>
      </c>
      <c r="AA37" s="53" t="s">
        <v>436</v>
      </c>
      <c r="AB37" s="52">
        <v>381.7</v>
      </c>
      <c r="AC37" s="53" t="s">
        <v>436</v>
      </c>
      <c r="AD37" s="52">
        <v>381.7</v>
      </c>
      <c r="AE37" s="63"/>
      <c r="AF37" s="63"/>
    </row>
    <row r="38" spans="1:32" x14ac:dyDescent="0.25">
      <c r="T38" s="63"/>
      <c r="U38" s="53" t="s">
        <v>687</v>
      </c>
      <c r="V38" s="52">
        <v>405</v>
      </c>
      <c r="W38" s="53" t="s">
        <v>436</v>
      </c>
      <c r="X38" s="52">
        <v>381.7</v>
      </c>
      <c r="Y38" s="53" t="s">
        <v>714</v>
      </c>
      <c r="Z38" s="52">
        <v>301.7</v>
      </c>
      <c r="AA38" s="53" t="s">
        <v>714</v>
      </c>
      <c r="AB38" s="52">
        <v>301.7</v>
      </c>
      <c r="AC38" s="53" t="s">
        <v>687</v>
      </c>
      <c r="AD38" s="52">
        <v>405</v>
      </c>
      <c r="AE38" s="63"/>
      <c r="AF38" s="63"/>
    </row>
    <row r="39" spans="1:32" x14ac:dyDescent="0.25">
      <c r="T39" s="63"/>
      <c r="U39" s="53" t="s">
        <v>688</v>
      </c>
      <c r="V39" s="52" t="s">
        <v>503</v>
      </c>
      <c r="W39" s="53" t="s">
        <v>437</v>
      </c>
      <c r="X39" s="52" t="s">
        <v>745</v>
      </c>
      <c r="Y39" s="53" t="s">
        <v>721</v>
      </c>
      <c r="Z39" s="52" t="s">
        <v>750</v>
      </c>
      <c r="AA39" s="53" t="s">
        <v>715</v>
      </c>
      <c r="AB39" s="52" t="s">
        <v>754</v>
      </c>
      <c r="AC39" s="53" t="s">
        <v>758</v>
      </c>
      <c r="AD39" s="52" t="s">
        <v>759</v>
      </c>
      <c r="AE39" s="63"/>
      <c r="AF39" s="63"/>
    </row>
    <row r="40" spans="1:32" x14ac:dyDescent="0.25">
      <c r="A40" s="70" t="s">
        <v>352</v>
      </c>
      <c r="B40" s="70" t="s">
        <v>483</v>
      </c>
      <c r="C40" s="70">
        <v>23</v>
      </c>
      <c r="D40" s="70">
        <v>16</v>
      </c>
      <c r="E40" s="70">
        <v>13</v>
      </c>
      <c r="F40" s="70">
        <v>5</v>
      </c>
      <c r="G40" s="70">
        <v>7</v>
      </c>
      <c r="H40" s="70">
        <v>3</v>
      </c>
      <c r="K40" s="70" t="s">
        <v>483</v>
      </c>
      <c r="L40" s="70">
        <f t="shared" ref="L40:L43" si="30">C40*5</f>
        <v>115</v>
      </c>
      <c r="M40" s="70">
        <f>D40</f>
        <v>16</v>
      </c>
      <c r="N40" s="70">
        <f t="shared" ref="N40:P44" si="31">E40</f>
        <v>13</v>
      </c>
      <c r="O40" s="70">
        <f t="shared" si="31"/>
        <v>5</v>
      </c>
      <c r="P40" s="70">
        <f t="shared" si="31"/>
        <v>7</v>
      </c>
      <c r="Q40" s="70">
        <f t="shared" ref="Q40:Q43" si="32">H40*5</f>
        <v>15</v>
      </c>
      <c r="T40" s="63"/>
      <c r="U40" s="53" t="s">
        <v>439</v>
      </c>
      <c r="V40" s="52" t="s">
        <v>504</v>
      </c>
      <c r="W40" s="53" t="s">
        <v>439</v>
      </c>
      <c r="X40" s="52" t="s">
        <v>746</v>
      </c>
      <c r="Y40" s="53" t="s">
        <v>439</v>
      </c>
      <c r="Z40" s="52" t="s">
        <v>751</v>
      </c>
      <c r="AA40" s="53" t="s">
        <v>439</v>
      </c>
      <c r="AB40" s="52" t="s">
        <v>755</v>
      </c>
      <c r="AC40" s="53" t="s">
        <v>439</v>
      </c>
      <c r="AD40" s="52" t="s">
        <v>760</v>
      </c>
      <c r="AE40" s="63"/>
      <c r="AF40" s="63"/>
    </row>
    <row r="41" spans="1:32" x14ac:dyDescent="0.25">
      <c r="B41" s="70" t="s">
        <v>485</v>
      </c>
      <c r="C41" s="70">
        <v>25</v>
      </c>
      <c r="D41" s="70">
        <v>15</v>
      </c>
      <c r="E41" s="70">
        <v>12</v>
      </c>
      <c r="F41" s="70">
        <v>11</v>
      </c>
      <c r="G41" s="70">
        <v>1</v>
      </c>
      <c r="H41" s="70">
        <v>3</v>
      </c>
      <c r="K41" s="70" t="s">
        <v>485</v>
      </c>
      <c r="L41" s="70">
        <f t="shared" si="30"/>
        <v>125</v>
      </c>
      <c r="M41" s="70">
        <f t="shared" ref="M41:M44" si="33">D41</f>
        <v>15</v>
      </c>
      <c r="N41" s="70">
        <f t="shared" si="31"/>
        <v>12</v>
      </c>
      <c r="O41" s="70">
        <f t="shared" si="31"/>
        <v>11</v>
      </c>
      <c r="P41" s="70">
        <f t="shared" si="31"/>
        <v>1</v>
      </c>
      <c r="Q41" s="70">
        <f t="shared" si="32"/>
        <v>15</v>
      </c>
      <c r="T41" s="63"/>
      <c r="U41" s="53" t="s">
        <v>441</v>
      </c>
      <c r="V41" s="52">
        <v>1.274E-3</v>
      </c>
      <c r="W41" s="53" t="s">
        <v>441</v>
      </c>
      <c r="X41" s="52">
        <v>8.7040000000000006E-2</v>
      </c>
      <c r="Y41" s="53" t="s">
        <v>441</v>
      </c>
      <c r="Z41" s="52">
        <v>0.80149999999999999</v>
      </c>
      <c r="AA41" s="53" t="s">
        <v>441</v>
      </c>
      <c r="AB41" s="52">
        <v>0.4768</v>
      </c>
      <c r="AC41" s="53" t="s">
        <v>441</v>
      </c>
      <c r="AD41" s="52">
        <v>6.6489999999999994E-2</v>
      </c>
      <c r="AE41" s="63"/>
      <c r="AF41" s="63"/>
    </row>
    <row r="42" spans="1:32" x14ac:dyDescent="0.25">
      <c r="B42" s="70" t="s">
        <v>487</v>
      </c>
      <c r="C42" s="70">
        <v>11</v>
      </c>
      <c r="D42" s="70">
        <v>10</v>
      </c>
      <c r="E42" s="70">
        <v>9</v>
      </c>
      <c r="F42" s="70">
        <v>7</v>
      </c>
      <c r="G42" s="70">
        <v>6</v>
      </c>
      <c r="H42" s="70">
        <v>2</v>
      </c>
      <c r="K42" s="70" t="s">
        <v>487</v>
      </c>
      <c r="L42" s="70">
        <f t="shared" si="30"/>
        <v>55</v>
      </c>
      <c r="M42" s="70">
        <f t="shared" si="33"/>
        <v>10</v>
      </c>
      <c r="N42" s="70">
        <f t="shared" si="31"/>
        <v>9</v>
      </c>
      <c r="O42" s="70">
        <f t="shared" si="31"/>
        <v>7</v>
      </c>
      <c r="P42" s="70">
        <f t="shared" si="31"/>
        <v>6</v>
      </c>
      <c r="Q42" s="70">
        <f t="shared" si="32"/>
        <v>10</v>
      </c>
      <c r="T42" s="63"/>
      <c r="U42" s="53"/>
      <c r="V42" s="52"/>
      <c r="W42" s="53"/>
      <c r="X42" s="52"/>
      <c r="Y42" s="53"/>
      <c r="Z42" s="52"/>
      <c r="AA42" s="53"/>
      <c r="AB42" s="52"/>
      <c r="AC42" s="53"/>
      <c r="AD42" s="52"/>
      <c r="AE42" s="63"/>
      <c r="AF42" s="63"/>
    </row>
    <row r="43" spans="1:32" x14ac:dyDescent="0.25">
      <c r="B43" s="70" t="s">
        <v>488</v>
      </c>
      <c r="C43" s="70">
        <v>26</v>
      </c>
      <c r="D43" s="70">
        <v>8</v>
      </c>
      <c r="E43" s="70">
        <v>11</v>
      </c>
      <c r="F43" s="70">
        <v>6</v>
      </c>
      <c r="G43" s="70">
        <v>5</v>
      </c>
      <c r="H43" s="70">
        <v>4</v>
      </c>
      <c r="K43" s="70" t="s">
        <v>488</v>
      </c>
      <c r="L43" s="70">
        <f t="shared" si="30"/>
        <v>130</v>
      </c>
      <c r="M43" s="70">
        <f t="shared" si="33"/>
        <v>8</v>
      </c>
      <c r="N43" s="70">
        <f t="shared" si="31"/>
        <v>11</v>
      </c>
      <c r="O43" s="70">
        <f t="shared" si="31"/>
        <v>6</v>
      </c>
      <c r="P43" s="70">
        <f t="shared" si="31"/>
        <v>5</v>
      </c>
      <c r="Q43" s="70">
        <f t="shared" si="32"/>
        <v>20</v>
      </c>
      <c r="T43" s="63"/>
      <c r="U43" s="53" t="s">
        <v>442</v>
      </c>
      <c r="V43" s="52"/>
      <c r="W43" s="53" t="s">
        <v>442</v>
      </c>
      <c r="X43" s="52"/>
      <c r="Y43" s="53" t="s">
        <v>442</v>
      </c>
      <c r="Z43" s="52"/>
      <c r="AA43" s="53" t="s">
        <v>442</v>
      </c>
      <c r="AB43" s="52"/>
      <c r="AC43" s="53" t="s">
        <v>442</v>
      </c>
      <c r="AD43" s="52"/>
      <c r="AE43" s="63"/>
      <c r="AF43" s="63"/>
    </row>
    <row r="44" spans="1:32" x14ac:dyDescent="0.25">
      <c r="C44" s="70">
        <f t="shared" ref="C44:H44" si="34">SUM(C40:C43)</f>
        <v>85</v>
      </c>
      <c r="D44" s="70">
        <f t="shared" si="34"/>
        <v>49</v>
      </c>
      <c r="E44" s="70">
        <f t="shared" si="34"/>
        <v>45</v>
      </c>
      <c r="F44" s="70">
        <f t="shared" si="34"/>
        <v>29</v>
      </c>
      <c r="G44" s="70">
        <f t="shared" si="34"/>
        <v>19</v>
      </c>
      <c r="H44" s="70">
        <f t="shared" si="34"/>
        <v>12</v>
      </c>
      <c r="I44" s="70">
        <f>SUM(C44:H44)</f>
        <v>239</v>
      </c>
      <c r="L44" s="70">
        <f>SUM(L40:L43)</f>
        <v>425</v>
      </c>
      <c r="M44" s="70">
        <f t="shared" si="33"/>
        <v>49</v>
      </c>
      <c r="N44" s="70">
        <f t="shared" si="31"/>
        <v>45</v>
      </c>
      <c r="O44" s="70">
        <f t="shared" si="31"/>
        <v>29</v>
      </c>
      <c r="P44" s="70">
        <f t="shared" si="31"/>
        <v>19</v>
      </c>
      <c r="Q44" s="70">
        <f>SUM(Q40:Q43)</f>
        <v>60</v>
      </c>
      <c r="R44" s="70">
        <f>SUM(L44:Q44)</f>
        <v>627</v>
      </c>
      <c r="T44" s="63"/>
      <c r="U44" s="53" t="s">
        <v>443</v>
      </c>
      <c r="V44" s="52" t="s">
        <v>505</v>
      </c>
      <c r="W44" s="53" t="s">
        <v>443</v>
      </c>
      <c r="X44" s="52" t="s">
        <v>747</v>
      </c>
      <c r="Y44" s="53" t="s">
        <v>443</v>
      </c>
      <c r="Z44" s="52" t="s">
        <v>752</v>
      </c>
      <c r="AA44" s="53" t="s">
        <v>443</v>
      </c>
      <c r="AB44" s="52" t="s">
        <v>756</v>
      </c>
      <c r="AC44" s="53" t="s">
        <v>443</v>
      </c>
      <c r="AD44" s="52" t="s">
        <v>761</v>
      </c>
      <c r="AE44" s="63"/>
      <c r="AF44" s="63"/>
    </row>
    <row r="45" spans="1:32" x14ac:dyDescent="0.25">
      <c r="C45" s="70">
        <f>C44/I44%</f>
        <v>35.564853556485353</v>
      </c>
      <c r="D45" s="70">
        <f>D44/$I44 %</f>
        <v>20.502092050209203</v>
      </c>
      <c r="E45" s="70">
        <f>E44/$I44 %</f>
        <v>18.828451882845187</v>
      </c>
      <c r="F45" s="70">
        <f>F44/$I44 %</f>
        <v>12.13389121338912</v>
      </c>
      <c r="G45" s="70">
        <f>G44/$I44 %</f>
        <v>7.9497907949790791</v>
      </c>
      <c r="H45" s="70">
        <f>H44/$I44 %</f>
        <v>5.02092050209205</v>
      </c>
      <c r="L45" s="70">
        <f t="shared" ref="L45:Q45" si="35">L44/$R44 %</f>
        <v>67.783094098883581</v>
      </c>
      <c r="M45" s="70">
        <f t="shared" si="35"/>
        <v>7.8149920255183423</v>
      </c>
      <c r="N45" s="70">
        <f t="shared" si="35"/>
        <v>7.1770334928229671</v>
      </c>
      <c r="O45" s="70">
        <f t="shared" si="35"/>
        <v>4.6251993620414673</v>
      </c>
      <c r="P45" s="70">
        <f t="shared" si="35"/>
        <v>3.0303030303030307</v>
      </c>
      <c r="Q45" s="70">
        <f t="shared" si="35"/>
        <v>9.5693779904306222</v>
      </c>
      <c r="T45" s="63"/>
      <c r="U45" s="53" t="s">
        <v>425</v>
      </c>
      <c r="V45" s="52">
        <v>0.5</v>
      </c>
      <c r="W45" s="53" t="s">
        <v>425</v>
      </c>
      <c r="X45" s="52">
        <v>0.1661</v>
      </c>
      <c r="Y45" s="53" t="s">
        <v>425</v>
      </c>
      <c r="Z45" s="52">
        <v>0.76470000000000005</v>
      </c>
      <c r="AA45" s="53" t="s">
        <v>425</v>
      </c>
      <c r="AB45" s="52">
        <v>0.28799999999999998</v>
      </c>
      <c r="AC45" s="53" t="s">
        <v>425</v>
      </c>
      <c r="AD45" s="52">
        <v>0.42730000000000001</v>
      </c>
      <c r="AE45" s="63"/>
      <c r="AF45" s="63"/>
    </row>
    <row r="46" spans="1:32" x14ac:dyDescent="0.25">
      <c r="T46" s="63"/>
      <c r="U46" s="53" t="s">
        <v>426</v>
      </c>
      <c r="V46" s="52" t="s">
        <v>445</v>
      </c>
      <c r="W46" s="53" t="s">
        <v>426</v>
      </c>
      <c r="X46" s="52" t="s">
        <v>445</v>
      </c>
      <c r="Y46" s="53" t="s">
        <v>426</v>
      </c>
      <c r="Z46" s="52" t="s">
        <v>445</v>
      </c>
      <c r="AA46" s="53" t="s">
        <v>426</v>
      </c>
      <c r="AB46" s="52" t="s">
        <v>445</v>
      </c>
      <c r="AC46" s="53" t="s">
        <v>426</v>
      </c>
      <c r="AD46" s="52" t="s">
        <v>445</v>
      </c>
      <c r="AE46" s="63"/>
      <c r="AF46" s="63"/>
    </row>
    <row r="47" spans="1:32" x14ac:dyDescent="0.25">
      <c r="T47" s="63"/>
      <c r="U47" s="53" t="s">
        <v>428</v>
      </c>
      <c r="V47" s="52" t="s">
        <v>446</v>
      </c>
      <c r="W47" s="53" t="s">
        <v>428</v>
      </c>
      <c r="X47" s="52" t="s">
        <v>446</v>
      </c>
      <c r="Y47" s="53" t="s">
        <v>428</v>
      </c>
      <c r="Z47" s="52" t="s">
        <v>446</v>
      </c>
      <c r="AA47" s="53" t="s">
        <v>428</v>
      </c>
      <c r="AB47" s="52" t="s">
        <v>446</v>
      </c>
      <c r="AC47" s="53" t="s">
        <v>428</v>
      </c>
      <c r="AD47" s="52" t="s">
        <v>446</v>
      </c>
      <c r="AE47" s="63"/>
      <c r="AF47" s="63"/>
    </row>
    <row r="48" spans="1:32" x14ac:dyDescent="0.25">
      <c r="A48" s="70" t="s">
        <v>347</v>
      </c>
      <c r="B48" s="70" t="s">
        <v>483</v>
      </c>
      <c r="C48" s="70">
        <v>23</v>
      </c>
      <c r="D48" s="70">
        <v>12</v>
      </c>
      <c r="E48" s="70">
        <v>11</v>
      </c>
      <c r="F48" s="70">
        <v>6</v>
      </c>
      <c r="G48" s="70">
        <v>12</v>
      </c>
      <c r="H48" s="70">
        <v>2</v>
      </c>
      <c r="K48" s="70" t="s">
        <v>483</v>
      </c>
      <c r="L48" s="70">
        <f t="shared" ref="L48:Q50" si="36">C48*5</f>
        <v>115</v>
      </c>
      <c r="M48" s="70">
        <f>D48</f>
        <v>12</v>
      </c>
      <c r="N48" s="70">
        <f t="shared" ref="N48:P52" si="37">E48</f>
        <v>11</v>
      </c>
      <c r="O48" s="70">
        <f t="shared" si="37"/>
        <v>6</v>
      </c>
      <c r="P48" s="70">
        <f t="shared" si="37"/>
        <v>12</v>
      </c>
      <c r="Q48" s="70">
        <f t="shared" si="36"/>
        <v>10</v>
      </c>
      <c r="T48" s="63"/>
      <c r="U48" s="53"/>
      <c r="V48" s="52"/>
      <c r="W48" s="53"/>
      <c r="X48" s="52"/>
      <c r="Y48" s="53"/>
      <c r="Z48" s="52"/>
      <c r="AA48" s="53"/>
      <c r="AB48" s="52"/>
      <c r="AC48" s="53"/>
      <c r="AD48" s="52"/>
      <c r="AE48" s="63"/>
      <c r="AF48" s="63"/>
    </row>
    <row r="49" spans="1:32" x14ac:dyDescent="0.25">
      <c r="B49" s="70" t="s">
        <v>485</v>
      </c>
      <c r="C49" s="70">
        <v>29</v>
      </c>
      <c r="D49" s="70">
        <v>21</v>
      </c>
      <c r="E49" s="70">
        <v>12</v>
      </c>
      <c r="F49" s="70">
        <v>4</v>
      </c>
      <c r="G49" s="70">
        <v>2</v>
      </c>
      <c r="H49" s="70">
        <v>5</v>
      </c>
      <c r="K49" s="70" t="s">
        <v>485</v>
      </c>
      <c r="L49" s="70">
        <f t="shared" si="36"/>
        <v>145</v>
      </c>
      <c r="M49" s="70">
        <f t="shared" ref="M49:M52" si="38">D49</f>
        <v>21</v>
      </c>
      <c r="N49" s="70">
        <f t="shared" si="37"/>
        <v>12</v>
      </c>
      <c r="O49" s="70">
        <f t="shared" si="37"/>
        <v>4</v>
      </c>
      <c r="P49" s="70">
        <f t="shared" si="37"/>
        <v>2</v>
      </c>
      <c r="Q49" s="70">
        <f t="shared" si="36"/>
        <v>25</v>
      </c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</row>
    <row r="50" spans="1:32" x14ac:dyDescent="0.25">
      <c r="B50" s="70" t="s">
        <v>487</v>
      </c>
      <c r="C50" s="70">
        <v>30</v>
      </c>
      <c r="D50" s="70">
        <v>10</v>
      </c>
      <c r="E50" s="70">
        <v>11</v>
      </c>
      <c r="F50" s="70">
        <v>7</v>
      </c>
      <c r="G50" s="70">
        <v>2</v>
      </c>
      <c r="H50" s="70">
        <v>4</v>
      </c>
      <c r="K50" s="70" t="s">
        <v>487</v>
      </c>
      <c r="L50" s="70">
        <f t="shared" si="36"/>
        <v>150</v>
      </c>
      <c r="M50" s="70">
        <f t="shared" si="38"/>
        <v>10</v>
      </c>
      <c r="N50" s="70">
        <f t="shared" si="37"/>
        <v>11</v>
      </c>
      <c r="O50" s="70">
        <f t="shared" si="37"/>
        <v>7</v>
      </c>
      <c r="P50" s="70">
        <f t="shared" si="37"/>
        <v>2</v>
      </c>
      <c r="Q50" s="70">
        <f t="shared" si="36"/>
        <v>20</v>
      </c>
      <c r="T50" s="63"/>
      <c r="U50" s="70" t="s">
        <v>491</v>
      </c>
      <c r="V50" s="70" t="s">
        <v>352</v>
      </c>
      <c r="W50" s="70" t="s">
        <v>347</v>
      </c>
      <c r="X50" s="70" t="s">
        <v>701</v>
      </c>
      <c r="Y50" s="70" t="s">
        <v>702</v>
      </c>
      <c r="Z50" s="70" t="s">
        <v>703</v>
      </c>
      <c r="AA50" s="70" t="s">
        <v>492</v>
      </c>
      <c r="AB50" s="70" t="s">
        <v>388</v>
      </c>
      <c r="AC50" s="70" t="s">
        <v>383</v>
      </c>
      <c r="AD50" s="70" t="s">
        <v>698</v>
      </c>
      <c r="AE50" s="70" t="s">
        <v>699</v>
      </c>
      <c r="AF50" s="70" t="s">
        <v>700</v>
      </c>
    </row>
    <row r="51" spans="1:32" x14ac:dyDescent="0.25">
      <c r="C51" s="70">
        <f t="shared" ref="C51:H51" si="39">SUM(C48:C50)</f>
        <v>82</v>
      </c>
      <c r="D51" s="70">
        <f t="shared" si="39"/>
        <v>43</v>
      </c>
      <c r="E51" s="70">
        <f t="shared" si="39"/>
        <v>34</v>
      </c>
      <c r="F51" s="70">
        <f t="shared" si="39"/>
        <v>17</v>
      </c>
      <c r="G51" s="70">
        <f t="shared" si="39"/>
        <v>16</v>
      </c>
      <c r="H51" s="70">
        <f t="shared" si="39"/>
        <v>11</v>
      </c>
      <c r="I51" s="70">
        <f>SUM(C51:H51)</f>
        <v>203</v>
      </c>
      <c r="L51" s="70">
        <f t="shared" ref="L51:Q51" si="40">SUM(L48:L50)</f>
        <v>410</v>
      </c>
      <c r="M51" s="70">
        <f>D51</f>
        <v>43</v>
      </c>
      <c r="N51" s="70">
        <f t="shared" si="37"/>
        <v>34</v>
      </c>
      <c r="O51" s="70">
        <f t="shared" si="37"/>
        <v>17</v>
      </c>
      <c r="P51" s="70">
        <f t="shared" si="37"/>
        <v>16</v>
      </c>
      <c r="Q51" s="70">
        <f t="shared" si="40"/>
        <v>55</v>
      </c>
      <c r="R51" s="70">
        <f>SUM(L51:Q51)</f>
        <v>575</v>
      </c>
      <c r="T51" s="70" t="s">
        <v>495</v>
      </c>
      <c r="U51" s="70">
        <v>44</v>
      </c>
      <c r="V51" s="70">
        <v>49</v>
      </c>
      <c r="W51" s="70">
        <v>43</v>
      </c>
      <c r="X51" s="70">
        <v>56</v>
      </c>
      <c r="Y51" s="70">
        <v>49</v>
      </c>
      <c r="Z51" s="70">
        <v>57</v>
      </c>
      <c r="AA51" s="70">
        <v>36</v>
      </c>
      <c r="AB51" s="70">
        <v>33</v>
      </c>
      <c r="AC51" s="70">
        <v>33</v>
      </c>
      <c r="AD51" s="70">
        <v>44</v>
      </c>
      <c r="AE51" s="70">
        <v>33</v>
      </c>
      <c r="AF51" s="70">
        <v>39</v>
      </c>
    </row>
    <row r="52" spans="1:32" x14ac:dyDescent="0.25">
      <c r="C52" s="70">
        <f>C51/I51%</f>
        <v>40.39408866995074</v>
      </c>
      <c r="D52" s="70">
        <f>D51/$I51 %</f>
        <v>21.182266009852217</v>
      </c>
      <c r="E52" s="70">
        <f>E51/$I51 %</f>
        <v>16.748768472906406</v>
      </c>
      <c r="F52" s="70">
        <f>F51/$I51 %</f>
        <v>8.3743842364532028</v>
      </c>
      <c r="G52" s="70">
        <f>G51/$I51 %</f>
        <v>7.8817733990147794</v>
      </c>
      <c r="H52" s="70">
        <f>H51/$I51 %</f>
        <v>5.418719211822661</v>
      </c>
      <c r="L52" s="70">
        <f>L51/$R51 %</f>
        <v>71.304347826086953</v>
      </c>
      <c r="M52" s="70">
        <f t="shared" si="38"/>
        <v>21.182266009852217</v>
      </c>
      <c r="N52" s="70">
        <f t="shared" si="37"/>
        <v>16.748768472906406</v>
      </c>
      <c r="O52" s="70">
        <f t="shared" si="37"/>
        <v>8.3743842364532028</v>
      </c>
      <c r="P52" s="70">
        <f t="shared" si="37"/>
        <v>7.8817733990147794</v>
      </c>
      <c r="Q52" s="70">
        <f>Q51/$R51 %</f>
        <v>9.5652173913043477</v>
      </c>
      <c r="T52" s="70" t="s">
        <v>605</v>
      </c>
      <c r="U52" s="117" t="s">
        <v>606</v>
      </c>
      <c r="V52" s="118"/>
      <c r="W52" s="117" t="s">
        <v>704</v>
      </c>
      <c r="X52" s="118"/>
      <c r="Y52" s="117" t="s">
        <v>705</v>
      </c>
      <c r="Z52" s="118"/>
      <c r="AA52" s="117" t="s">
        <v>706</v>
      </c>
      <c r="AB52" s="118"/>
      <c r="AC52" s="117" t="s">
        <v>707</v>
      </c>
    </row>
    <row r="53" spans="1:32" x14ac:dyDescent="0.25">
      <c r="T53" s="63"/>
      <c r="U53" s="53" t="s">
        <v>684</v>
      </c>
      <c r="V53" s="52" t="s">
        <v>742</v>
      </c>
      <c r="W53" s="53" t="s">
        <v>419</v>
      </c>
      <c r="X53" s="52" t="s">
        <v>743</v>
      </c>
      <c r="Y53" s="53" t="s">
        <v>710</v>
      </c>
      <c r="Z53" s="52" t="s">
        <v>748</v>
      </c>
      <c r="AA53" s="53" t="s">
        <v>710</v>
      </c>
      <c r="AB53" s="52" t="s">
        <v>748</v>
      </c>
      <c r="AC53" s="53" t="s">
        <v>684</v>
      </c>
      <c r="AD53" s="52" t="s">
        <v>742</v>
      </c>
      <c r="AE53" s="63"/>
      <c r="AF53" s="63"/>
    </row>
    <row r="54" spans="1:32" x14ac:dyDescent="0.25">
      <c r="T54" s="63"/>
      <c r="U54" s="53" t="s">
        <v>421</v>
      </c>
      <c r="V54" s="52" t="s">
        <v>421</v>
      </c>
      <c r="W54" s="53" t="s">
        <v>421</v>
      </c>
      <c r="X54" s="52" t="s">
        <v>421</v>
      </c>
      <c r="Y54" s="53" t="s">
        <v>421</v>
      </c>
      <c r="Z54" s="52" t="s">
        <v>421</v>
      </c>
      <c r="AA54" s="53" t="s">
        <v>421</v>
      </c>
      <c r="AB54" s="52" t="s">
        <v>421</v>
      </c>
      <c r="AC54" s="53" t="s">
        <v>421</v>
      </c>
      <c r="AD54" s="52" t="s">
        <v>421</v>
      </c>
      <c r="AE54" s="63"/>
      <c r="AF54" s="63"/>
    </row>
    <row r="55" spans="1:32" x14ac:dyDescent="0.25">
      <c r="T55" s="63"/>
      <c r="U55" s="53" t="s">
        <v>422</v>
      </c>
      <c r="V55" s="52" t="s">
        <v>412</v>
      </c>
      <c r="W55" s="53" t="s">
        <v>422</v>
      </c>
      <c r="X55" s="52" t="s">
        <v>412</v>
      </c>
      <c r="Y55" s="53" t="s">
        <v>684</v>
      </c>
      <c r="Z55" s="52" t="s">
        <v>742</v>
      </c>
      <c r="AA55" s="53" t="s">
        <v>419</v>
      </c>
      <c r="AB55" s="52" t="s">
        <v>743</v>
      </c>
      <c r="AC55" s="53" t="s">
        <v>419</v>
      </c>
      <c r="AD55" s="52" t="s">
        <v>743</v>
      </c>
      <c r="AE55" s="63"/>
      <c r="AF55" s="63"/>
    </row>
    <row r="56" spans="1:32" x14ac:dyDescent="0.25">
      <c r="A56" s="70" t="s">
        <v>708</v>
      </c>
      <c r="B56" s="70" t="s">
        <v>483</v>
      </c>
      <c r="C56" s="70">
        <v>20</v>
      </c>
      <c r="D56" s="70">
        <v>10</v>
      </c>
      <c r="E56" s="70">
        <v>9</v>
      </c>
      <c r="F56" s="70">
        <v>2</v>
      </c>
      <c r="G56" s="70">
        <v>1</v>
      </c>
      <c r="H56" s="70">
        <v>5</v>
      </c>
      <c r="K56" s="70" t="s">
        <v>483</v>
      </c>
      <c r="L56" s="70">
        <f t="shared" ref="L56:L59" si="41">C56*5</f>
        <v>100</v>
      </c>
      <c r="M56" s="70">
        <f>D56</f>
        <v>10</v>
      </c>
      <c r="N56" s="70">
        <f t="shared" ref="N56:P60" si="42">E56</f>
        <v>9</v>
      </c>
      <c r="O56" s="70">
        <f t="shared" si="42"/>
        <v>2</v>
      </c>
      <c r="P56" s="70">
        <f t="shared" si="42"/>
        <v>1</v>
      </c>
      <c r="Q56" s="70">
        <f t="shared" ref="Q56:Q59" si="43">H56*5</f>
        <v>25</v>
      </c>
      <c r="T56" s="63"/>
      <c r="U56" s="53"/>
      <c r="V56" s="52"/>
      <c r="W56" s="53"/>
      <c r="X56" s="52"/>
      <c r="Y56" s="53"/>
      <c r="Z56" s="52"/>
      <c r="AA56" s="53"/>
      <c r="AB56" s="52"/>
      <c r="AC56" s="53"/>
      <c r="AD56" s="52"/>
      <c r="AE56" s="63"/>
      <c r="AF56" s="63"/>
    </row>
    <row r="57" spans="1:32" x14ac:dyDescent="0.25">
      <c r="B57" s="70" t="s">
        <v>485</v>
      </c>
      <c r="C57" s="70">
        <v>11</v>
      </c>
      <c r="D57" s="70">
        <v>12</v>
      </c>
      <c r="E57" s="70">
        <v>7</v>
      </c>
      <c r="F57" s="70">
        <v>1</v>
      </c>
      <c r="G57" s="70">
        <v>2</v>
      </c>
      <c r="H57" s="70">
        <v>9</v>
      </c>
      <c r="K57" s="70" t="s">
        <v>485</v>
      </c>
      <c r="L57" s="70">
        <f t="shared" si="41"/>
        <v>55</v>
      </c>
      <c r="M57" s="70">
        <f t="shared" ref="M57:M60" si="44">D57</f>
        <v>12</v>
      </c>
      <c r="N57" s="70">
        <f t="shared" si="42"/>
        <v>7</v>
      </c>
      <c r="O57" s="70">
        <f t="shared" si="42"/>
        <v>1</v>
      </c>
      <c r="P57" s="70">
        <f t="shared" si="42"/>
        <v>2</v>
      </c>
      <c r="Q57" s="70">
        <f t="shared" si="43"/>
        <v>45</v>
      </c>
      <c r="T57" s="63"/>
      <c r="U57" s="53" t="s">
        <v>455</v>
      </c>
      <c r="V57" s="52"/>
      <c r="W57" s="53" t="s">
        <v>424</v>
      </c>
      <c r="X57" s="52"/>
      <c r="Y57" s="53" t="s">
        <v>424</v>
      </c>
      <c r="Z57" s="52"/>
      <c r="AA57" s="53" t="s">
        <v>424</v>
      </c>
      <c r="AB57" s="52"/>
      <c r="AC57" s="53" t="s">
        <v>424</v>
      </c>
      <c r="AD57" s="52"/>
      <c r="AE57" s="63"/>
      <c r="AF57" s="63"/>
    </row>
    <row r="58" spans="1:32" x14ac:dyDescent="0.25">
      <c r="B58" s="70" t="s">
        <v>487</v>
      </c>
      <c r="C58" s="70">
        <v>13</v>
      </c>
      <c r="D58" s="70">
        <v>12</v>
      </c>
      <c r="E58" s="70">
        <v>9</v>
      </c>
      <c r="F58" s="70">
        <v>2</v>
      </c>
      <c r="G58" s="70">
        <v>1</v>
      </c>
      <c r="H58" s="70">
        <v>16</v>
      </c>
      <c r="K58" s="70" t="s">
        <v>487</v>
      </c>
      <c r="L58" s="70">
        <f t="shared" si="41"/>
        <v>65</v>
      </c>
      <c r="M58" s="70">
        <f t="shared" si="44"/>
        <v>12</v>
      </c>
      <c r="N58" s="70">
        <f t="shared" si="42"/>
        <v>9</v>
      </c>
      <c r="O58" s="70">
        <f t="shared" si="42"/>
        <v>2</v>
      </c>
      <c r="P58" s="70">
        <f t="shared" si="42"/>
        <v>1</v>
      </c>
      <c r="Q58" s="70">
        <f t="shared" si="43"/>
        <v>80</v>
      </c>
      <c r="T58" s="63"/>
      <c r="U58" s="53" t="s">
        <v>425</v>
      </c>
      <c r="V58" s="52">
        <v>4.2200000000000001E-2</v>
      </c>
      <c r="W58" s="53" t="s">
        <v>425</v>
      </c>
      <c r="X58" s="52">
        <v>2.5100000000000001E-2</v>
      </c>
      <c r="Y58" s="53" t="s">
        <v>425</v>
      </c>
      <c r="Z58" s="52">
        <v>0.2341</v>
      </c>
      <c r="AA58" s="53" t="s">
        <v>425</v>
      </c>
      <c r="AB58" s="52">
        <v>9.7000000000000003E-3</v>
      </c>
      <c r="AC58" s="53" t="s">
        <v>425</v>
      </c>
      <c r="AD58" s="52">
        <v>1.8E-3</v>
      </c>
      <c r="AE58" s="63"/>
      <c r="AF58" s="63"/>
    </row>
    <row r="59" spans="1:32" x14ac:dyDescent="0.25">
      <c r="B59" s="70" t="s">
        <v>488</v>
      </c>
      <c r="C59" s="70">
        <v>10</v>
      </c>
      <c r="D59" s="70">
        <v>10</v>
      </c>
      <c r="E59" s="70">
        <v>8</v>
      </c>
      <c r="F59" s="70">
        <v>2</v>
      </c>
      <c r="G59" s="70">
        <v>1</v>
      </c>
      <c r="H59" s="70">
        <v>8</v>
      </c>
      <c r="K59" s="70" t="s">
        <v>488</v>
      </c>
      <c r="L59" s="70">
        <f t="shared" si="41"/>
        <v>50</v>
      </c>
      <c r="M59" s="70">
        <f t="shared" si="44"/>
        <v>10</v>
      </c>
      <c r="N59" s="70">
        <f t="shared" si="42"/>
        <v>8</v>
      </c>
      <c r="O59" s="70">
        <f t="shared" si="42"/>
        <v>2</v>
      </c>
      <c r="P59" s="70">
        <f t="shared" si="42"/>
        <v>1</v>
      </c>
      <c r="Q59" s="70">
        <f t="shared" si="43"/>
        <v>40</v>
      </c>
      <c r="T59" s="63"/>
      <c r="U59" s="53" t="s">
        <v>426</v>
      </c>
      <c r="V59" s="52" t="s">
        <v>508</v>
      </c>
      <c r="W59" s="53" t="s">
        <v>426</v>
      </c>
      <c r="X59" s="52" t="s">
        <v>508</v>
      </c>
      <c r="Y59" s="53" t="s">
        <v>426</v>
      </c>
      <c r="Z59" s="52" t="s">
        <v>445</v>
      </c>
      <c r="AA59" s="53" t="s">
        <v>426</v>
      </c>
      <c r="AB59" s="52" t="s">
        <v>427</v>
      </c>
      <c r="AC59" s="53" t="s">
        <v>426</v>
      </c>
      <c r="AD59" s="52" t="s">
        <v>427</v>
      </c>
      <c r="AE59" s="63"/>
      <c r="AF59" s="63"/>
    </row>
    <row r="60" spans="1:32" x14ac:dyDescent="0.25">
      <c r="C60" s="70">
        <f t="shared" ref="C60:H60" si="45">SUM(C56:C59)</f>
        <v>54</v>
      </c>
      <c r="D60" s="70">
        <f t="shared" si="45"/>
        <v>44</v>
      </c>
      <c r="E60" s="70">
        <f t="shared" si="45"/>
        <v>33</v>
      </c>
      <c r="F60" s="70">
        <f t="shared" si="45"/>
        <v>7</v>
      </c>
      <c r="G60" s="70">
        <f t="shared" si="45"/>
        <v>5</v>
      </c>
      <c r="H60" s="70">
        <f t="shared" si="45"/>
        <v>38</v>
      </c>
      <c r="I60" s="70">
        <f>SUM(C60:H60)</f>
        <v>181</v>
      </c>
      <c r="L60" s="70">
        <f>SUM(L56:L59)</f>
        <v>270</v>
      </c>
      <c r="M60" s="70">
        <f t="shared" si="44"/>
        <v>44</v>
      </c>
      <c r="N60" s="70">
        <f t="shared" si="42"/>
        <v>33</v>
      </c>
      <c r="O60" s="70">
        <f t="shared" si="42"/>
        <v>7</v>
      </c>
      <c r="P60" s="70">
        <f t="shared" si="42"/>
        <v>5</v>
      </c>
      <c r="Q60" s="70">
        <f>SUM(Q56:Q59)</f>
        <v>190</v>
      </c>
      <c r="R60" s="70">
        <f>SUM(L60:Q60)</f>
        <v>549</v>
      </c>
      <c r="T60" s="63"/>
      <c r="U60" s="53" t="s">
        <v>428</v>
      </c>
      <c r="V60" s="52" t="s">
        <v>429</v>
      </c>
      <c r="W60" s="53" t="s">
        <v>428</v>
      </c>
      <c r="X60" s="52" t="s">
        <v>429</v>
      </c>
      <c r="Y60" s="53" t="s">
        <v>428</v>
      </c>
      <c r="Z60" s="52" t="s">
        <v>446</v>
      </c>
      <c r="AA60" s="53" t="s">
        <v>428</v>
      </c>
      <c r="AB60" s="52" t="s">
        <v>429</v>
      </c>
      <c r="AC60" s="53" t="s">
        <v>428</v>
      </c>
      <c r="AD60" s="52" t="s">
        <v>429</v>
      </c>
      <c r="AE60" s="63"/>
      <c r="AF60" s="63"/>
    </row>
    <row r="61" spans="1:32" x14ac:dyDescent="0.25">
      <c r="C61" s="70">
        <f>C60/I60%</f>
        <v>29.834254143646408</v>
      </c>
      <c r="D61" s="70">
        <f>D60/$I60 %</f>
        <v>24.30939226519337</v>
      </c>
      <c r="E61" s="70">
        <f>E60/$I60 %</f>
        <v>18.232044198895029</v>
      </c>
      <c r="F61" s="70">
        <f>F60/$I60 %</f>
        <v>3.867403314917127</v>
      </c>
      <c r="G61" s="70">
        <f>G60/$I60 %</f>
        <v>2.7624309392265194</v>
      </c>
      <c r="H61" s="70">
        <f>H60/$I60 %</f>
        <v>20.994475138121548</v>
      </c>
      <c r="L61" s="70">
        <f t="shared" ref="L61:Q61" si="46">L60/$R60 %</f>
        <v>49.180327868852459</v>
      </c>
      <c r="M61" s="70">
        <f t="shared" si="46"/>
        <v>8.0145719489981779</v>
      </c>
      <c r="N61" s="70">
        <f t="shared" si="46"/>
        <v>6.0109289617486334</v>
      </c>
      <c r="O61" s="70">
        <f t="shared" si="46"/>
        <v>1.2750455373406193</v>
      </c>
      <c r="P61" s="70">
        <f t="shared" si="46"/>
        <v>0.91074681238615662</v>
      </c>
      <c r="Q61" s="70">
        <f t="shared" si="46"/>
        <v>34.608378870673953</v>
      </c>
      <c r="T61" s="63"/>
      <c r="U61" s="53" t="s">
        <v>430</v>
      </c>
      <c r="V61" s="52" t="s">
        <v>431</v>
      </c>
      <c r="W61" s="53" t="s">
        <v>430</v>
      </c>
      <c r="X61" s="52" t="s">
        <v>572</v>
      </c>
      <c r="Y61" s="53" t="s">
        <v>430</v>
      </c>
      <c r="Z61" s="52" t="s">
        <v>431</v>
      </c>
      <c r="AA61" s="53" t="s">
        <v>430</v>
      </c>
      <c r="AB61" s="52" t="s">
        <v>572</v>
      </c>
      <c r="AC61" s="53" t="s">
        <v>430</v>
      </c>
      <c r="AD61" s="52" t="s">
        <v>431</v>
      </c>
      <c r="AE61" s="63"/>
      <c r="AF61" s="63"/>
    </row>
    <row r="62" spans="1:32" x14ac:dyDescent="0.25">
      <c r="T62" s="63"/>
      <c r="U62" s="53" t="s">
        <v>432</v>
      </c>
      <c r="V62" s="52" t="s">
        <v>509</v>
      </c>
      <c r="W62" s="53" t="s">
        <v>432</v>
      </c>
      <c r="X62" s="52" t="s">
        <v>763</v>
      </c>
      <c r="Y62" s="53" t="s">
        <v>432</v>
      </c>
      <c r="Z62" s="52" t="s">
        <v>767</v>
      </c>
      <c r="AA62" s="53" t="s">
        <v>432</v>
      </c>
      <c r="AB62" s="52" t="s">
        <v>771</v>
      </c>
      <c r="AC62" s="53" t="s">
        <v>432</v>
      </c>
      <c r="AD62" s="52" t="s">
        <v>775</v>
      </c>
      <c r="AE62" s="63"/>
      <c r="AF62" s="63"/>
    </row>
    <row r="63" spans="1:32" x14ac:dyDescent="0.25">
      <c r="T63" s="63"/>
      <c r="U63" s="53"/>
      <c r="V63" s="52"/>
      <c r="W63" s="53"/>
      <c r="X63" s="52"/>
      <c r="Y63" s="53"/>
      <c r="Z63" s="52"/>
      <c r="AA63" s="53"/>
      <c r="AB63" s="52"/>
      <c r="AC63" s="53"/>
      <c r="AD63" s="52"/>
      <c r="AE63" s="63"/>
      <c r="AF63" s="63"/>
    </row>
    <row r="64" spans="1:32" x14ac:dyDescent="0.25">
      <c r="T64" s="63"/>
      <c r="U64" s="53" t="s">
        <v>434</v>
      </c>
      <c r="V64" s="52"/>
      <c r="W64" s="53" t="s">
        <v>434</v>
      </c>
      <c r="X64" s="52"/>
      <c r="Y64" s="53" t="s">
        <v>434</v>
      </c>
      <c r="Z64" s="52"/>
      <c r="AA64" s="53" t="s">
        <v>434</v>
      </c>
      <c r="AB64" s="52"/>
      <c r="AC64" s="53" t="s">
        <v>434</v>
      </c>
      <c r="AD64" s="52"/>
      <c r="AE64" s="63"/>
      <c r="AF64" s="63"/>
    </row>
    <row r="65" spans="1:32" x14ac:dyDescent="0.25">
      <c r="A65" s="70" t="s">
        <v>699</v>
      </c>
      <c r="B65" s="70" t="s">
        <v>483</v>
      </c>
      <c r="C65" s="70">
        <v>12</v>
      </c>
      <c r="D65" s="70">
        <v>5</v>
      </c>
      <c r="E65" s="70">
        <v>5</v>
      </c>
      <c r="F65" s="70">
        <v>5</v>
      </c>
      <c r="G65" s="70">
        <v>1</v>
      </c>
      <c r="H65" s="70">
        <v>11</v>
      </c>
      <c r="K65" s="70" t="s">
        <v>483</v>
      </c>
      <c r="L65" s="70">
        <f t="shared" ref="L65:L68" si="47">C65*5</f>
        <v>60</v>
      </c>
      <c r="M65" s="70">
        <f>D65</f>
        <v>5</v>
      </c>
      <c r="N65" s="70">
        <f t="shared" ref="N65:P69" si="48">E65</f>
        <v>5</v>
      </c>
      <c r="O65" s="70">
        <f t="shared" si="48"/>
        <v>5</v>
      </c>
      <c r="P65" s="70">
        <f t="shared" si="48"/>
        <v>1</v>
      </c>
      <c r="Q65" s="70">
        <f t="shared" ref="Q65:Q68" si="49">H65*5</f>
        <v>55</v>
      </c>
      <c r="T65" s="63"/>
      <c r="U65" s="53" t="s">
        <v>458</v>
      </c>
      <c r="V65" s="52">
        <v>-11.33</v>
      </c>
      <c r="W65" s="53" t="s">
        <v>435</v>
      </c>
      <c r="X65" s="52">
        <v>45.33</v>
      </c>
      <c r="Y65" s="53" t="s">
        <v>687</v>
      </c>
      <c r="Z65" s="52">
        <v>34</v>
      </c>
      <c r="AA65" s="53" t="s">
        <v>436</v>
      </c>
      <c r="AB65" s="52">
        <v>54</v>
      </c>
      <c r="AC65" s="53" t="s">
        <v>436</v>
      </c>
      <c r="AD65" s="52">
        <v>54</v>
      </c>
      <c r="AE65" s="63"/>
      <c r="AF65" s="63"/>
    </row>
    <row r="66" spans="1:32" x14ac:dyDescent="0.25">
      <c r="B66" s="70" t="s">
        <v>485</v>
      </c>
      <c r="C66" s="70">
        <v>14</v>
      </c>
      <c r="D66" s="70">
        <v>7</v>
      </c>
      <c r="E66" s="70">
        <v>6</v>
      </c>
      <c r="F66" s="70">
        <v>3</v>
      </c>
      <c r="G66" s="70">
        <v>3</v>
      </c>
      <c r="H66" s="70">
        <v>7</v>
      </c>
      <c r="K66" s="70" t="s">
        <v>485</v>
      </c>
      <c r="L66" s="70">
        <f t="shared" si="47"/>
        <v>70</v>
      </c>
      <c r="M66" s="70">
        <f t="shared" ref="M66:M69" si="50">D66</f>
        <v>7</v>
      </c>
      <c r="N66" s="70">
        <f t="shared" si="48"/>
        <v>6</v>
      </c>
      <c r="O66" s="70">
        <f t="shared" si="48"/>
        <v>3</v>
      </c>
      <c r="P66" s="70">
        <f t="shared" si="48"/>
        <v>3</v>
      </c>
      <c r="Q66" s="70">
        <f t="shared" si="49"/>
        <v>35</v>
      </c>
      <c r="T66" s="63"/>
      <c r="U66" s="53" t="s">
        <v>459</v>
      </c>
      <c r="V66" s="52">
        <v>4.1630000000000003</v>
      </c>
      <c r="W66" s="53" t="s">
        <v>436</v>
      </c>
      <c r="X66" s="52">
        <v>54</v>
      </c>
      <c r="Y66" s="53" t="s">
        <v>714</v>
      </c>
      <c r="Z66" s="52">
        <v>38.67</v>
      </c>
      <c r="AA66" s="53" t="s">
        <v>714</v>
      </c>
      <c r="AB66" s="52">
        <v>38.67</v>
      </c>
      <c r="AC66" s="53" t="s">
        <v>687</v>
      </c>
      <c r="AD66" s="52">
        <v>34</v>
      </c>
      <c r="AE66" s="63"/>
      <c r="AF66" s="63"/>
    </row>
    <row r="67" spans="1:32" x14ac:dyDescent="0.25">
      <c r="B67" s="70" t="s">
        <v>487</v>
      </c>
      <c r="C67" s="70">
        <v>22</v>
      </c>
      <c r="D67" s="70">
        <v>9</v>
      </c>
      <c r="E67" s="70">
        <v>4</v>
      </c>
      <c r="F67" s="70">
        <v>5</v>
      </c>
      <c r="G67" s="70">
        <v>1</v>
      </c>
      <c r="H67" s="70">
        <v>8</v>
      </c>
      <c r="K67" s="70" t="s">
        <v>487</v>
      </c>
      <c r="L67" s="70">
        <f t="shared" si="47"/>
        <v>110</v>
      </c>
      <c r="M67" s="70">
        <f t="shared" si="50"/>
        <v>9</v>
      </c>
      <c r="N67" s="70">
        <f t="shared" si="48"/>
        <v>4</v>
      </c>
      <c r="O67" s="70">
        <f t="shared" si="48"/>
        <v>5</v>
      </c>
      <c r="P67" s="70">
        <f t="shared" si="48"/>
        <v>1</v>
      </c>
      <c r="Q67" s="70">
        <f t="shared" si="49"/>
        <v>40</v>
      </c>
      <c r="T67" s="63"/>
      <c r="U67" s="53" t="s">
        <v>460</v>
      </c>
      <c r="V67" s="52">
        <v>2.4039999999999999</v>
      </c>
      <c r="W67" s="53" t="s">
        <v>437</v>
      </c>
      <c r="X67" s="52" t="s">
        <v>764</v>
      </c>
      <c r="Y67" s="53" t="s">
        <v>721</v>
      </c>
      <c r="Z67" s="52" t="s">
        <v>768</v>
      </c>
      <c r="AA67" s="53" t="s">
        <v>715</v>
      </c>
      <c r="AB67" s="52" t="s">
        <v>772</v>
      </c>
      <c r="AC67" s="53" t="s">
        <v>758</v>
      </c>
      <c r="AD67" s="52" t="s">
        <v>776</v>
      </c>
      <c r="AE67" s="63"/>
      <c r="AF67" s="63"/>
    </row>
    <row r="68" spans="1:32" x14ac:dyDescent="0.25">
      <c r="B68" s="70" t="s">
        <v>488</v>
      </c>
      <c r="C68" s="70">
        <v>15</v>
      </c>
      <c r="D68" s="70">
        <v>12</v>
      </c>
      <c r="E68" s="70">
        <v>10</v>
      </c>
      <c r="F68" s="70">
        <v>2</v>
      </c>
      <c r="G68" s="70">
        <v>3</v>
      </c>
      <c r="H68" s="70">
        <v>11</v>
      </c>
      <c r="K68" s="70" t="s">
        <v>488</v>
      </c>
      <c r="L68" s="70">
        <f t="shared" si="47"/>
        <v>75</v>
      </c>
      <c r="M68" s="70">
        <f t="shared" si="50"/>
        <v>12</v>
      </c>
      <c r="N68" s="70">
        <f t="shared" si="48"/>
        <v>10</v>
      </c>
      <c r="O68" s="70">
        <f t="shared" si="48"/>
        <v>2</v>
      </c>
      <c r="P68" s="70">
        <f t="shared" si="48"/>
        <v>3</v>
      </c>
      <c r="Q68" s="70">
        <f t="shared" si="49"/>
        <v>55</v>
      </c>
      <c r="T68" s="63"/>
      <c r="U68" s="53" t="s">
        <v>439</v>
      </c>
      <c r="V68" s="52" t="s">
        <v>510</v>
      </c>
      <c r="W68" s="53" t="s">
        <v>439</v>
      </c>
      <c r="X68" s="52" t="s">
        <v>765</v>
      </c>
      <c r="Y68" s="53" t="s">
        <v>439</v>
      </c>
      <c r="Z68" s="52" t="s">
        <v>769</v>
      </c>
      <c r="AA68" s="53" t="s">
        <v>439</v>
      </c>
      <c r="AB68" s="52" t="s">
        <v>773</v>
      </c>
      <c r="AC68" s="53" t="s">
        <v>439</v>
      </c>
      <c r="AD68" s="52" t="s">
        <v>777</v>
      </c>
      <c r="AE68" s="63"/>
      <c r="AF68" s="63"/>
    </row>
    <row r="69" spans="1:32" x14ac:dyDescent="0.25">
      <c r="C69" s="70">
        <f>SUM(C65:C68)</f>
        <v>63</v>
      </c>
      <c r="D69" s="70">
        <v>33</v>
      </c>
      <c r="E69" s="70">
        <f>SUM(E65:E68)</f>
        <v>25</v>
      </c>
      <c r="F69" s="70">
        <f>SUM(F65:F68)</f>
        <v>15</v>
      </c>
      <c r="G69" s="70">
        <f>SUM(G65:G68)</f>
        <v>8</v>
      </c>
      <c r="H69" s="70">
        <f>SUM(H65:H68)</f>
        <v>37</v>
      </c>
      <c r="I69" s="70">
        <f>SUM(C69:H69)</f>
        <v>181</v>
      </c>
      <c r="L69" s="70">
        <f>SUM(L65:L68)</f>
        <v>315</v>
      </c>
      <c r="M69" s="70">
        <f t="shared" si="50"/>
        <v>33</v>
      </c>
      <c r="N69" s="70">
        <f t="shared" si="48"/>
        <v>25</v>
      </c>
      <c r="O69" s="70">
        <f t="shared" si="48"/>
        <v>15</v>
      </c>
      <c r="P69" s="70">
        <f t="shared" si="48"/>
        <v>8</v>
      </c>
      <c r="Q69" s="70">
        <f>SUM(Q65:Q68)</f>
        <v>185</v>
      </c>
      <c r="R69" s="70">
        <f>SUM(L69:Q69)</f>
        <v>581</v>
      </c>
      <c r="T69" s="63"/>
      <c r="U69" s="53" t="s">
        <v>462</v>
      </c>
      <c r="V69" s="52">
        <v>0.91749999999999998</v>
      </c>
      <c r="W69" s="53" t="s">
        <v>441</v>
      </c>
      <c r="X69" s="52">
        <v>0.65759999999999996</v>
      </c>
      <c r="Y69" s="53" t="s">
        <v>441</v>
      </c>
      <c r="Z69" s="52">
        <v>0.32890000000000003</v>
      </c>
      <c r="AA69" s="53" t="s">
        <v>441</v>
      </c>
      <c r="AB69" s="52">
        <v>0.78139999999999998</v>
      </c>
      <c r="AC69" s="53" t="s">
        <v>441</v>
      </c>
      <c r="AD69" s="52">
        <v>0.93169999999999997</v>
      </c>
      <c r="AE69" s="63"/>
      <c r="AF69" s="63"/>
    </row>
    <row r="70" spans="1:32" x14ac:dyDescent="0.25">
      <c r="C70" s="70">
        <f>C69/I69%</f>
        <v>34.806629834254146</v>
      </c>
      <c r="D70" s="70">
        <f>D69/$I69 %</f>
        <v>18.232044198895029</v>
      </c>
      <c r="E70" s="70">
        <f>E69/$I69 %</f>
        <v>13.812154696132596</v>
      </c>
      <c r="F70" s="70">
        <f>F69/$I69 %</f>
        <v>8.2872928176795586</v>
      </c>
      <c r="G70" s="70">
        <f>G69/$I69 %</f>
        <v>4.4198895027624312</v>
      </c>
      <c r="H70" s="70">
        <f>H69/$I69 %</f>
        <v>20.441988950276244</v>
      </c>
      <c r="L70" s="70">
        <f t="shared" ref="L70:Q70" si="51">L69/$R69 %</f>
        <v>54.216867469879524</v>
      </c>
      <c r="M70" s="70">
        <f t="shared" si="51"/>
        <v>5.6798623063683307</v>
      </c>
      <c r="N70" s="70">
        <f t="shared" si="51"/>
        <v>4.3029259896729783</v>
      </c>
      <c r="O70" s="70">
        <f t="shared" si="51"/>
        <v>2.5817555938037868</v>
      </c>
      <c r="P70" s="70">
        <f t="shared" si="51"/>
        <v>1.376936316695353</v>
      </c>
      <c r="Q70" s="70">
        <f t="shared" si="51"/>
        <v>31.841652323580035</v>
      </c>
      <c r="T70" s="63"/>
      <c r="U70" s="53"/>
      <c r="V70" s="52"/>
      <c r="W70" s="53"/>
      <c r="X70" s="52"/>
      <c r="Y70" s="53"/>
      <c r="Z70" s="52"/>
      <c r="AA70" s="53"/>
      <c r="AB70" s="52"/>
      <c r="AC70" s="53"/>
      <c r="AD70" s="52"/>
      <c r="AE70" s="63"/>
      <c r="AF70" s="63"/>
    </row>
    <row r="71" spans="1:32" x14ac:dyDescent="0.25">
      <c r="T71" s="63"/>
      <c r="U71" s="53" t="s">
        <v>463</v>
      </c>
      <c r="V71" s="52"/>
      <c r="W71" s="53" t="s">
        <v>442</v>
      </c>
      <c r="X71" s="52"/>
      <c r="Y71" s="53" t="s">
        <v>442</v>
      </c>
      <c r="Z71" s="52"/>
      <c r="AA71" s="53" t="s">
        <v>442</v>
      </c>
      <c r="AB71" s="52"/>
      <c r="AC71" s="53" t="s">
        <v>442</v>
      </c>
      <c r="AD71" s="52"/>
      <c r="AE71" s="63"/>
      <c r="AF71" s="63"/>
    </row>
    <row r="72" spans="1:32" x14ac:dyDescent="0.25">
      <c r="T72" s="63"/>
      <c r="U72" s="53" t="s">
        <v>464</v>
      </c>
      <c r="V72" s="52">
        <v>-0.35920000000000002</v>
      </c>
      <c r="W72" s="53" t="s">
        <v>443</v>
      </c>
      <c r="X72" s="52" t="s">
        <v>766</v>
      </c>
      <c r="Y72" s="53" t="s">
        <v>443</v>
      </c>
      <c r="Z72" s="52" t="s">
        <v>770</v>
      </c>
      <c r="AA72" s="53" t="s">
        <v>443</v>
      </c>
      <c r="AB72" s="52" t="s">
        <v>774</v>
      </c>
      <c r="AC72" s="53" t="s">
        <v>443</v>
      </c>
      <c r="AD72" s="52" t="s">
        <v>778</v>
      </c>
      <c r="AE72" s="63"/>
      <c r="AF72" s="63"/>
    </row>
    <row r="73" spans="1:32" x14ac:dyDescent="0.25">
      <c r="T73" s="63"/>
      <c r="U73" s="53" t="s">
        <v>465</v>
      </c>
      <c r="V73" s="52">
        <v>0.38300000000000001</v>
      </c>
      <c r="W73" s="53" t="s">
        <v>425</v>
      </c>
      <c r="X73" s="52">
        <v>0.70450000000000002</v>
      </c>
      <c r="Y73" s="53" t="s">
        <v>425</v>
      </c>
      <c r="Z73" s="52">
        <v>0.18</v>
      </c>
      <c r="AA73" s="53" t="s">
        <v>425</v>
      </c>
      <c r="AB73" s="52">
        <v>0.77029999999999998</v>
      </c>
      <c r="AC73" s="53" t="s">
        <v>425</v>
      </c>
      <c r="AD73" s="52">
        <v>0.2727</v>
      </c>
      <c r="AE73" s="63"/>
      <c r="AF73" s="63"/>
    </row>
    <row r="74" spans="1:32" x14ac:dyDescent="0.25">
      <c r="A74" s="70" t="s">
        <v>700</v>
      </c>
      <c r="B74" s="70" t="s">
        <v>483</v>
      </c>
      <c r="C74" s="70">
        <v>16</v>
      </c>
      <c r="D74" s="70">
        <v>9</v>
      </c>
      <c r="E74" s="70">
        <v>7</v>
      </c>
      <c r="F74" s="70">
        <v>5</v>
      </c>
      <c r="G74" s="70">
        <v>6</v>
      </c>
      <c r="H74" s="70">
        <v>10</v>
      </c>
      <c r="K74" s="70" t="s">
        <v>483</v>
      </c>
      <c r="L74" s="70">
        <f t="shared" ref="L74:L77" si="52">C74*5</f>
        <v>80</v>
      </c>
      <c r="M74" s="70">
        <f>D74</f>
        <v>9</v>
      </c>
      <c r="N74" s="70">
        <f t="shared" ref="N74:P78" si="53">E74</f>
        <v>7</v>
      </c>
      <c r="O74" s="70">
        <f t="shared" si="53"/>
        <v>5</v>
      </c>
      <c r="P74" s="70">
        <f t="shared" si="53"/>
        <v>6</v>
      </c>
      <c r="Q74" s="70">
        <f t="shared" ref="Q74:Q77" si="54">H74*5</f>
        <v>50</v>
      </c>
      <c r="T74" s="63"/>
      <c r="U74" s="53" t="s">
        <v>426</v>
      </c>
      <c r="V74" s="52" t="s">
        <v>445</v>
      </c>
      <c r="W74" s="53" t="s">
        <v>426</v>
      </c>
      <c r="X74" s="52" t="s">
        <v>445</v>
      </c>
      <c r="Y74" s="53" t="s">
        <v>426</v>
      </c>
      <c r="Z74" s="52" t="s">
        <v>445</v>
      </c>
      <c r="AA74" s="53" t="s">
        <v>426</v>
      </c>
      <c r="AB74" s="52" t="s">
        <v>445</v>
      </c>
      <c r="AC74" s="53" t="s">
        <v>426</v>
      </c>
      <c r="AD74" s="52" t="s">
        <v>445</v>
      </c>
      <c r="AE74" s="63"/>
      <c r="AF74" s="63"/>
    </row>
    <row r="75" spans="1:32" x14ac:dyDescent="0.25">
      <c r="B75" s="70" t="s">
        <v>485</v>
      </c>
      <c r="C75" s="70">
        <v>19</v>
      </c>
      <c r="D75" s="70">
        <v>12</v>
      </c>
      <c r="E75" s="70">
        <v>11</v>
      </c>
      <c r="F75" s="70">
        <v>3</v>
      </c>
      <c r="G75" s="70">
        <v>2</v>
      </c>
      <c r="H75" s="70">
        <v>4</v>
      </c>
      <c r="K75" s="70" t="s">
        <v>485</v>
      </c>
      <c r="L75" s="70">
        <f t="shared" si="52"/>
        <v>95</v>
      </c>
      <c r="M75" s="70">
        <f t="shared" ref="M75:M77" si="55">D75</f>
        <v>12</v>
      </c>
      <c r="N75" s="70">
        <f t="shared" si="53"/>
        <v>11</v>
      </c>
      <c r="O75" s="70">
        <f t="shared" si="53"/>
        <v>3</v>
      </c>
      <c r="P75" s="70">
        <f t="shared" si="53"/>
        <v>2</v>
      </c>
      <c r="Q75" s="70">
        <f t="shared" si="54"/>
        <v>20</v>
      </c>
      <c r="T75" s="63"/>
      <c r="W75" s="53" t="s">
        <v>428</v>
      </c>
      <c r="X75" s="52" t="s">
        <v>446</v>
      </c>
      <c r="Y75" s="53" t="s">
        <v>428</v>
      </c>
      <c r="Z75" s="52" t="s">
        <v>446</v>
      </c>
      <c r="AA75" s="53" t="s">
        <v>428</v>
      </c>
      <c r="AB75" s="52" t="s">
        <v>446</v>
      </c>
      <c r="AC75" s="53" t="s">
        <v>428</v>
      </c>
      <c r="AD75" s="52" t="s">
        <v>446</v>
      </c>
      <c r="AE75" s="63"/>
      <c r="AF75" s="63"/>
    </row>
    <row r="76" spans="1:32" x14ac:dyDescent="0.25">
      <c r="B76" s="70" t="s">
        <v>487</v>
      </c>
      <c r="C76" s="70">
        <v>18</v>
      </c>
      <c r="D76" s="70">
        <v>11</v>
      </c>
      <c r="E76" s="70">
        <v>9</v>
      </c>
      <c r="F76" s="70">
        <v>4</v>
      </c>
      <c r="G76" s="70">
        <v>4</v>
      </c>
      <c r="H76" s="70">
        <v>12</v>
      </c>
      <c r="K76" s="70" t="s">
        <v>487</v>
      </c>
      <c r="L76" s="70">
        <f t="shared" si="52"/>
        <v>90</v>
      </c>
      <c r="M76" s="70">
        <f t="shared" si="55"/>
        <v>11</v>
      </c>
      <c r="N76" s="70">
        <f t="shared" si="53"/>
        <v>9</v>
      </c>
      <c r="O76" s="70">
        <f t="shared" si="53"/>
        <v>4</v>
      </c>
      <c r="P76" s="70">
        <f t="shared" si="53"/>
        <v>4</v>
      </c>
      <c r="Q76" s="70">
        <f t="shared" si="54"/>
        <v>60</v>
      </c>
      <c r="T76" s="63"/>
      <c r="W76" s="53"/>
      <c r="X76" s="52"/>
      <c r="Y76" s="53"/>
      <c r="Z76" s="52"/>
      <c r="AA76" s="53"/>
      <c r="AB76" s="52"/>
      <c r="AC76" s="53"/>
      <c r="AD76" s="52"/>
      <c r="AE76" s="63"/>
      <c r="AF76" s="63"/>
    </row>
    <row r="77" spans="1:32" x14ac:dyDescent="0.25">
      <c r="B77" s="70" t="s">
        <v>488</v>
      </c>
      <c r="C77" s="70">
        <v>11</v>
      </c>
      <c r="D77" s="70">
        <v>7</v>
      </c>
      <c r="E77" s="70">
        <v>6</v>
      </c>
      <c r="F77" s="70">
        <v>1</v>
      </c>
      <c r="G77" s="70">
        <v>3</v>
      </c>
      <c r="H77" s="70">
        <v>9</v>
      </c>
      <c r="K77" s="70" t="s">
        <v>488</v>
      </c>
      <c r="L77" s="70">
        <f t="shared" si="52"/>
        <v>55</v>
      </c>
      <c r="M77" s="70">
        <f t="shared" si="55"/>
        <v>7</v>
      </c>
      <c r="N77" s="70">
        <f t="shared" si="53"/>
        <v>6</v>
      </c>
      <c r="O77" s="70">
        <f t="shared" si="53"/>
        <v>1</v>
      </c>
      <c r="P77" s="70">
        <f t="shared" si="53"/>
        <v>3</v>
      </c>
      <c r="Q77" s="70">
        <f t="shared" si="54"/>
        <v>45</v>
      </c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</row>
    <row r="78" spans="1:32" x14ac:dyDescent="0.25">
      <c r="C78" s="70">
        <f t="shared" ref="C78:H78" si="56">SUM(C74:C77)</f>
        <v>64</v>
      </c>
      <c r="D78" s="70">
        <f t="shared" si="56"/>
        <v>39</v>
      </c>
      <c r="E78" s="70">
        <f t="shared" si="56"/>
        <v>33</v>
      </c>
      <c r="F78" s="70">
        <f t="shared" si="56"/>
        <v>13</v>
      </c>
      <c r="G78" s="70">
        <f t="shared" si="56"/>
        <v>15</v>
      </c>
      <c r="H78" s="70">
        <f t="shared" si="56"/>
        <v>35</v>
      </c>
      <c r="I78" s="70">
        <f>SUM(C78:H78)</f>
        <v>199</v>
      </c>
      <c r="L78" s="70">
        <f>SUM(L74:L77)</f>
        <v>320</v>
      </c>
      <c r="M78" s="70">
        <f>D78</f>
        <v>39</v>
      </c>
      <c r="N78" s="70">
        <f t="shared" si="53"/>
        <v>33</v>
      </c>
      <c r="O78" s="70">
        <f t="shared" si="53"/>
        <v>13</v>
      </c>
      <c r="P78" s="70">
        <f t="shared" si="53"/>
        <v>15</v>
      </c>
      <c r="Q78" s="70">
        <f>SUM(Q74:Q77)</f>
        <v>175</v>
      </c>
      <c r="R78" s="70">
        <f>SUM(L78:Q78)</f>
        <v>595</v>
      </c>
      <c r="T78" s="63"/>
      <c r="U78" s="70" t="s">
        <v>491</v>
      </c>
      <c r="V78" s="70" t="s">
        <v>352</v>
      </c>
      <c r="W78" s="70" t="s">
        <v>347</v>
      </c>
      <c r="X78" s="70" t="s">
        <v>701</v>
      </c>
      <c r="Y78" s="70" t="s">
        <v>702</v>
      </c>
      <c r="Z78" s="70" t="s">
        <v>703</v>
      </c>
      <c r="AA78" s="70" t="s">
        <v>492</v>
      </c>
      <c r="AB78" s="70" t="s">
        <v>388</v>
      </c>
      <c r="AC78" s="70" t="s">
        <v>383</v>
      </c>
      <c r="AD78" s="70" t="s">
        <v>698</v>
      </c>
      <c r="AE78" s="70" t="s">
        <v>699</v>
      </c>
      <c r="AF78" s="70" t="s">
        <v>700</v>
      </c>
    </row>
    <row r="79" spans="1:32" x14ac:dyDescent="0.25">
      <c r="C79" s="70">
        <f>C78/I78%</f>
        <v>32.1608040201005</v>
      </c>
      <c r="D79" s="70">
        <f>D78/$I78 %</f>
        <v>19.597989949748744</v>
      </c>
      <c r="E79" s="70">
        <f>E78/$I78 %</f>
        <v>16.582914572864322</v>
      </c>
      <c r="F79" s="70">
        <f>F78/$I78 %</f>
        <v>6.5326633165829149</v>
      </c>
      <c r="G79" s="70">
        <f>G78/$I78 %</f>
        <v>7.5376884422110555</v>
      </c>
      <c r="H79" s="70">
        <f>H78/$I78 %</f>
        <v>17.587939698492463</v>
      </c>
      <c r="L79" s="70">
        <f t="shared" ref="L79:Q79" si="57">L78/$R78 %</f>
        <v>53.781512605042018</v>
      </c>
      <c r="M79" s="70">
        <f t="shared" si="57"/>
        <v>6.5546218487394956</v>
      </c>
      <c r="N79" s="70">
        <f t="shared" si="57"/>
        <v>5.5462184873949578</v>
      </c>
      <c r="O79" s="70">
        <f t="shared" si="57"/>
        <v>2.1848739495798317</v>
      </c>
      <c r="P79" s="70">
        <f t="shared" si="57"/>
        <v>2.5210084033613445</v>
      </c>
      <c r="Q79" s="70">
        <f t="shared" si="57"/>
        <v>29.411764705882351</v>
      </c>
      <c r="T79" s="70" t="s">
        <v>497</v>
      </c>
      <c r="U79" s="70">
        <v>35</v>
      </c>
      <c r="V79" s="70">
        <v>45</v>
      </c>
      <c r="W79" s="70">
        <v>34</v>
      </c>
      <c r="X79" s="70">
        <v>42</v>
      </c>
      <c r="Y79" s="70">
        <v>51</v>
      </c>
      <c r="Z79" s="70">
        <v>40</v>
      </c>
      <c r="AA79" s="70">
        <v>29</v>
      </c>
      <c r="AB79" s="70">
        <v>24</v>
      </c>
      <c r="AC79" s="70">
        <v>29</v>
      </c>
      <c r="AD79" s="70">
        <v>33</v>
      </c>
      <c r="AE79" s="70">
        <v>25</v>
      </c>
      <c r="AF79" s="70">
        <v>33</v>
      </c>
    </row>
    <row r="80" spans="1:32" x14ac:dyDescent="0.25">
      <c r="T80" s="70" t="s">
        <v>605</v>
      </c>
      <c r="U80" s="117" t="s">
        <v>606</v>
      </c>
      <c r="V80" s="118"/>
      <c r="W80" s="117" t="s">
        <v>704</v>
      </c>
      <c r="X80" s="118"/>
      <c r="Y80" s="117" t="s">
        <v>705</v>
      </c>
      <c r="Z80" s="118"/>
      <c r="AA80" s="117" t="s">
        <v>706</v>
      </c>
      <c r="AB80" s="118"/>
      <c r="AC80" s="117" t="s">
        <v>707</v>
      </c>
    </row>
    <row r="81" spans="1:32" x14ac:dyDescent="0.25">
      <c r="T81" s="63"/>
      <c r="U81" s="53" t="s">
        <v>684</v>
      </c>
      <c r="V81" s="52" t="s">
        <v>742</v>
      </c>
      <c r="W81" s="53" t="s">
        <v>419</v>
      </c>
      <c r="X81" s="52" t="s">
        <v>743</v>
      </c>
      <c r="Y81" s="53" t="s">
        <v>710</v>
      </c>
      <c r="Z81" s="52" t="s">
        <v>748</v>
      </c>
      <c r="AA81" s="53" t="s">
        <v>710</v>
      </c>
      <c r="AB81" s="52" t="s">
        <v>748</v>
      </c>
      <c r="AC81" s="53" t="s">
        <v>684</v>
      </c>
      <c r="AD81" s="52" t="s">
        <v>742</v>
      </c>
      <c r="AE81" s="63"/>
      <c r="AF81" s="63"/>
    </row>
    <row r="82" spans="1:32" x14ac:dyDescent="0.25">
      <c r="T82" s="63"/>
      <c r="U82" s="53" t="s">
        <v>421</v>
      </c>
      <c r="V82" s="52" t="s">
        <v>421</v>
      </c>
      <c r="W82" s="53" t="s">
        <v>421</v>
      </c>
      <c r="X82" s="52" t="s">
        <v>421</v>
      </c>
      <c r="Y82" s="53" t="s">
        <v>421</v>
      </c>
      <c r="Z82" s="52" t="s">
        <v>421</v>
      </c>
      <c r="AA82" s="53" t="s">
        <v>421</v>
      </c>
      <c r="AB82" s="52" t="s">
        <v>421</v>
      </c>
      <c r="AC82" s="53" t="s">
        <v>421</v>
      </c>
      <c r="AD82" s="52" t="s">
        <v>421</v>
      </c>
      <c r="AE82" s="63"/>
      <c r="AF82" s="63"/>
    </row>
    <row r="83" spans="1:32" x14ac:dyDescent="0.25">
      <c r="A83" s="70" t="s">
        <v>709</v>
      </c>
      <c r="B83" s="70" t="s">
        <v>483</v>
      </c>
      <c r="C83" s="70">
        <v>22</v>
      </c>
      <c r="D83" s="70">
        <v>12</v>
      </c>
      <c r="E83" s="70">
        <v>10</v>
      </c>
      <c r="F83" s="70">
        <v>8</v>
      </c>
      <c r="G83" s="70">
        <v>6</v>
      </c>
      <c r="H83" s="70">
        <v>4</v>
      </c>
      <c r="K83" s="70" t="s">
        <v>483</v>
      </c>
      <c r="L83" s="70">
        <f t="shared" ref="L83:L86" si="58">C83*5</f>
        <v>110</v>
      </c>
      <c r="M83" s="70">
        <f>D83</f>
        <v>12</v>
      </c>
      <c r="N83" s="70">
        <f t="shared" ref="N83:P86" si="59">E83</f>
        <v>10</v>
      </c>
      <c r="O83" s="70">
        <f t="shared" si="59"/>
        <v>8</v>
      </c>
      <c r="P83" s="70">
        <f t="shared" si="59"/>
        <v>6</v>
      </c>
      <c r="Q83" s="70">
        <f t="shared" ref="Q83:Q86" si="60">H83*5</f>
        <v>20</v>
      </c>
      <c r="T83" s="63"/>
      <c r="U83" s="53" t="s">
        <v>422</v>
      </c>
      <c r="V83" s="52" t="s">
        <v>412</v>
      </c>
      <c r="W83" s="53" t="s">
        <v>422</v>
      </c>
      <c r="X83" s="52" t="s">
        <v>412</v>
      </c>
      <c r="Y83" s="53" t="s">
        <v>684</v>
      </c>
      <c r="Z83" s="52" t="s">
        <v>742</v>
      </c>
      <c r="AA83" s="53" t="s">
        <v>419</v>
      </c>
      <c r="AB83" s="52" t="s">
        <v>743</v>
      </c>
      <c r="AC83" s="53" t="s">
        <v>419</v>
      </c>
      <c r="AD83" s="52" t="s">
        <v>743</v>
      </c>
      <c r="AE83" s="63"/>
      <c r="AF83" s="63"/>
    </row>
    <row r="84" spans="1:32" x14ac:dyDescent="0.25">
      <c r="B84" s="70" t="s">
        <v>485</v>
      </c>
      <c r="C84" s="70">
        <v>19</v>
      </c>
      <c r="D84" s="70">
        <v>18</v>
      </c>
      <c r="E84" s="70">
        <v>11</v>
      </c>
      <c r="F84" s="70">
        <v>6</v>
      </c>
      <c r="G84" s="70">
        <v>8</v>
      </c>
      <c r="H84" s="70">
        <v>2</v>
      </c>
      <c r="K84" s="70" t="s">
        <v>485</v>
      </c>
      <c r="L84" s="70">
        <f t="shared" si="58"/>
        <v>95</v>
      </c>
      <c r="M84" s="70">
        <f t="shared" ref="M84:M86" si="61">D84</f>
        <v>18</v>
      </c>
      <c r="N84" s="70">
        <f t="shared" si="59"/>
        <v>11</v>
      </c>
      <c r="O84" s="70">
        <f t="shared" si="59"/>
        <v>6</v>
      </c>
      <c r="P84" s="70">
        <f t="shared" si="59"/>
        <v>8</v>
      </c>
      <c r="Q84" s="70">
        <f t="shared" si="60"/>
        <v>10</v>
      </c>
      <c r="T84" s="63"/>
      <c r="U84" s="53"/>
      <c r="V84" s="52"/>
      <c r="W84" s="53"/>
      <c r="X84" s="52"/>
      <c r="Y84" s="53"/>
      <c r="Z84" s="52"/>
      <c r="AA84" s="53"/>
      <c r="AB84" s="52"/>
      <c r="AC84" s="53"/>
      <c r="AD84" s="52"/>
      <c r="AE84" s="63"/>
      <c r="AF84" s="63"/>
    </row>
    <row r="85" spans="1:32" x14ac:dyDescent="0.25">
      <c r="B85" s="70" t="s">
        <v>487</v>
      </c>
      <c r="C85" s="70">
        <v>18</v>
      </c>
      <c r="D85" s="70">
        <v>15</v>
      </c>
      <c r="E85" s="70">
        <v>12</v>
      </c>
      <c r="F85" s="70">
        <v>7</v>
      </c>
      <c r="G85" s="70">
        <v>2</v>
      </c>
      <c r="H85" s="70">
        <v>5</v>
      </c>
      <c r="K85" s="70" t="s">
        <v>487</v>
      </c>
      <c r="L85" s="70">
        <f t="shared" si="58"/>
        <v>90</v>
      </c>
      <c r="M85" s="70">
        <f t="shared" si="61"/>
        <v>15</v>
      </c>
      <c r="N85" s="70">
        <f t="shared" si="59"/>
        <v>12</v>
      </c>
      <c r="O85" s="70">
        <f t="shared" si="59"/>
        <v>7</v>
      </c>
      <c r="P85" s="70">
        <f t="shared" si="59"/>
        <v>2</v>
      </c>
      <c r="Q85" s="70">
        <f t="shared" si="60"/>
        <v>25</v>
      </c>
      <c r="T85" s="63"/>
      <c r="U85" s="53" t="s">
        <v>455</v>
      </c>
      <c r="V85" s="52"/>
      <c r="W85" s="53" t="s">
        <v>424</v>
      </c>
      <c r="X85" s="52"/>
      <c r="Y85" s="53" t="s">
        <v>424</v>
      </c>
      <c r="Z85" s="52"/>
      <c r="AA85" s="53" t="s">
        <v>424</v>
      </c>
      <c r="AB85" s="52"/>
      <c r="AC85" s="53" t="s">
        <v>424</v>
      </c>
      <c r="AD85" s="52"/>
      <c r="AE85" s="63"/>
      <c r="AF85" s="63"/>
    </row>
    <row r="86" spans="1:32" x14ac:dyDescent="0.25">
      <c r="C86" s="70">
        <v>23</v>
      </c>
      <c r="D86" s="70">
        <v>11</v>
      </c>
      <c r="E86" s="70">
        <v>9</v>
      </c>
      <c r="F86" s="70">
        <v>10</v>
      </c>
      <c r="G86" s="70">
        <v>5</v>
      </c>
      <c r="H86" s="70">
        <v>3</v>
      </c>
      <c r="L86" s="70">
        <f t="shared" si="58"/>
        <v>115</v>
      </c>
      <c r="M86" s="70">
        <f t="shared" si="61"/>
        <v>11</v>
      </c>
      <c r="N86" s="70">
        <f t="shared" si="59"/>
        <v>9</v>
      </c>
      <c r="O86" s="70">
        <f t="shared" si="59"/>
        <v>10</v>
      </c>
      <c r="P86" s="70">
        <f t="shared" si="59"/>
        <v>5</v>
      </c>
      <c r="Q86" s="70">
        <f t="shared" si="60"/>
        <v>15</v>
      </c>
      <c r="T86" s="63"/>
      <c r="U86" s="53" t="s">
        <v>425</v>
      </c>
      <c r="V86" s="52">
        <v>0.1754</v>
      </c>
      <c r="W86" s="53" t="s">
        <v>425</v>
      </c>
      <c r="X86" s="52">
        <v>0.13189999999999999</v>
      </c>
      <c r="Y86" s="53" t="s">
        <v>425</v>
      </c>
      <c r="Z86" s="52">
        <v>0.39410000000000001</v>
      </c>
      <c r="AA86" s="53" t="s">
        <v>425</v>
      </c>
      <c r="AB86" s="52">
        <v>1.5699999999999999E-2</v>
      </c>
      <c r="AC86" s="53" t="s">
        <v>425</v>
      </c>
      <c r="AD86" s="52">
        <v>5.4000000000000003E-3</v>
      </c>
      <c r="AE86" s="63"/>
      <c r="AF86" s="63"/>
    </row>
    <row r="87" spans="1:32" x14ac:dyDescent="0.25">
      <c r="C87" s="70">
        <f>SUM(C83:C86)</f>
        <v>82</v>
      </c>
      <c r="D87" s="70">
        <f t="shared" ref="D87:H87" si="62">SUM(D83:D86)</f>
        <v>56</v>
      </c>
      <c r="E87" s="70">
        <f t="shared" si="62"/>
        <v>42</v>
      </c>
      <c r="F87" s="70">
        <f t="shared" si="62"/>
        <v>31</v>
      </c>
      <c r="G87" s="70">
        <f t="shared" si="62"/>
        <v>21</v>
      </c>
      <c r="H87" s="70">
        <f t="shared" si="62"/>
        <v>14</v>
      </c>
      <c r="I87" s="70">
        <f>SUM(C87:H87)</f>
        <v>246</v>
      </c>
      <c r="L87" s="70">
        <f>SUM(L83:L86)</f>
        <v>410</v>
      </c>
      <c r="M87" s="70">
        <f t="shared" ref="M87:Q87" si="63">SUM(M83:M86)</f>
        <v>56</v>
      </c>
      <c r="N87" s="70">
        <f t="shared" si="63"/>
        <v>42</v>
      </c>
      <c r="O87" s="70">
        <f t="shared" si="63"/>
        <v>31</v>
      </c>
      <c r="P87" s="70">
        <f t="shared" si="63"/>
        <v>21</v>
      </c>
      <c r="Q87" s="70">
        <f t="shared" si="63"/>
        <v>70</v>
      </c>
      <c r="R87" s="70">
        <f>SUM(L87:Q87)</f>
        <v>630</v>
      </c>
      <c r="T87" s="63"/>
      <c r="U87" s="53" t="s">
        <v>426</v>
      </c>
      <c r="V87" s="52" t="s">
        <v>445</v>
      </c>
      <c r="W87" s="53" t="s">
        <v>426</v>
      </c>
      <c r="X87" s="52" t="s">
        <v>445</v>
      </c>
      <c r="Y87" s="53" t="s">
        <v>426</v>
      </c>
      <c r="Z87" s="52" t="s">
        <v>445</v>
      </c>
      <c r="AA87" s="53" t="s">
        <v>426</v>
      </c>
      <c r="AB87" s="52" t="s">
        <v>508</v>
      </c>
      <c r="AC87" s="53" t="s">
        <v>426</v>
      </c>
      <c r="AD87" s="52" t="s">
        <v>427</v>
      </c>
      <c r="AE87" s="63"/>
      <c r="AF87" s="63"/>
    </row>
    <row r="88" spans="1:32" x14ac:dyDescent="0.25">
      <c r="C88" s="70">
        <f>C87/I87%</f>
        <v>33.333333333333336</v>
      </c>
      <c r="D88" s="70">
        <f>D87/$I87 %</f>
        <v>22.764227642276424</v>
      </c>
      <c r="E88" s="70">
        <f>E87/$I87 %</f>
        <v>17.073170731707318</v>
      </c>
      <c r="F88" s="70">
        <f>F87/$I87 %</f>
        <v>12.601626016260163</v>
      </c>
      <c r="G88" s="70">
        <f>G87/$I87 %</f>
        <v>8.536585365853659</v>
      </c>
      <c r="H88" s="70">
        <f>H87/$I87 %</f>
        <v>5.691056910569106</v>
      </c>
      <c r="L88" s="70">
        <f>L87/$R87 %</f>
        <v>65.079365079365076</v>
      </c>
      <c r="M88" s="70">
        <f>M87/$R87 %</f>
        <v>8.8888888888888893</v>
      </c>
      <c r="N88" s="70">
        <f>N87/$R87 %</f>
        <v>6.666666666666667</v>
      </c>
      <c r="O88" s="70">
        <f>F88*1</f>
        <v>12.601626016260163</v>
      </c>
      <c r="P88" s="70">
        <f>P87/$R87 %</f>
        <v>3.3333333333333335</v>
      </c>
      <c r="Q88" s="70">
        <f>Q87/$R87 %</f>
        <v>11.111111111111111</v>
      </c>
      <c r="T88" s="63"/>
      <c r="U88" s="53" t="s">
        <v>428</v>
      </c>
      <c r="V88" s="52" t="s">
        <v>446</v>
      </c>
      <c r="W88" s="53" t="s">
        <v>428</v>
      </c>
      <c r="X88" s="52" t="s">
        <v>446</v>
      </c>
      <c r="Y88" s="53" t="s">
        <v>428</v>
      </c>
      <c r="Z88" s="52" t="s">
        <v>446</v>
      </c>
      <c r="AA88" s="53" t="s">
        <v>428</v>
      </c>
      <c r="AB88" s="52" t="s">
        <v>429</v>
      </c>
      <c r="AC88" s="53" t="s">
        <v>428</v>
      </c>
      <c r="AD88" s="52" t="s">
        <v>429</v>
      </c>
      <c r="AE88" s="63"/>
      <c r="AF88" s="63"/>
    </row>
    <row r="89" spans="1:32" x14ac:dyDescent="0.25">
      <c r="T89" s="63"/>
      <c r="U89" s="53" t="s">
        <v>430</v>
      </c>
      <c r="V89" s="52" t="s">
        <v>431</v>
      </c>
      <c r="W89" s="53" t="s">
        <v>430</v>
      </c>
      <c r="X89" s="52" t="s">
        <v>572</v>
      </c>
      <c r="Y89" s="53" t="s">
        <v>430</v>
      </c>
      <c r="Z89" s="52" t="s">
        <v>431</v>
      </c>
      <c r="AA89" s="53" t="s">
        <v>430</v>
      </c>
      <c r="AB89" s="52" t="s">
        <v>572</v>
      </c>
      <c r="AC89" s="53" t="s">
        <v>430</v>
      </c>
      <c r="AD89" s="52" t="s">
        <v>572</v>
      </c>
      <c r="AE89" s="63"/>
      <c r="AF89" s="63"/>
    </row>
    <row r="90" spans="1:32" x14ac:dyDescent="0.25">
      <c r="T90" s="63"/>
      <c r="U90" s="53" t="s">
        <v>432</v>
      </c>
      <c r="V90" s="52" t="s">
        <v>511</v>
      </c>
      <c r="W90" s="53" t="s">
        <v>432</v>
      </c>
      <c r="X90" s="52" t="s">
        <v>779</v>
      </c>
      <c r="Y90" s="53" t="s">
        <v>432</v>
      </c>
      <c r="Z90" s="52" t="s">
        <v>783</v>
      </c>
      <c r="AA90" s="53" t="s">
        <v>432</v>
      </c>
      <c r="AB90" s="52" t="s">
        <v>787</v>
      </c>
      <c r="AC90" s="53" t="s">
        <v>432</v>
      </c>
      <c r="AD90" s="52" t="s">
        <v>791</v>
      </c>
      <c r="AE90" s="63"/>
      <c r="AF90" s="63"/>
    </row>
    <row r="91" spans="1:32" x14ac:dyDescent="0.25">
      <c r="T91" s="63"/>
      <c r="U91" s="53"/>
      <c r="V91" s="52"/>
      <c r="W91" s="53"/>
      <c r="X91" s="52"/>
      <c r="Y91" s="53"/>
      <c r="Z91" s="52"/>
      <c r="AA91" s="53"/>
      <c r="AB91" s="52"/>
      <c r="AC91" s="53"/>
      <c r="AD91" s="52"/>
      <c r="AE91" s="63"/>
      <c r="AF91" s="63"/>
    </row>
    <row r="92" spans="1:32" x14ac:dyDescent="0.25">
      <c r="A92" s="70" t="s">
        <v>702</v>
      </c>
      <c r="B92" s="70" t="s">
        <v>483</v>
      </c>
      <c r="C92" s="70">
        <v>23</v>
      </c>
      <c r="D92" s="70">
        <v>16</v>
      </c>
      <c r="E92" s="70">
        <v>13</v>
      </c>
      <c r="F92" s="70">
        <v>9</v>
      </c>
      <c r="G92" s="70">
        <v>7</v>
      </c>
      <c r="H92" s="70">
        <v>5</v>
      </c>
      <c r="K92" s="70" t="s">
        <v>483</v>
      </c>
      <c r="L92" s="70">
        <f t="shared" ref="L92:L95" si="64">C92*5</f>
        <v>115</v>
      </c>
      <c r="M92" s="70">
        <f>D92</f>
        <v>16</v>
      </c>
      <c r="N92" s="70">
        <f t="shared" ref="N92:P95" si="65">E92</f>
        <v>13</v>
      </c>
      <c r="O92" s="70">
        <f t="shared" si="65"/>
        <v>9</v>
      </c>
      <c r="P92" s="70">
        <f t="shared" si="65"/>
        <v>7</v>
      </c>
      <c r="Q92" s="70">
        <f t="shared" ref="Q92:Q95" si="66">H92*5</f>
        <v>25</v>
      </c>
      <c r="T92" s="63"/>
      <c r="U92" s="53" t="s">
        <v>434</v>
      </c>
      <c r="V92" s="52"/>
      <c r="W92" s="53" t="s">
        <v>434</v>
      </c>
      <c r="X92" s="52"/>
      <c r="Y92" s="53" t="s">
        <v>434</v>
      </c>
      <c r="Z92" s="52"/>
      <c r="AA92" s="53" t="s">
        <v>434</v>
      </c>
      <c r="AB92" s="52"/>
      <c r="AC92" s="53" t="s">
        <v>434</v>
      </c>
      <c r="AD92" s="52"/>
      <c r="AE92" s="63"/>
      <c r="AF92" s="63"/>
    </row>
    <row r="93" spans="1:32" x14ac:dyDescent="0.25">
      <c r="B93" s="70" t="s">
        <v>485</v>
      </c>
      <c r="C93" s="70">
        <v>19</v>
      </c>
      <c r="D93" s="70">
        <v>12</v>
      </c>
      <c r="E93" s="70">
        <v>15</v>
      </c>
      <c r="F93" s="70">
        <v>4</v>
      </c>
      <c r="G93" s="70">
        <v>2</v>
      </c>
      <c r="H93" s="70">
        <v>3</v>
      </c>
      <c r="K93" s="70" t="s">
        <v>485</v>
      </c>
      <c r="L93" s="70">
        <f t="shared" si="64"/>
        <v>95</v>
      </c>
      <c r="M93" s="70">
        <f t="shared" ref="M93:M95" si="67">D93</f>
        <v>12</v>
      </c>
      <c r="N93" s="70">
        <f t="shared" si="65"/>
        <v>15</v>
      </c>
      <c r="O93" s="70">
        <f t="shared" si="65"/>
        <v>4</v>
      </c>
      <c r="P93" s="70">
        <f t="shared" si="65"/>
        <v>2</v>
      </c>
      <c r="Q93" s="70">
        <f t="shared" si="66"/>
        <v>15</v>
      </c>
      <c r="T93" s="63"/>
      <c r="U93" s="53" t="s">
        <v>458</v>
      </c>
      <c r="V93" s="52">
        <v>-10.67</v>
      </c>
      <c r="W93" s="53" t="s">
        <v>435</v>
      </c>
      <c r="X93" s="52">
        <v>38</v>
      </c>
      <c r="Y93" s="53" t="s">
        <v>687</v>
      </c>
      <c r="Z93" s="52">
        <v>27.33</v>
      </c>
      <c r="AA93" s="53" t="s">
        <v>436</v>
      </c>
      <c r="AB93" s="52">
        <v>44.33</v>
      </c>
      <c r="AC93" s="53" t="s">
        <v>436</v>
      </c>
      <c r="AD93" s="52">
        <v>44.33</v>
      </c>
      <c r="AE93" s="63"/>
      <c r="AF93" s="63"/>
    </row>
    <row r="94" spans="1:32" x14ac:dyDescent="0.25">
      <c r="B94" s="70" t="s">
        <v>487</v>
      </c>
      <c r="C94" s="70">
        <v>18</v>
      </c>
      <c r="D94" s="70">
        <v>10</v>
      </c>
      <c r="E94" s="70">
        <v>12</v>
      </c>
      <c r="F94" s="70">
        <v>11</v>
      </c>
      <c r="G94" s="70">
        <v>6</v>
      </c>
      <c r="H94" s="70">
        <v>5</v>
      </c>
      <c r="K94" s="70" t="s">
        <v>487</v>
      </c>
      <c r="L94" s="70">
        <f t="shared" si="64"/>
        <v>90</v>
      </c>
      <c r="M94" s="70">
        <f t="shared" si="67"/>
        <v>10</v>
      </c>
      <c r="N94" s="70">
        <f t="shared" si="65"/>
        <v>12</v>
      </c>
      <c r="O94" s="70">
        <f t="shared" si="65"/>
        <v>11</v>
      </c>
      <c r="P94" s="70">
        <f t="shared" si="65"/>
        <v>6</v>
      </c>
      <c r="Q94" s="70">
        <f t="shared" si="66"/>
        <v>25</v>
      </c>
      <c r="T94" s="63"/>
      <c r="U94" s="53" t="s">
        <v>459</v>
      </c>
      <c r="V94" s="52">
        <v>8.9629999999999992</v>
      </c>
      <c r="W94" s="53" t="s">
        <v>436</v>
      </c>
      <c r="X94" s="52">
        <v>44.33</v>
      </c>
      <c r="Y94" s="53" t="s">
        <v>714</v>
      </c>
      <c r="Z94" s="52">
        <v>30.33</v>
      </c>
      <c r="AA94" s="53" t="s">
        <v>714</v>
      </c>
      <c r="AB94" s="52">
        <v>30.33</v>
      </c>
      <c r="AC94" s="53" t="s">
        <v>687</v>
      </c>
      <c r="AD94" s="52">
        <v>27.33</v>
      </c>
      <c r="AE94" s="63"/>
      <c r="AF94" s="63"/>
    </row>
    <row r="95" spans="1:32" x14ac:dyDescent="0.25">
      <c r="B95" s="70" t="s">
        <v>488</v>
      </c>
      <c r="C95" s="70">
        <v>26</v>
      </c>
      <c r="D95" s="70">
        <v>11</v>
      </c>
      <c r="E95" s="70">
        <v>11</v>
      </c>
      <c r="F95" s="70">
        <v>7</v>
      </c>
      <c r="G95" s="70">
        <v>3</v>
      </c>
      <c r="H95" s="70">
        <v>2</v>
      </c>
      <c r="K95" s="70" t="s">
        <v>488</v>
      </c>
      <c r="L95" s="70">
        <f t="shared" si="64"/>
        <v>130</v>
      </c>
      <c r="M95" s="70">
        <f t="shared" si="67"/>
        <v>11</v>
      </c>
      <c r="N95" s="70">
        <f t="shared" si="65"/>
        <v>11</v>
      </c>
      <c r="O95" s="70">
        <f t="shared" si="65"/>
        <v>7</v>
      </c>
      <c r="P95" s="70">
        <f t="shared" si="65"/>
        <v>3</v>
      </c>
      <c r="Q95" s="70">
        <f t="shared" si="66"/>
        <v>10</v>
      </c>
      <c r="T95" s="63"/>
      <c r="U95" s="53" t="s">
        <v>460</v>
      </c>
      <c r="V95" s="52">
        <v>5.1749999999999998</v>
      </c>
      <c r="W95" s="53" t="s">
        <v>437</v>
      </c>
      <c r="X95" s="52" t="s">
        <v>780</v>
      </c>
      <c r="Y95" s="53" t="s">
        <v>721</v>
      </c>
      <c r="Z95" s="52" t="s">
        <v>784</v>
      </c>
      <c r="AA95" s="53" t="s">
        <v>715</v>
      </c>
      <c r="AB95" s="52" t="s">
        <v>788</v>
      </c>
      <c r="AC95" s="53" t="s">
        <v>758</v>
      </c>
      <c r="AD95" s="52" t="s">
        <v>792</v>
      </c>
      <c r="AE95" s="63"/>
      <c r="AF95" s="63"/>
    </row>
    <row r="96" spans="1:32" x14ac:dyDescent="0.25">
      <c r="C96" s="70">
        <f t="shared" ref="C96:H96" si="68">SUM(C92:C95)</f>
        <v>86</v>
      </c>
      <c r="D96" s="70">
        <f t="shared" si="68"/>
        <v>49</v>
      </c>
      <c r="E96" s="70">
        <f t="shared" si="68"/>
        <v>51</v>
      </c>
      <c r="F96" s="70">
        <f t="shared" si="68"/>
        <v>31</v>
      </c>
      <c r="G96" s="70">
        <f t="shared" si="68"/>
        <v>18</v>
      </c>
      <c r="H96" s="70">
        <f t="shared" si="68"/>
        <v>15</v>
      </c>
      <c r="I96" s="70">
        <f>SUM(C96:H96)</f>
        <v>250</v>
      </c>
      <c r="L96" s="70">
        <f>SUM(L92:L95)</f>
        <v>430</v>
      </c>
      <c r="M96" s="70">
        <f>SUM(M92:M95)</f>
        <v>49</v>
      </c>
      <c r="N96" s="70">
        <f>SUM(N92:N95)</f>
        <v>51</v>
      </c>
      <c r="O96" s="70">
        <f>F96*1</f>
        <v>31</v>
      </c>
      <c r="P96" s="70">
        <f>SUM(P92:P95)</f>
        <v>18</v>
      </c>
      <c r="Q96" s="70">
        <f>SUM(Q92:Q95)</f>
        <v>75</v>
      </c>
      <c r="R96" s="70">
        <f>SUM(L96:Q96)</f>
        <v>654</v>
      </c>
      <c r="T96" s="63"/>
      <c r="U96" s="53" t="s">
        <v>439</v>
      </c>
      <c r="V96" s="52" t="s">
        <v>512</v>
      </c>
      <c r="W96" s="53" t="s">
        <v>439</v>
      </c>
      <c r="X96" s="52" t="s">
        <v>781</v>
      </c>
      <c r="Y96" s="53" t="s">
        <v>439</v>
      </c>
      <c r="Z96" s="52" t="s">
        <v>785</v>
      </c>
      <c r="AA96" s="53" t="s">
        <v>439</v>
      </c>
      <c r="AB96" s="52" t="s">
        <v>789</v>
      </c>
      <c r="AC96" s="53" t="s">
        <v>439</v>
      </c>
      <c r="AD96" s="52" t="s">
        <v>793</v>
      </c>
      <c r="AE96" s="63"/>
      <c r="AF96" s="63"/>
    </row>
    <row r="97" spans="1:32" x14ac:dyDescent="0.25">
      <c r="C97" s="70">
        <f>C96/I96%</f>
        <v>34.4</v>
      </c>
      <c r="D97" s="70">
        <f>D96/$I96 %</f>
        <v>19.600000000000001</v>
      </c>
      <c r="E97" s="70">
        <f>E96/$I96 %</f>
        <v>20.399999999999999</v>
      </c>
      <c r="F97" s="70">
        <f>F96/$I96 %</f>
        <v>12.4</v>
      </c>
      <c r="G97" s="70">
        <f>G96/$I96 %</f>
        <v>7.2</v>
      </c>
      <c r="H97" s="70">
        <f>H96/$I96 %</f>
        <v>6</v>
      </c>
      <c r="L97" s="70">
        <f t="shared" ref="L97:Q97" si="69">L96/$R96 %</f>
        <v>65.749235474006113</v>
      </c>
      <c r="M97" s="70">
        <f t="shared" si="69"/>
        <v>7.4923547400611623</v>
      </c>
      <c r="N97" s="70">
        <f t="shared" si="69"/>
        <v>7.7981651376146788</v>
      </c>
      <c r="O97" s="70">
        <f t="shared" si="69"/>
        <v>4.7400611620795106</v>
      </c>
      <c r="P97" s="70">
        <f t="shared" si="69"/>
        <v>2.7522935779816513</v>
      </c>
      <c r="Q97" s="70">
        <f t="shared" si="69"/>
        <v>11.467889908256881</v>
      </c>
      <c r="T97" s="63"/>
      <c r="U97" s="53" t="s">
        <v>462</v>
      </c>
      <c r="V97" s="52">
        <v>0.67989999999999995</v>
      </c>
      <c r="W97" s="53" t="s">
        <v>441</v>
      </c>
      <c r="X97" s="52">
        <v>0.29659999999999997</v>
      </c>
      <c r="Y97" s="53" t="s">
        <v>441</v>
      </c>
      <c r="Z97" s="52">
        <v>0.18540000000000001</v>
      </c>
      <c r="AA97" s="53" t="s">
        <v>441</v>
      </c>
      <c r="AB97" s="52">
        <v>0.72529999999999994</v>
      </c>
      <c r="AC97" s="53" t="s">
        <v>441</v>
      </c>
      <c r="AD97" s="52">
        <v>0.83550000000000002</v>
      </c>
      <c r="AE97" s="63"/>
      <c r="AF97" s="63"/>
    </row>
    <row r="98" spans="1:32" x14ac:dyDescent="0.25">
      <c r="T98" s="63"/>
      <c r="U98" s="53"/>
      <c r="V98" s="52"/>
      <c r="W98" s="53"/>
      <c r="X98" s="52"/>
      <c r="Y98" s="53"/>
      <c r="Z98" s="52"/>
      <c r="AA98" s="53"/>
      <c r="AB98" s="52"/>
      <c r="AC98" s="53"/>
      <c r="AD98" s="52"/>
      <c r="AE98" s="63"/>
      <c r="AF98" s="63"/>
    </row>
    <row r="99" spans="1:32" x14ac:dyDescent="0.25">
      <c r="T99" s="63"/>
      <c r="U99" s="53" t="s">
        <v>463</v>
      </c>
      <c r="V99" s="52"/>
      <c r="W99" s="53" t="s">
        <v>442</v>
      </c>
      <c r="X99" s="52"/>
      <c r="Y99" s="53" t="s">
        <v>442</v>
      </c>
      <c r="Z99" s="52"/>
      <c r="AA99" s="53" t="s">
        <v>442</v>
      </c>
      <c r="AB99" s="52"/>
      <c r="AC99" s="53" t="s">
        <v>442</v>
      </c>
      <c r="AD99" s="52"/>
      <c r="AE99" s="63"/>
      <c r="AF99" s="63"/>
    </row>
    <row r="100" spans="1:32" x14ac:dyDescent="0.25">
      <c r="A100" s="70" t="s">
        <v>703</v>
      </c>
      <c r="B100" s="70" t="s">
        <v>483</v>
      </c>
      <c r="C100" s="70">
        <v>22</v>
      </c>
      <c r="D100" s="70">
        <v>15</v>
      </c>
      <c r="E100" s="70">
        <v>17</v>
      </c>
      <c r="F100" s="70">
        <v>5</v>
      </c>
      <c r="G100" s="70">
        <v>6</v>
      </c>
      <c r="H100" s="70">
        <v>5</v>
      </c>
      <c r="K100" s="70" t="s">
        <v>483</v>
      </c>
      <c r="L100" s="70">
        <f t="shared" ref="L100:L102" si="70">C100*5</f>
        <v>110</v>
      </c>
      <c r="M100" s="70">
        <f t="shared" ref="M100:P102" si="71">D100</f>
        <v>15</v>
      </c>
      <c r="N100" s="70">
        <f t="shared" si="71"/>
        <v>17</v>
      </c>
      <c r="O100" s="70">
        <f t="shared" si="71"/>
        <v>5</v>
      </c>
      <c r="P100" s="70">
        <f t="shared" si="71"/>
        <v>6</v>
      </c>
      <c r="Q100" s="70">
        <f t="shared" ref="Q100:Q102" si="72">H100*5</f>
        <v>25</v>
      </c>
      <c r="T100" s="63"/>
      <c r="U100" s="53" t="s">
        <v>464</v>
      </c>
      <c r="V100" s="52">
        <v>-0.99660000000000004</v>
      </c>
      <c r="W100" s="53" t="s">
        <v>443</v>
      </c>
      <c r="X100" s="52" t="s">
        <v>782</v>
      </c>
      <c r="Y100" s="53" t="s">
        <v>443</v>
      </c>
      <c r="Z100" s="52" t="s">
        <v>786</v>
      </c>
      <c r="AA100" s="53" t="s">
        <v>443</v>
      </c>
      <c r="AB100" s="52" t="s">
        <v>790</v>
      </c>
      <c r="AC100" s="53" t="s">
        <v>443</v>
      </c>
      <c r="AD100" s="52" t="s">
        <v>794</v>
      </c>
      <c r="AE100" s="63"/>
      <c r="AF100" s="63"/>
    </row>
    <row r="101" spans="1:32" x14ac:dyDescent="0.25">
      <c r="B101" s="70" t="s">
        <v>485</v>
      </c>
      <c r="C101" s="70">
        <v>20</v>
      </c>
      <c r="D101" s="70">
        <v>23</v>
      </c>
      <c r="E101" s="70">
        <v>13</v>
      </c>
      <c r="F101" s="70">
        <v>9</v>
      </c>
      <c r="G101" s="70">
        <v>3</v>
      </c>
      <c r="H101" s="70">
        <v>5</v>
      </c>
      <c r="K101" s="70" t="s">
        <v>485</v>
      </c>
      <c r="L101" s="70">
        <f t="shared" si="70"/>
        <v>100</v>
      </c>
      <c r="M101" s="70">
        <f t="shared" si="71"/>
        <v>23</v>
      </c>
      <c r="N101" s="70">
        <f t="shared" si="71"/>
        <v>13</v>
      </c>
      <c r="O101" s="70">
        <f t="shared" si="71"/>
        <v>9</v>
      </c>
      <c r="P101" s="70">
        <f t="shared" si="71"/>
        <v>3</v>
      </c>
      <c r="Q101" s="70">
        <f t="shared" si="72"/>
        <v>25</v>
      </c>
      <c r="T101" s="63"/>
      <c r="U101" s="53" t="s">
        <v>465</v>
      </c>
      <c r="V101" s="52">
        <v>2.6200000000000001E-2</v>
      </c>
      <c r="W101" s="53" t="s">
        <v>425</v>
      </c>
      <c r="X101" s="52">
        <v>0.96260000000000001</v>
      </c>
      <c r="Y101" s="53" t="s">
        <v>425</v>
      </c>
      <c r="Z101" s="52">
        <v>0.56179999999999997</v>
      </c>
      <c r="AA101" s="53" t="s">
        <v>425</v>
      </c>
      <c r="AB101" s="52">
        <v>0.76649999999999996</v>
      </c>
      <c r="AC101" s="53" t="s">
        <v>425</v>
      </c>
      <c r="AD101" s="52">
        <v>0.3906</v>
      </c>
      <c r="AE101" s="63"/>
      <c r="AF101" s="63"/>
    </row>
    <row r="102" spans="1:32" x14ac:dyDescent="0.25">
      <c r="B102" s="70" t="s">
        <v>487</v>
      </c>
      <c r="C102" s="70">
        <v>19</v>
      </c>
      <c r="D102" s="70">
        <v>19</v>
      </c>
      <c r="E102" s="70">
        <v>10</v>
      </c>
      <c r="F102" s="70">
        <v>6</v>
      </c>
      <c r="G102" s="70">
        <v>9</v>
      </c>
      <c r="H102" s="70">
        <v>4</v>
      </c>
      <c r="K102" s="70" t="s">
        <v>487</v>
      </c>
      <c r="L102" s="70">
        <f t="shared" si="70"/>
        <v>95</v>
      </c>
      <c r="M102" s="70">
        <f t="shared" si="71"/>
        <v>19</v>
      </c>
      <c r="N102" s="70">
        <f t="shared" si="71"/>
        <v>10</v>
      </c>
      <c r="O102" s="70">
        <f t="shared" si="71"/>
        <v>6</v>
      </c>
      <c r="P102" s="70">
        <f t="shared" si="71"/>
        <v>9</v>
      </c>
      <c r="Q102" s="70">
        <f t="shared" si="72"/>
        <v>20</v>
      </c>
      <c r="T102" s="63"/>
      <c r="U102" s="53" t="s">
        <v>426</v>
      </c>
      <c r="V102" s="52" t="s">
        <v>508</v>
      </c>
      <c r="W102" s="53" t="s">
        <v>426</v>
      </c>
      <c r="X102" s="52" t="s">
        <v>445</v>
      </c>
      <c r="Y102" s="53" t="s">
        <v>426</v>
      </c>
      <c r="Z102" s="52" t="s">
        <v>445</v>
      </c>
      <c r="AA102" s="53" t="s">
        <v>426</v>
      </c>
      <c r="AB102" s="52" t="s">
        <v>445</v>
      </c>
      <c r="AC102" s="53" t="s">
        <v>426</v>
      </c>
      <c r="AD102" s="52" t="s">
        <v>445</v>
      </c>
      <c r="AE102" s="63"/>
      <c r="AF102" s="63"/>
    </row>
    <row r="103" spans="1:32" x14ac:dyDescent="0.25">
      <c r="C103" s="70">
        <f t="shared" ref="C103:H103" si="73">SUM(C100:C102)</f>
        <v>61</v>
      </c>
      <c r="D103" s="70">
        <f t="shared" si="73"/>
        <v>57</v>
      </c>
      <c r="E103" s="70">
        <f t="shared" si="73"/>
        <v>40</v>
      </c>
      <c r="F103" s="70">
        <f t="shared" si="73"/>
        <v>20</v>
      </c>
      <c r="G103" s="70">
        <f t="shared" si="73"/>
        <v>18</v>
      </c>
      <c r="H103" s="70">
        <f t="shared" si="73"/>
        <v>14</v>
      </c>
      <c r="I103" s="70">
        <f>SUM(C103:H103)</f>
        <v>210</v>
      </c>
      <c r="L103" s="70">
        <f>SUM(L100:L102)</f>
        <v>305</v>
      </c>
      <c r="M103" s="70">
        <f>SUM(M100:M102)</f>
        <v>57</v>
      </c>
      <c r="N103" s="70">
        <f>SUM(N100:N102)</f>
        <v>40</v>
      </c>
      <c r="O103" s="70">
        <f>F103*1</f>
        <v>20</v>
      </c>
      <c r="P103" s="70">
        <f>SUM(P100:P102)</f>
        <v>18</v>
      </c>
      <c r="Q103" s="70">
        <f>SUM(Q100:Q102)</f>
        <v>70</v>
      </c>
      <c r="R103" s="70">
        <f>SUM(L103:Q103)</f>
        <v>510</v>
      </c>
      <c r="T103" s="63"/>
      <c r="U103" s="53" t="s">
        <v>466</v>
      </c>
      <c r="V103" s="52" t="s">
        <v>429</v>
      </c>
      <c r="W103" s="53" t="s">
        <v>428</v>
      </c>
      <c r="X103" s="52" t="s">
        <v>446</v>
      </c>
      <c r="Y103" s="53" t="s">
        <v>428</v>
      </c>
      <c r="Z103" s="52" t="s">
        <v>446</v>
      </c>
      <c r="AA103" s="53" t="s">
        <v>428</v>
      </c>
      <c r="AB103" s="52" t="s">
        <v>446</v>
      </c>
      <c r="AC103" s="53" t="s">
        <v>428</v>
      </c>
      <c r="AD103" s="52" t="s">
        <v>446</v>
      </c>
      <c r="AE103" s="63"/>
      <c r="AF103" s="63"/>
    </row>
    <row r="104" spans="1:32" x14ac:dyDescent="0.25">
      <c r="C104" s="70">
        <f>C103/I103%</f>
        <v>29.047619047619047</v>
      </c>
      <c r="D104" s="70">
        <f>D103/$I103 %</f>
        <v>27.142857142857142</v>
      </c>
      <c r="E104" s="70">
        <f>E103/$I103 %</f>
        <v>19.047619047619047</v>
      </c>
      <c r="F104" s="70">
        <f>F103/$I103 %</f>
        <v>9.5238095238095237</v>
      </c>
      <c r="G104" s="70">
        <f>G103/$I103 %</f>
        <v>8.5714285714285712</v>
      </c>
      <c r="H104" s="70">
        <f>H103/$I103 %</f>
        <v>6.6666666666666661</v>
      </c>
      <c r="L104" s="70">
        <f>L103/$R103 %</f>
        <v>59.803921568627452</v>
      </c>
      <c r="M104" s="70">
        <f>M103/$R103 %</f>
        <v>11.176470588235295</v>
      </c>
      <c r="N104" s="70">
        <f>N103/$R103 %</f>
        <v>7.8431372549019613</v>
      </c>
      <c r="O104" s="70">
        <f>F104*1</f>
        <v>9.5238095238095237</v>
      </c>
      <c r="P104" s="70">
        <f>P103/$R103 %</f>
        <v>3.5294117647058827</v>
      </c>
      <c r="Q104" s="70">
        <f>Q103/$R103 %</f>
        <v>13.725490196078432</v>
      </c>
      <c r="T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</row>
    <row r="105" spans="1:32" x14ac:dyDescent="0.25"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</row>
    <row r="106" spans="1:32" x14ac:dyDescent="0.25">
      <c r="T106" s="63"/>
      <c r="U106" s="70" t="s">
        <v>491</v>
      </c>
      <c r="V106" s="70" t="s">
        <v>352</v>
      </c>
      <c r="W106" s="70" t="s">
        <v>347</v>
      </c>
      <c r="X106" s="70" t="s">
        <v>701</v>
      </c>
      <c r="Y106" s="70" t="s">
        <v>702</v>
      </c>
      <c r="Z106" s="70" t="s">
        <v>703</v>
      </c>
      <c r="AA106" s="70" t="s">
        <v>492</v>
      </c>
      <c r="AB106" s="70" t="s">
        <v>388</v>
      </c>
      <c r="AC106" s="70" t="s">
        <v>383</v>
      </c>
      <c r="AD106" s="70" t="s">
        <v>698</v>
      </c>
      <c r="AE106" s="70" t="s">
        <v>699</v>
      </c>
      <c r="AF106" s="70" t="s">
        <v>700</v>
      </c>
    </row>
    <row r="107" spans="1:32" x14ac:dyDescent="0.25">
      <c r="T107" s="70" t="s">
        <v>498</v>
      </c>
      <c r="U107" s="70">
        <v>21</v>
      </c>
      <c r="V107" s="70">
        <v>29</v>
      </c>
      <c r="W107" s="70">
        <v>17</v>
      </c>
      <c r="X107" s="70">
        <v>31</v>
      </c>
      <c r="Y107" s="70">
        <v>31</v>
      </c>
      <c r="Z107" s="70">
        <v>20</v>
      </c>
      <c r="AA107" s="70">
        <v>10</v>
      </c>
      <c r="AB107" s="70">
        <v>9</v>
      </c>
      <c r="AC107" s="70">
        <v>15</v>
      </c>
      <c r="AD107" s="70">
        <v>7</v>
      </c>
      <c r="AE107" s="70">
        <v>15</v>
      </c>
      <c r="AF107" s="70">
        <v>13</v>
      </c>
    </row>
    <row r="108" spans="1:32" x14ac:dyDescent="0.25">
      <c r="T108" s="70" t="s">
        <v>605</v>
      </c>
      <c r="U108" s="117" t="s">
        <v>606</v>
      </c>
      <c r="V108" s="118"/>
      <c r="W108" s="117" t="s">
        <v>704</v>
      </c>
      <c r="X108" s="118"/>
      <c r="Y108" s="117" t="s">
        <v>705</v>
      </c>
      <c r="Z108" s="118"/>
      <c r="AA108" s="117" t="s">
        <v>706</v>
      </c>
      <c r="AB108" s="118"/>
      <c r="AC108" s="117" t="s">
        <v>707</v>
      </c>
    </row>
    <row r="109" spans="1:32" x14ac:dyDescent="0.25">
      <c r="T109" s="63"/>
      <c r="U109" s="53" t="s">
        <v>684</v>
      </c>
      <c r="V109" s="52" t="s">
        <v>742</v>
      </c>
      <c r="W109" s="53" t="s">
        <v>419</v>
      </c>
      <c r="X109" s="52" t="s">
        <v>743</v>
      </c>
      <c r="Y109" s="53" t="s">
        <v>710</v>
      </c>
      <c r="Z109" s="52" t="s">
        <v>748</v>
      </c>
      <c r="AA109" s="53" t="s">
        <v>710</v>
      </c>
      <c r="AB109" s="52" t="s">
        <v>748</v>
      </c>
      <c r="AC109" s="53" t="s">
        <v>684</v>
      </c>
      <c r="AD109" s="52" t="s">
        <v>742</v>
      </c>
      <c r="AE109" s="63"/>
      <c r="AF109" s="63"/>
    </row>
    <row r="110" spans="1:32" x14ac:dyDescent="0.25">
      <c r="T110" s="63"/>
      <c r="U110" s="53" t="s">
        <v>421</v>
      </c>
      <c r="V110" s="52" t="s">
        <v>421</v>
      </c>
      <c r="W110" s="53" t="s">
        <v>421</v>
      </c>
      <c r="X110" s="52" t="s">
        <v>421</v>
      </c>
      <c r="Y110" s="53" t="s">
        <v>421</v>
      </c>
      <c r="Z110" s="52" t="s">
        <v>421</v>
      </c>
      <c r="AA110" s="53" t="s">
        <v>421</v>
      </c>
      <c r="AB110" s="52" t="s">
        <v>421</v>
      </c>
      <c r="AC110" s="53" t="s">
        <v>421</v>
      </c>
      <c r="AD110" s="52" t="s">
        <v>421</v>
      </c>
      <c r="AE110" s="63"/>
      <c r="AF110" s="63"/>
    </row>
    <row r="111" spans="1:32" x14ac:dyDescent="0.25">
      <c r="T111" s="63"/>
      <c r="U111" s="53" t="s">
        <v>422</v>
      </c>
      <c r="V111" s="52" t="s">
        <v>412</v>
      </c>
      <c r="W111" s="53" t="s">
        <v>422</v>
      </c>
      <c r="X111" s="52" t="s">
        <v>412</v>
      </c>
      <c r="Y111" s="53" t="s">
        <v>684</v>
      </c>
      <c r="Z111" s="52" t="s">
        <v>742</v>
      </c>
      <c r="AA111" s="53" t="s">
        <v>419</v>
      </c>
      <c r="AB111" s="52" t="s">
        <v>743</v>
      </c>
      <c r="AC111" s="53" t="s">
        <v>419</v>
      </c>
      <c r="AD111" s="52" t="s">
        <v>743</v>
      </c>
      <c r="AE111" s="63"/>
      <c r="AF111" s="63"/>
    </row>
    <row r="112" spans="1:32" x14ac:dyDescent="0.25">
      <c r="T112" s="63"/>
      <c r="U112" s="53"/>
      <c r="V112" s="52"/>
      <c r="W112" s="53"/>
      <c r="X112" s="52"/>
      <c r="Y112" s="53"/>
      <c r="Z112" s="52"/>
      <c r="AA112" s="53"/>
      <c r="AB112" s="52"/>
      <c r="AC112" s="53"/>
      <c r="AD112" s="52"/>
      <c r="AE112" s="63"/>
      <c r="AF112" s="63"/>
    </row>
    <row r="113" spans="20:32" x14ac:dyDescent="0.25">
      <c r="T113" s="63"/>
      <c r="U113" s="53" t="s">
        <v>455</v>
      </c>
      <c r="V113" s="52"/>
      <c r="W113" s="53" t="s">
        <v>424</v>
      </c>
      <c r="X113" s="52"/>
      <c r="Y113" s="53" t="s">
        <v>424</v>
      </c>
      <c r="Z113" s="52"/>
      <c r="AA113" s="53" t="s">
        <v>424</v>
      </c>
      <c r="AB113" s="52"/>
      <c r="AC113" s="53" t="s">
        <v>424</v>
      </c>
      <c r="AD113" s="52"/>
      <c r="AE113" s="63"/>
      <c r="AF113" s="63"/>
    </row>
    <row r="114" spans="20:32" x14ac:dyDescent="0.25">
      <c r="T114" s="63"/>
      <c r="U114" s="53" t="s">
        <v>425</v>
      </c>
      <c r="V114" s="52">
        <v>0.16850000000000001</v>
      </c>
      <c r="W114" s="53" t="s">
        <v>425</v>
      </c>
      <c r="X114" s="52">
        <v>0.19070000000000001</v>
      </c>
      <c r="Y114" s="53" t="s">
        <v>425</v>
      </c>
      <c r="Z114" s="52">
        <v>0.91790000000000005</v>
      </c>
      <c r="AA114" s="53" t="s">
        <v>425</v>
      </c>
      <c r="AB114" s="52">
        <v>1.17E-2</v>
      </c>
      <c r="AC114" s="53" t="s">
        <v>425</v>
      </c>
      <c r="AD114" s="52">
        <v>8.8000000000000005E-3</v>
      </c>
      <c r="AE114" s="63"/>
      <c r="AF114" s="63"/>
    </row>
    <row r="115" spans="20:32" x14ac:dyDescent="0.25">
      <c r="T115" s="63"/>
      <c r="U115" s="53" t="s">
        <v>426</v>
      </c>
      <c r="V115" s="52" t="s">
        <v>445</v>
      </c>
      <c r="W115" s="53" t="s">
        <v>426</v>
      </c>
      <c r="X115" s="52" t="s">
        <v>445</v>
      </c>
      <c r="Y115" s="53" t="s">
        <v>426</v>
      </c>
      <c r="Z115" s="52" t="s">
        <v>445</v>
      </c>
      <c r="AA115" s="53" t="s">
        <v>426</v>
      </c>
      <c r="AB115" s="52" t="s">
        <v>508</v>
      </c>
      <c r="AC115" s="53" t="s">
        <v>426</v>
      </c>
      <c r="AD115" s="52" t="s">
        <v>427</v>
      </c>
      <c r="AE115" s="63"/>
      <c r="AF115" s="63"/>
    </row>
    <row r="116" spans="20:32" x14ac:dyDescent="0.25">
      <c r="T116" s="63"/>
      <c r="U116" s="53" t="s">
        <v>428</v>
      </c>
      <c r="V116" s="52" t="s">
        <v>446</v>
      </c>
      <c r="W116" s="53" t="s">
        <v>428</v>
      </c>
      <c r="X116" s="52" t="s">
        <v>446</v>
      </c>
      <c r="Y116" s="53" t="s">
        <v>428</v>
      </c>
      <c r="Z116" s="52" t="s">
        <v>446</v>
      </c>
      <c r="AA116" s="53" t="s">
        <v>428</v>
      </c>
      <c r="AB116" s="52" t="s">
        <v>429</v>
      </c>
      <c r="AC116" s="53" t="s">
        <v>428</v>
      </c>
      <c r="AD116" s="52" t="s">
        <v>429</v>
      </c>
      <c r="AE116" s="63"/>
      <c r="AF116" s="63"/>
    </row>
    <row r="117" spans="20:32" x14ac:dyDescent="0.25">
      <c r="T117" s="63"/>
      <c r="U117" s="53" t="s">
        <v>430</v>
      </c>
      <c r="V117" s="52" t="s">
        <v>431</v>
      </c>
      <c r="W117" s="53" t="s">
        <v>430</v>
      </c>
      <c r="X117" s="52" t="s">
        <v>572</v>
      </c>
      <c r="Y117" s="53" t="s">
        <v>430</v>
      </c>
      <c r="Z117" s="52" t="s">
        <v>431</v>
      </c>
      <c r="AA117" s="53" t="s">
        <v>430</v>
      </c>
      <c r="AB117" s="52" t="s">
        <v>572</v>
      </c>
      <c r="AC117" s="53" t="s">
        <v>430</v>
      </c>
      <c r="AD117" s="52" t="s">
        <v>572</v>
      </c>
      <c r="AE117" s="63"/>
      <c r="AF117" s="63"/>
    </row>
    <row r="118" spans="20:32" x14ac:dyDescent="0.25">
      <c r="T118" s="63"/>
      <c r="U118" s="53" t="s">
        <v>432</v>
      </c>
      <c r="V118" s="52" t="s">
        <v>516</v>
      </c>
      <c r="W118" s="53" t="s">
        <v>432</v>
      </c>
      <c r="X118" s="52" t="s">
        <v>795</v>
      </c>
      <c r="Y118" s="53" t="s">
        <v>432</v>
      </c>
      <c r="Z118" s="52" t="s">
        <v>799</v>
      </c>
      <c r="AA118" s="53" t="s">
        <v>432</v>
      </c>
      <c r="AB118" s="52" t="s">
        <v>803</v>
      </c>
      <c r="AC118" s="53" t="s">
        <v>432</v>
      </c>
      <c r="AD118" s="52" t="s">
        <v>807</v>
      </c>
      <c r="AE118" s="63"/>
      <c r="AF118" s="63"/>
    </row>
    <row r="119" spans="20:32" x14ac:dyDescent="0.25">
      <c r="T119" s="63"/>
      <c r="U119" s="53"/>
      <c r="V119" s="52"/>
      <c r="W119" s="53"/>
      <c r="X119" s="52"/>
      <c r="Y119" s="53"/>
      <c r="Z119" s="52"/>
      <c r="AA119" s="53"/>
      <c r="AB119" s="52"/>
      <c r="AC119" s="53"/>
      <c r="AD119" s="52"/>
      <c r="AE119" s="63"/>
      <c r="AF119" s="63"/>
    </row>
    <row r="120" spans="20:32" x14ac:dyDescent="0.25">
      <c r="T120" s="63"/>
      <c r="U120" s="53" t="s">
        <v>434</v>
      </c>
      <c r="V120" s="52"/>
      <c r="W120" s="53" t="s">
        <v>434</v>
      </c>
      <c r="X120" s="52"/>
      <c r="Y120" s="53" t="s">
        <v>434</v>
      </c>
      <c r="Z120" s="52"/>
      <c r="AA120" s="53" t="s">
        <v>434</v>
      </c>
      <c r="AB120" s="52"/>
      <c r="AC120" s="53" t="s">
        <v>434</v>
      </c>
      <c r="AD120" s="52"/>
      <c r="AE120" s="63"/>
      <c r="AF120" s="63"/>
    </row>
    <row r="121" spans="20:32" x14ac:dyDescent="0.25">
      <c r="T121" s="63"/>
      <c r="U121" s="53" t="s">
        <v>458</v>
      </c>
      <c r="V121" s="52">
        <v>-11</v>
      </c>
      <c r="W121" s="53" t="s">
        <v>435</v>
      </c>
      <c r="X121" s="52">
        <v>22.33</v>
      </c>
      <c r="Y121" s="53" t="s">
        <v>687</v>
      </c>
      <c r="Z121" s="52">
        <v>11.33</v>
      </c>
      <c r="AA121" s="53" t="s">
        <v>436</v>
      </c>
      <c r="AB121" s="52">
        <v>27.33</v>
      </c>
      <c r="AC121" s="53" t="s">
        <v>436</v>
      </c>
      <c r="AD121" s="52">
        <v>27.33</v>
      </c>
      <c r="AE121" s="63"/>
      <c r="AF121" s="63"/>
    </row>
    <row r="122" spans="20:32" x14ac:dyDescent="0.25">
      <c r="T122" s="63"/>
      <c r="U122" s="53" t="s">
        <v>459</v>
      </c>
      <c r="V122" s="52">
        <v>9</v>
      </c>
      <c r="W122" s="53" t="s">
        <v>436</v>
      </c>
      <c r="X122" s="52">
        <v>27.33</v>
      </c>
      <c r="Y122" s="53" t="s">
        <v>714</v>
      </c>
      <c r="Z122" s="52">
        <v>11.67</v>
      </c>
      <c r="AA122" s="53" t="s">
        <v>714</v>
      </c>
      <c r="AB122" s="52">
        <v>11.67</v>
      </c>
      <c r="AC122" s="53" t="s">
        <v>687</v>
      </c>
      <c r="AD122" s="52">
        <v>11.33</v>
      </c>
      <c r="AE122" s="63"/>
      <c r="AF122" s="63"/>
    </row>
    <row r="123" spans="20:32" x14ac:dyDescent="0.25">
      <c r="T123" s="63"/>
      <c r="U123" s="53" t="s">
        <v>460</v>
      </c>
      <c r="V123" s="52">
        <v>5.1959999999999997</v>
      </c>
      <c r="W123" s="53" t="s">
        <v>437</v>
      </c>
      <c r="X123" s="52" t="s">
        <v>796</v>
      </c>
      <c r="Y123" s="53" t="s">
        <v>721</v>
      </c>
      <c r="Z123" s="52" t="s">
        <v>800</v>
      </c>
      <c r="AA123" s="53" t="s">
        <v>715</v>
      </c>
      <c r="AB123" s="52" t="s">
        <v>804</v>
      </c>
      <c r="AC123" s="53" t="s">
        <v>758</v>
      </c>
      <c r="AD123" s="52" t="s">
        <v>808</v>
      </c>
      <c r="AE123" s="63"/>
      <c r="AF123" s="63"/>
    </row>
    <row r="124" spans="20:32" x14ac:dyDescent="0.25">
      <c r="T124" s="63"/>
      <c r="U124" s="53" t="s">
        <v>439</v>
      </c>
      <c r="V124" s="52" t="s">
        <v>517</v>
      </c>
      <c r="W124" s="53" t="s">
        <v>439</v>
      </c>
      <c r="X124" s="52" t="s">
        <v>797</v>
      </c>
      <c r="Y124" s="53" t="s">
        <v>439</v>
      </c>
      <c r="Z124" s="52" t="s">
        <v>801</v>
      </c>
      <c r="AA124" s="53" t="s">
        <v>439</v>
      </c>
      <c r="AB124" s="52" t="s">
        <v>805</v>
      </c>
      <c r="AC124" s="53" t="s">
        <v>439</v>
      </c>
      <c r="AD124" s="52" t="s">
        <v>809</v>
      </c>
      <c r="AE124" s="63"/>
      <c r="AF124" s="63"/>
    </row>
    <row r="125" spans="20:32" x14ac:dyDescent="0.25">
      <c r="T125" s="63"/>
      <c r="U125" s="53" t="s">
        <v>462</v>
      </c>
      <c r="V125" s="52">
        <v>0.69140000000000001</v>
      </c>
      <c r="W125" s="53" t="s">
        <v>441</v>
      </c>
      <c r="X125" s="52">
        <v>0.19450000000000001</v>
      </c>
      <c r="Y125" s="53" t="s">
        <v>441</v>
      </c>
      <c r="Z125" s="52">
        <v>3.003E-3</v>
      </c>
      <c r="AA125" s="53" t="s">
        <v>441</v>
      </c>
      <c r="AB125" s="52">
        <v>0.76149999999999995</v>
      </c>
      <c r="AC125" s="53" t="s">
        <v>441</v>
      </c>
      <c r="AD125" s="52">
        <v>0.79120000000000001</v>
      </c>
      <c r="AE125" s="63"/>
      <c r="AF125" s="63"/>
    </row>
    <row r="126" spans="20:32" x14ac:dyDescent="0.25">
      <c r="T126" s="63"/>
      <c r="U126" s="53"/>
      <c r="V126" s="52"/>
      <c r="W126" s="53"/>
      <c r="X126" s="52"/>
      <c r="Y126" s="53"/>
      <c r="Z126" s="52"/>
      <c r="AA126" s="53"/>
      <c r="AB126" s="52"/>
      <c r="AC126" s="53"/>
      <c r="AD126" s="52"/>
      <c r="AE126" s="63"/>
      <c r="AF126" s="63"/>
    </row>
    <row r="127" spans="20:32" x14ac:dyDescent="0.25">
      <c r="T127" s="63"/>
      <c r="U127" s="53" t="s">
        <v>463</v>
      </c>
      <c r="V127" s="52"/>
      <c r="W127" s="53" t="s">
        <v>442</v>
      </c>
      <c r="X127" s="52"/>
      <c r="Y127" s="53" t="s">
        <v>442</v>
      </c>
      <c r="Z127" s="52"/>
      <c r="AA127" s="53" t="s">
        <v>442</v>
      </c>
      <c r="AB127" s="52"/>
      <c r="AC127" s="53" t="s">
        <v>442</v>
      </c>
      <c r="AD127" s="52"/>
      <c r="AE127" s="63"/>
      <c r="AF127" s="63"/>
    </row>
    <row r="128" spans="20:32" x14ac:dyDescent="0.25">
      <c r="T128" s="63"/>
      <c r="U128" s="53" t="s">
        <v>464</v>
      </c>
      <c r="V128" s="52">
        <v>-0.84860000000000002</v>
      </c>
      <c r="W128" s="53" t="s">
        <v>443</v>
      </c>
      <c r="X128" s="52" t="s">
        <v>798</v>
      </c>
      <c r="Y128" s="53" t="s">
        <v>443</v>
      </c>
      <c r="Z128" s="52" t="s">
        <v>802</v>
      </c>
      <c r="AA128" s="53" t="s">
        <v>443</v>
      </c>
      <c r="AB128" s="52" t="s">
        <v>806</v>
      </c>
      <c r="AC128" s="53" t="s">
        <v>443</v>
      </c>
      <c r="AD128" s="52" t="s">
        <v>810</v>
      </c>
      <c r="AE128" s="63"/>
      <c r="AF128" s="63"/>
    </row>
    <row r="129" spans="20:32" x14ac:dyDescent="0.25">
      <c r="T129" s="63"/>
      <c r="U129" s="53" t="s">
        <v>465</v>
      </c>
      <c r="V129" s="52">
        <v>0.17749999999999999</v>
      </c>
      <c r="W129" s="53" t="s">
        <v>425</v>
      </c>
      <c r="X129" s="52">
        <v>0.96140000000000003</v>
      </c>
      <c r="Y129" s="53" t="s">
        <v>425</v>
      </c>
      <c r="Z129" s="52">
        <v>0.747</v>
      </c>
      <c r="AA129" s="53" t="s">
        <v>425</v>
      </c>
      <c r="AB129" s="52">
        <v>0.60119999999999996</v>
      </c>
      <c r="AC129" s="53" t="s">
        <v>425</v>
      </c>
      <c r="AD129" s="52">
        <v>0.40789999999999998</v>
      </c>
      <c r="AE129" s="63"/>
      <c r="AF129" s="63"/>
    </row>
    <row r="130" spans="20:32" x14ac:dyDescent="0.25">
      <c r="T130" s="63"/>
      <c r="U130" s="53" t="s">
        <v>426</v>
      </c>
      <c r="V130" s="52" t="s">
        <v>445</v>
      </c>
      <c r="W130" s="53" t="s">
        <v>426</v>
      </c>
      <c r="X130" s="52" t="s">
        <v>445</v>
      </c>
      <c r="Y130" s="53" t="s">
        <v>426</v>
      </c>
      <c r="Z130" s="52" t="s">
        <v>445</v>
      </c>
      <c r="AA130" s="53" t="s">
        <v>426</v>
      </c>
      <c r="AB130" s="52" t="s">
        <v>445</v>
      </c>
      <c r="AC130" s="53" t="s">
        <v>426</v>
      </c>
      <c r="AD130" s="52" t="s">
        <v>445</v>
      </c>
      <c r="AE130" s="63"/>
      <c r="AF130" s="63"/>
    </row>
    <row r="131" spans="20:32" x14ac:dyDescent="0.25">
      <c r="T131" s="63"/>
      <c r="U131" s="53" t="s">
        <v>466</v>
      </c>
      <c r="V131" s="52" t="s">
        <v>446</v>
      </c>
      <c r="W131" s="53" t="s">
        <v>428</v>
      </c>
      <c r="X131" s="52" t="s">
        <v>446</v>
      </c>
      <c r="Y131" s="53" t="s">
        <v>428</v>
      </c>
      <c r="Z131" s="52" t="s">
        <v>446</v>
      </c>
      <c r="AA131" s="53" t="s">
        <v>428</v>
      </c>
      <c r="AB131" s="52" t="s">
        <v>446</v>
      </c>
      <c r="AC131" s="53" t="s">
        <v>428</v>
      </c>
      <c r="AD131" s="52" t="s">
        <v>446</v>
      </c>
      <c r="AE131" s="63"/>
      <c r="AF131" s="63"/>
    </row>
    <row r="132" spans="20:32" x14ac:dyDescent="0.25">
      <c r="T132" s="63"/>
      <c r="U132" s="53"/>
      <c r="V132" s="52"/>
      <c r="W132" s="53"/>
      <c r="X132" s="52"/>
      <c r="Y132" s="53"/>
      <c r="Z132" s="52"/>
      <c r="AA132" s="53"/>
      <c r="AB132" s="52"/>
      <c r="AC132" s="53"/>
      <c r="AD132" s="52"/>
      <c r="AE132" s="63"/>
      <c r="AF132" s="63"/>
    </row>
    <row r="133" spans="20:32" x14ac:dyDescent="0.25">
      <c r="T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</row>
    <row r="134" spans="20:32" x14ac:dyDescent="0.25">
      <c r="U134" s="70" t="s">
        <v>491</v>
      </c>
      <c r="V134" s="70" t="s">
        <v>352</v>
      </c>
      <c r="W134" s="70" t="s">
        <v>347</v>
      </c>
      <c r="X134" s="70" t="s">
        <v>701</v>
      </c>
      <c r="Y134" s="70" t="s">
        <v>702</v>
      </c>
      <c r="Z134" s="70" t="s">
        <v>703</v>
      </c>
      <c r="AA134" s="70" t="s">
        <v>492</v>
      </c>
      <c r="AB134" s="70" t="s">
        <v>388</v>
      </c>
      <c r="AC134" s="70" t="s">
        <v>383</v>
      </c>
      <c r="AD134" s="70" t="s">
        <v>698</v>
      </c>
      <c r="AE134" s="70" t="s">
        <v>699</v>
      </c>
      <c r="AF134" s="70" t="s">
        <v>700</v>
      </c>
    </row>
    <row r="135" spans="20:32" x14ac:dyDescent="0.25">
      <c r="T135" s="70" t="s">
        <v>480</v>
      </c>
      <c r="U135" s="70">
        <v>12</v>
      </c>
      <c r="V135" s="70">
        <v>19</v>
      </c>
      <c r="W135" s="70">
        <v>16</v>
      </c>
      <c r="X135" s="70">
        <v>21</v>
      </c>
      <c r="Y135" s="70">
        <v>18</v>
      </c>
      <c r="Z135" s="70">
        <v>18</v>
      </c>
      <c r="AA135" s="70">
        <v>9</v>
      </c>
      <c r="AB135" s="70">
        <v>10</v>
      </c>
      <c r="AC135" s="70">
        <v>15</v>
      </c>
      <c r="AD135" s="70">
        <v>5</v>
      </c>
      <c r="AE135" s="70">
        <v>8</v>
      </c>
      <c r="AF135" s="70">
        <v>15</v>
      </c>
    </row>
    <row r="136" spans="20:32" x14ac:dyDescent="0.25">
      <c r="T136" s="70" t="s">
        <v>605</v>
      </c>
      <c r="U136" s="117" t="s">
        <v>606</v>
      </c>
      <c r="V136" s="118"/>
      <c r="W136" s="117" t="s">
        <v>704</v>
      </c>
      <c r="X136" s="118"/>
      <c r="Y136" s="117" t="s">
        <v>705</v>
      </c>
      <c r="Z136" s="118"/>
      <c r="AA136" s="117" t="s">
        <v>706</v>
      </c>
      <c r="AB136" s="118"/>
      <c r="AC136" s="117" t="s">
        <v>707</v>
      </c>
    </row>
    <row r="137" spans="20:32" x14ac:dyDescent="0.25">
      <c r="T137" s="63"/>
      <c r="U137" s="53" t="s">
        <v>684</v>
      </c>
      <c r="V137" s="52" t="s">
        <v>742</v>
      </c>
      <c r="W137" s="53" t="s">
        <v>419</v>
      </c>
      <c r="X137" s="52" t="s">
        <v>743</v>
      </c>
      <c r="Y137" s="53" t="s">
        <v>710</v>
      </c>
      <c r="Z137" s="52" t="s">
        <v>748</v>
      </c>
      <c r="AA137" s="53" t="s">
        <v>710</v>
      </c>
      <c r="AB137" s="52" t="s">
        <v>748</v>
      </c>
      <c r="AC137" s="53" t="s">
        <v>684</v>
      </c>
      <c r="AD137" s="52" t="s">
        <v>742</v>
      </c>
      <c r="AE137" s="63"/>
      <c r="AF137" s="63"/>
    </row>
    <row r="138" spans="20:32" x14ac:dyDescent="0.25">
      <c r="T138" s="63"/>
      <c r="U138" s="53" t="s">
        <v>421</v>
      </c>
      <c r="V138" s="52" t="s">
        <v>421</v>
      </c>
      <c r="W138" s="53" t="s">
        <v>421</v>
      </c>
      <c r="X138" s="52" t="s">
        <v>421</v>
      </c>
      <c r="Y138" s="53" t="s">
        <v>421</v>
      </c>
      <c r="Z138" s="52" t="s">
        <v>421</v>
      </c>
      <c r="AA138" s="53" t="s">
        <v>421</v>
      </c>
      <c r="AB138" s="52" t="s">
        <v>421</v>
      </c>
      <c r="AC138" s="53" t="s">
        <v>421</v>
      </c>
      <c r="AD138" s="52" t="s">
        <v>421</v>
      </c>
      <c r="AE138" s="63"/>
      <c r="AF138" s="63"/>
    </row>
    <row r="139" spans="20:32" x14ac:dyDescent="0.25">
      <c r="T139" s="63"/>
      <c r="U139" s="53" t="s">
        <v>422</v>
      </c>
      <c r="V139" s="52" t="s">
        <v>412</v>
      </c>
      <c r="W139" s="53" t="s">
        <v>422</v>
      </c>
      <c r="X139" s="52" t="s">
        <v>412</v>
      </c>
      <c r="Y139" s="53" t="s">
        <v>684</v>
      </c>
      <c r="Z139" s="52" t="s">
        <v>742</v>
      </c>
      <c r="AA139" s="53" t="s">
        <v>419</v>
      </c>
      <c r="AB139" s="52" t="s">
        <v>743</v>
      </c>
      <c r="AC139" s="53" t="s">
        <v>419</v>
      </c>
      <c r="AD139" s="52" t="s">
        <v>743</v>
      </c>
      <c r="AE139" s="63"/>
      <c r="AF139" s="63"/>
    </row>
    <row r="140" spans="20:32" x14ac:dyDescent="0.25">
      <c r="T140" s="63"/>
      <c r="U140" s="53"/>
      <c r="V140" s="52"/>
      <c r="W140" s="53"/>
      <c r="X140" s="52"/>
      <c r="Y140" s="53"/>
      <c r="Z140" s="52"/>
      <c r="AA140" s="53"/>
      <c r="AB140" s="52"/>
      <c r="AC140" s="53"/>
      <c r="AD140" s="52"/>
      <c r="AE140" s="63"/>
      <c r="AF140" s="63"/>
    </row>
    <row r="141" spans="20:32" x14ac:dyDescent="0.25">
      <c r="T141" s="63"/>
      <c r="U141" s="53" t="s">
        <v>455</v>
      </c>
      <c r="V141" s="52"/>
      <c r="W141" s="53" t="s">
        <v>424</v>
      </c>
      <c r="X141" s="52"/>
      <c r="Y141" s="53" t="s">
        <v>424</v>
      </c>
      <c r="Z141" s="52"/>
      <c r="AA141" s="53" t="s">
        <v>424</v>
      </c>
      <c r="AB141" s="52"/>
      <c r="AC141" s="53" t="s">
        <v>424</v>
      </c>
      <c r="AD141" s="52"/>
      <c r="AE141" s="63"/>
      <c r="AF141" s="63"/>
    </row>
    <row r="142" spans="20:32" x14ac:dyDescent="0.25">
      <c r="T142" s="63"/>
      <c r="U142" s="53" t="s">
        <v>425</v>
      </c>
      <c r="V142" s="52">
        <v>0.2132</v>
      </c>
      <c r="W142" s="53" t="s">
        <v>425</v>
      </c>
      <c r="X142" s="52">
        <v>0.1072</v>
      </c>
      <c r="Y142" s="53" t="s">
        <v>425</v>
      </c>
      <c r="Z142" s="52">
        <v>0.59789999999999999</v>
      </c>
      <c r="AA142" s="53" t="s">
        <v>425</v>
      </c>
      <c r="AB142" s="52">
        <v>1.83E-2</v>
      </c>
      <c r="AC142" s="53" t="s">
        <v>425</v>
      </c>
      <c r="AD142" s="52">
        <v>1.0999999999999999E-2</v>
      </c>
      <c r="AE142" s="63"/>
      <c r="AF142" s="63"/>
    </row>
    <row r="143" spans="20:32" x14ac:dyDescent="0.25">
      <c r="T143" s="63"/>
      <c r="U143" s="53" t="s">
        <v>426</v>
      </c>
      <c r="V143" s="52" t="s">
        <v>445</v>
      </c>
      <c r="W143" s="53" t="s">
        <v>426</v>
      </c>
      <c r="X143" s="52" t="s">
        <v>445</v>
      </c>
      <c r="Y143" s="53" t="s">
        <v>426</v>
      </c>
      <c r="Z143" s="52" t="s">
        <v>445</v>
      </c>
      <c r="AA143" s="53" t="s">
        <v>426</v>
      </c>
      <c r="AB143" s="52" t="s">
        <v>508</v>
      </c>
      <c r="AC143" s="53" t="s">
        <v>426</v>
      </c>
      <c r="AD143" s="52" t="s">
        <v>508</v>
      </c>
      <c r="AE143" s="63"/>
      <c r="AF143" s="63"/>
    </row>
    <row r="144" spans="20:32" x14ac:dyDescent="0.25">
      <c r="T144" s="63"/>
      <c r="U144" s="53" t="s">
        <v>428</v>
      </c>
      <c r="V144" s="52" t="s">
        <v>446</v>
      </c>
      <c r="W144" s="53" t="s">
        <v>428</v>
      </c>
      <c r="X144" s="52" t="s">
        <v>446</v>
      </c>
      <c r="Y144" s="53" t="s">
        <v>428</v>
      </c>
      <c r="Z144" s="52" t="s">
        <v>446</v>
      </c>
      <c r="AA144" s="53" t="s">
        <v>428</v>
      </c>
      <c r="AB144" s="52" t="s">
        <v>429</v>
      </c>
      <c r="AC144" s="53" t="s">
        <v>428</v>
      </c>
      <c r="AD144" s="52" t="s">
        <v>429</v>
      </c>
      <c r="AE144" s="63"/>
      <c r="AF144" s="63"/>
    </row>
    <row r="145" spans="20:32" x14ac:dyDescent="0.25">
      <c r="T145" s="63"/>
      <c r="U145" s="53" t="s">
        <v>430</v>
      </c>
      <c r="V145" s="52" t="s">
        <v>431</v>
      </c>
      <c r="W145" s="53" t="s">
        <v>430</v>
      </c>
      <c r="X145" s="52" t="s">
        <v>572</v>
      </c>
      <c r="Y145" s="53" t="s">
        <v>430</v>
      </c>
      <c r="Z145" s="52" t="s">
        <v>431</v>
      </c>
      <c r="AA145" s="53" t="s">
        <v>430</v>
      </c>
      <c r="AB145" s="52" t="s">
        <v>572</v>
      </c>
      <c r="AC145" s="53" t="s">
        <v>430</v>
      </c>
      <c r="AD145" s="52" t="s">
        <v>572</v>
      </c>
      <c r="AE145" s="63"/>
      <c r="AF145" s="63"/>
    </row>
    <row r="146" spans="20:32" x14ac:dyDescent="0.25">
      <c r="T146" s="63"/>
      <c r="U146" s="53" t="s">
        <v>432</v>
      </c>
      <c r="V146" s="52" t="s">
        <v>520</v>
      </c>
      <c r="W146" s="53" t="s">
        <v>432</v>
      </c>
      <c r="X146" s="52" t="s">
        <v>811</v>
      </c>
      <c r="Y146" s="53" t="s">
        <v>432</v>
      </c>
      <c r="Z146" s="52" t="s">
        <v>815</v>
      </c>
      <c r="AA146" s="53" t="s">
        <v>432</v>
      </c>
      <c r="AB146" s="52" t="s">
        <v>819</v>
      </c>
      <c r="AC146" s="53" t="s">
        <v>432</v>
      </c>
      <c r="AD146" s="52" t="s">
        <v>823</v>
      </c>
      <c r="AE146" s="63"/>
      <c r="AF146" s="63"/>
    </row>
    <row r="147" spans="20:32" x14ac:dyDescent="0.25">
      <c r="T147" s="63"/>
      <c r="U147" s="53"/>
      <c r="V147" s="52"/>
      <c r="W147" s="53"/>
      <c r="X147" s="52"/>
      <c r="Y147" s="53"/>
      <c r="Z147" s="52"/>
      <c r="AA147" s="53"/>
      <c r="AB147" s="52"/>
      <c r="AC147" s="53"/>
      <c r="AD147" s="52"/>
      <c r="AE147" s="63"/>
      <c r="AF147" s="63"/>
    </row>
    <row r="148" spans="20:32" x14ac:dyDescent="0.25">
      <c r="T148" s="63"/>
      <c r="U148" s="53" t="s">
        <v>434</v>
      </c>
      <c r="V148" s="52"/>
      <c r="W148" s="53" t="s">
        <v>434</v>
      </c>
      <c r="X148" s="52"/>
      <c r="Y148" s="53" t="s">
        <v>434</v>
      </c>
      <c r="Z148" s="52"/>
      <c r="AA148" s="53" t="s">
        <v>434</v>
      </c>
      <c r="AB148" s="52"/>
      <c r="AC148" s="53" t="s">
        <v>434</v>
      </c>
      <c r="AD148" s="52"/>
      <c r="AE148" s="63"/>
      <c r="AF148" s="63"/>
    </row>
    <row r="149" spans="20:32" x14ac:dyDescent="0.25">
      <c r="T149" s="63"/>
      <c r="U149" s="53" t="s">
        <v>458</v>
      </c>
      <c r="V149" s="52">
        <v>-4.3330000000000002</v>
      </c>
      <c r="W149" s="53" t="s">
        <v>435</v>
      </c>
      <c r="X149" s="52">
        <v>15.67</v>
      </c>
      <c r="Y149" s="53" t="s">
        <v>687</v>
      </c>
      <c r="Z149" s="52">
        <v>11.33</v>
      </c>
      <c r="AA149" s="53" t="s">
        <v>436</v>
      </c>
      <c r="AB149" s="52">
        <v>19</v>
      </c>
      <c r="AC149" s="53" t="s">
        <v>436</v>
      </c>
      <c r="AD149" s="52">
        <v>19</v>
      </c>
      <c r="AE149" s="63"/>
      <c r="AF149" s="63"/>
    </row>
    <row r="150" spans="20:32" x14ac:dyDescent="0.25">
      <c r="T150" s="63"/>
      <c r="U150" s="53" t="s">
        <v>459</v>
      </c>
      <c r="V150" s="52">
        <v>4.1630000000000003</v>
      </c>
      <c r="W150" s="53" t="s">
        <v>436</v>
      </c>
      <c r="X150" s="52">
        <v>19</v>
      </c>
      <c r="Y150" s="53" t="s">
        <v>714</v>
      </c>
      <c r="Z150" s="52">
        <v>9.3330000000000002</v>
      </c>
      <c r="AA150" s="53" t="s">
        <v>714</v>
      </c>
      <c r="AB150" s="52">
        <v>9.3330000000000002</v>
      </c>
      <c r="AC150" s="53" t="s">
        <v>687</v>
      </c>
      <c r="AD150" s="52">
        <v>11.33</v>
      </c>
      <c r="AE150" s="63"/>
      <c r="AF150" s="63"/>
    </row>
    <row r="151" spans="20:32" x14ac:dyDescent="0.25">
      <c r="T151" s="63"/>
      <c r="U151" s="53" t="s">
        <v>460</v>
      </c>
      <c r="V151" s="52">
        <v>2.4039999999999999</v>
      </c>
      <c r="W151" s="53" t="s">
        <v>437</v>
      </c>
      <c r="X151" s="52" t="s">
        <v>812</v>
      </c>
      <c r="Y151" s="53" t="s">
        <v>721</v>
      </c>
      <c r="Z151" s="52" t="s">
        <v>816</v>
      </c>
      <c r="AA151" s="53" t="s">
        <v>715</v>
      </c>
      <c r="AB151" s="52" t="s">
        <v>820</v>
      </c>
      <c r="AC151" s="53" t="s">
        <v>758</v>
      </c>
      <c r="AD151" s="52" t="s">
        <v>824</v>
      </c>
      <c r="AE151" s="63"/>
      <c r="AF151" s="63"/>
    </row>
    <row r="152" spans="20:32" x14ac:dyDescent="0.25">
      <c r="T152" s="63"/>
      <c r="U152" s="53" t="s">
        <v>439</v>
      </c>
      <c r="V152" s="52" t="s">
        <v>521</v>
      </c>
      <c r="W152" s="53" t="s">
        <v>439</v>
      </c>
      <c r="X152" s="52" t="s">
        <v>813</v>
      </c>
      <c r="Y152" s="53" t="s">
        <v>439</v>
      </c>
      <c r="Z152" s="52" t="s">
        <v>817</v>
      </c>
      <c r="AA152" s="53" t="s">
        <v>439</v>
      </c>
      <c r="AB152" s="52" t="s">
        <v>821</v>
      </c>
      <c r="AC152" s="53" t="s">
        <v>439</v>
      </c>
      <c r="AD152" s="52" t="s">
        <v>825</v>
      </c>
      <c r="AE152" s="63"/>
      <c r="AF152" s="63"/>
    </row>
    <row r="153" spans="20:32" x14ac:dyDescent="0.25">
      <c r="T153" s="63"/>
      <c r="U153" s="53" t="s">
        <v>462</v>
      </c>
      <c r="V153" s="52">
        <v>0.61899999999999999</v>
      </c>
      <c r="W153" s="53" t="s">
        <v>441</v>
      </c>
      <c r="X153" s="52">
        <v>0.35210000000000002</v>
      </c>
      <c r="Y153" s="53" t="s">
        <v>441</v>
      </c>
      <c r="Z153" s="52">
        <v>7.5630000000000003E-2</v>
      </c>
      <c r="AA153" s="53" t="s">
        <v>441</v>
      </c>
      <c r="AB153" s="52">
        <v>0.70489999999999997</v>
      </c>
      <c r="AC153" s="53" t="s">
        <v>441</v>
      </c>
      <c r="AD153" s="52">
        <v>0.76780000000000004</v>
      </c>
      <c r="AE153" s="63"/>
      <c r="AF153" s="63"/>
    </row>
    <row r="154" spans="20:32" x14ac:dyDescent="0.25">
      <c r="T154" s="63"/>
      <c r="U154" s="53"/>
      <c r="V154" s="52"/>
      <c r="W154" s="53"/>
      <c r="X154" s="52"/>
      <c r="Y154" s="53"/>
      <c r="Z154" s="52"/>
      <c r="AA154" s="53"/>
      <c r="AB154" s="52"/>
      <c r="AC154" s="53"/>
      <c r="AD154" s="52"/>
      <c r="AE154" s="63"/>
      <c r="AF154" s="63"/>
    </row>
    <row r="155" spans="20:32" x14ac:dyDescent="0.25">
      <c r="T155" s="63"/>
      <c r="U155" s="53" t="s">
        <v>463</v>
      </c>
      <c r="V155" s="52"/>
      <c r="W155" s="53" t="s">
        <v>442</v>
      </c>
      <c r="X155" s="52"/>
      <c r="Y155" s="53" t="s">
        <v>442</v>
      </c>
      <c r="Z155" s="52"/>
      <c r="AA155" s="53" t="s">
        <v>442</v>
      </c>
      <c r="AB155" s="52"/>
      <c r="AC155" s="53" t="s">
        <v>442</v>
      </c>
      <c r="AD155" s="52"/>
      <c r="AE155" s="63"/>
      <c r="AF155" s="63"/>
    </row>
    <row r="156" spans="20:32" x14ac:dyDescent="0.25">
      <c r="T156" s="63"/>
      <c r="U156" s="53" t="s">
        <v>464</v>
      </c>
      <c r="V156" s="52">
        <v>0.23619999999999999</v>
      </c>
      <c r="W156" s="53" t="s">
        <v>443</v>
      </c>
      <c r="X156" s="52" t="s">
        <v>814</v>
      </c>
      <c r="Y156" s="53" t="s">
        <v>443</v>
      </c>
      <c r="Z156" s="52" t="s">
        <v>818</v>
      </c>
      <c r="AA156" s="53" t="s">
        <v>443</v>
      </c>
      <c r="AB156" s="52" t="s">
        <v>822</v>
      </c>
      <c r="AC156" s="53" t="s">
        <v>443</v>
      </c>
      <c r="AD156" s="52" t="s">
        <v>762</v>
      </c>
      <c r="AE156" s="63"/>
      <c r="AF156" s="63"/>
    </row>
    <row r="157" spans="20:32" x14ac:dyDescent="0.25">
      <c r="T157" s="63"/>
      <c r="U157" s="53" t="s">
        <v>465</v>
      </c>
      <c r="V157" s="52">
        <v>0.42409999999999998</v>
      </c>
      <c r="W157" s="53" t="s">
        <v>425</v>
      </c>
      <c r="X157" s="52">
        <v>0.39129999999999998</v>
      </c>
      <c r="Y157" s="53" t="s">
        <v>425</v>
      </c>
      <c r="Z157" s="52">
        <v>0.56359999999999999</v>
      </c>
      <c r="AA157" s="53" t="s">
        <v>425</v>
      </c>
      <c r="AB157" s="52">
        <v>0.20449999999999999</v>
      </c>
      <c r="AC157" s="53" t="s">
        <v>425</v>
      </c>
      <c r="AD157" s="52">
        <v>0.45</v>
      </c>
      <c r="AE157" s="63"/>
      <c r="AF157" s="63"/>
    </row>
    <row r="158" spans="20:32" x14ac:dyDescent="0.25">
      <c r="T158" s="63"/>
      <c r="U158" s="53" t="s">
        <v>426</v>
      </c>
      <c r="V158" s="52" t="s">
        <v>445</v>
      </c>
      <c r="W158" s="53" t="s">
        <v>426</v>
      </c>
      <c r="X158" s="52" t="s">
        <v>445</v>
      </c>
      <c r="Y158" s="53" t="s">
        <v>426</v>
      </c>
      <c r="Z158" s="52" t="s">
        <v>445</v>
      </c>
      <c r="AA158" s="53" t="s">
        <v>426</v>
      </c>
      <c r="AB158" s="52" t="s">
        <v>445</v>
      </c>
      <c r="AC158" s="53" t="s">
        <v>426</v>
      </c>
      <c r="AD158" s="52" t="s">
        <v>445</v>
      </c>
      <c r="AE158" s="63"/>
      <c r="AF158" s="63"/>
    </row>
    <row r="159" spans="20:32" x14ac:dyDescent="0.25">
      <c r="T159" s="63"/>
      <c r="U159" s="53" t="s">
        <v>466</v>
      </c>
      <c r="V159" s="52" t="s">
        <v>446</v>
      </c>
      <c r="W159" s="53" t="s">
        <v>428</v>
      </c>
      <c r="X159" s="52" t="s">
        <v>446</v>
      </c>
      <c r="Y159" s="53" t="s">
        <v>428</v>
      </c>
      <c r="Z159" s="52" t="s">
        <v>446</v>
      </c>
      <c r="AA159" s="53" t="s">
        <v>428</v>
      </c>
      <c r="AB159" s="52" t="s">
        <v>446</v>
      </c>
      <c r="AC159" s="53" t="s">
        <v>428</v>
      </c>
      <c r="AD159" s="52" t="s">
        <v>446</v>
      </c>
      <c r="AE159" s="63"/>
      <c r="AF159" s="63"/>
    </row>
    <row r="160" spans="20:32" x14ac:dyDescent="0.25">
      <c r="T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</row>
    <row r="161" spans="18:32" x14ac:dyDescent="0.25"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</row>
    <row r="162" spans="18:32" x14ac:dyDescent="0.25">
      <c r="U162" s="70" t="s">
        <v>491</v>
      </c>
      <c r="V162" s="70" t="s">
        <v>352</v>
      </c>
      <c r="W162" s="70" t="s">
        <v>347</v>
      </c>
      <c r="X162" s="70" t="s">
        <v>701</v>
      </c>
      <c r="Y162" s="70" t="s">
        <v>702</v>
      </c>
      <c r="Z162" s="70" t="s">
        <v>703</v>
      </c>
      <c r="AA162" s="70" t="s">
        <v>492</v>
      </c>
      <c r="AB162" s="70" t="s">
        <v>388</v>
      </c>
      <c r="AC162" s="70" t="s">
        <v>383</v>
      </c>
      <c r="AD162" s="70" t="s">
        <v>698</v>
      </c>
      <c r="AE162" s="70" t="s">
        <v>699</v>
      </c>
      <c r="AF162" s="70" t="s">
        <v>700</v>
      </c>
    </row>
    <row r="163" spans="18:32" x14ac:dyDescent="0.25">
      <c r="T163" s="70" t="s">
        <v>499</v>
      </c>
      <c r="U163" s="70">
        <v>50</v>
      </c>
      <c r="V163" s="70">
        <v>60</v>
      </c>
      <c r="W163" s="70">
        <v>55</v>
      </c>
      <c r="X163" s="70">
        <v>70</v>
      </c>
      <c r="Y163" s="70">
        <v>75</v>
      </c>
      <c r="Z163" s="70">
        <v>70</v>
      </c>
      <c r="AA163" s="70">
        <v>70</v>
      </c>
      <c r="AB163" s="70">
        <v>75</v>
      </c>
      <c r="AC163" s="70">
        <v>90</v>
      </c>
      <c r="AD163" s="70">
        <v>190</v>
      </c>
      <c r="AE163" s="70">
        <v>185</v>
      </c>
      <c r="AF163" s="70">
        <v>175</v>
      </c>
    </row>
    <row r="164" spans="18:32" x14ac:dyDescent="0.25">
      <c r="T164" s="70" t="s">
        <v>605</v>
      </c>
      <c r="U164" s="117" t="s">
        <v>606</v>
      </c>
      <c r="V164" s="118"/>
      <c r="W164" s="117" t="s">
        <v>704</v>
      </c>
      <c r="X164" s="118"/>
      <c r="Y164" s="117" t="s">
        <v>705</v>
      </c>
      <c r="Z164" s="118"/>
      <c r="AA164" s="117" t="s">
        <v>706</v>
      </c>
      <c r="AB164" s="118"/>
      <c r="AC164" s="117" t="s">
        <v>707</v>
      </c>
    </row>
    <row r="165" spans="18:32" x14ac:dyDescent="0.25">
      <c r="T165" s="63"/>
      <c r="U165" s="53" t="s">
        <v>684</v>
      </c>
      <c r="V165" s="52" t="s">
        <v>742</v>
      </c>
      <c r="W165" s="53" t="s">
        <v>419</v>
      </c>
      <c r="X165" s="52" t="s">
        <v>743</v>
      </c>
      <c r="Y165" s="53" t="s">
        <v>710</v>
      </c>
      <c r="Z165" s="52" t="s">
        <v>748</v>
      </c>
      <c r="AA165" s="53" t="s">
        <v>710</v>
      </c>
      <c r="AB165" s="52" t="s">
        <v>748</v>
      </c>
      <c r="AC165" s="53" t="s">
        <v>684</v>
      </c>
      <c r="AD165" s="52" t="s">
        <v>742</v>
      </c>
      <c r="AE165" s="63"/>
      <c r="AF165" s="63"/>
    </row>
    <row r="166" spans="18:32" x14ac:dyDescent="0.25">
      <c r="T166" s="63"/>
      <c r="U166" s="53" t="s">
        <v>421</v>
      </c>
      <c r="V166" s="52" t="s">
        <v>421</v>
      </c>
      <c r="W166" s="53" t="s">
        <v>421</v>
      </c>
      <c r="X166" s="52" t="s">
        <v>421</v>
      </c>
      <c r="Y166" s="53" t="s">
        <v>421</v>
      </c>
      <c r="Z166" s="52" t="s">
        <v>421</v>
      </c>
      <c r="AA166" s="53" t="s">
        <v>421</v>
      </c>
      <c r="AB166" s="52" t="s">
        <v>421</v>
      </c>
      <c r="AC166" s="53" t="s">
        <v>421</v>
      </c>
      <c r="AD166" s="52" t="s">
        <v>421</v>
      </c>
      <c r="AE166" s="63"/>
      <c r="AF166" s="63"/>
    </row>
    <row r="167" spans="18:32" x14ac:dyDescent="0.25">
      <c r="T167" s="63"/>
      <c r="U167" s="53" t="s">
        <v>422</v>
      </c>
      <c r="V167" s="52" t="s">
        <v>412</v>
      </c>
      <c r="W167" s="53" t="s">
        <v>422</v>
      </c>
      <c r="X167" s="52" t="s">
        <v>412</v>
      </c>
      <c r="Y167" s="53" t="s">
        <v>684</v>
      </c>
      <c r="Z167" s="52" t="s">
        <v>742</v>
      </c>
      <c r="AA167" s="53" t="s">
        <v>419</v>
      </c>
      <c r="AB167" s="52" t="s">
        <v>743</v>
      </c>
      <c r="AC167" s="53" t="s">
        <v>419</v>
      </c>
      <c r="AD167" s="52" t="s">
        <v>743</v>
      </c>
      <c r="AE167" s="63"/>
      <c r="AF167" s="63"/>
    </row>
    <row r="168" spans="18:32" x14ac:dyDescent="0.25">
      <c r="T168" s="63"/>
      <c r="U168" s="53"/>
      <c r="V168" s="52"/>
      <c r="W168" s="53"/>
      <c r="X168" s="52"/>
      <c r="Y168" s="53"/>
      <c r="Z168" s="52"/>
      <c r="AA168" s="53"/>
      <c r="AB168" s="52"/>
      <c r="AC168" s="53"/>
      <c r="AD168" s="52"/>
      <c r="AE168" s="63"/>
      <c r="AF168" s="63"/>
    </row>
    <row r="169" spans="18:32" x14ac:dyDescent="0.25">
      <c r="T169" s="63"/>
      <c r="U169" s="53" t="s">
        <v>424</v>
      </c>
      <c r="V169" s="52"/>
      <c r="W169" s="53" t="s">
        <v>424</v>
      </c>
      <c r="X169" s="52"/>
      <c r="Y169" s="53" t="s">
        <v>424</v>
      </c>
      <c r="Z169" s="52"/>
      <c r="AA169" s="53" t="s">
        <v>424</v>
      </c>
      <c r="AB169" s="52"/>
      <c r="AC169" s="53" t="s">
        <v>424</v>
      </c>
      <c r="AD169" s="52"/>
      <c r="AE169" s="63"/>
      <c r="AF169" s="63"/>
    </row>
    <row r="170" spans="18:32" x14ac:dyDescent="0.25">
      <c r="T170" s="63"/>
      <c r="U170" s="53" t="s">
        <v>425</v>
      </c>
      <c r="V170" s="52">
        <v>2.4899999999999999E-2</v>
      </c>
      <c r="W170" s="53" t="s">
        <v>425</v>
      </c>
      <c r="X170" s="52">
        <v>3.7000000000000002E-3</v>
      </c>
      <c r="Y170" s="53" t="s">
        <v>425</v>
      </c>
      <c r="Z170" s="52">
        <v>1E-4</v>
      </c>
      <c r="AA170" s="53" t="s">
        <v>425</v>
      </c>
      <c r="AB170" s="52" t="s">
        <v>616</v>
      </c>
      <c r="AC170" s="53" t="s">
        <v>425</v>
      </c>
      <c r="AD170" s="52">
        <v>0.1726</v>
      </c>
      <c r="AE170" s="63"/>
      <c r="AF170" s="63"/>
    </row>
    <row r="171" spans="18:32" x14ac:dyDescent="0.25">
      <c r="R171" s="70" t="s">
        <v>398</v>
      </c>
      <c r="T171" s="63"/>
      <c r="U171" s="53" t="s">
        <v>426</v>
      </c>
      <c r="V171" s="52" t="s">
        <v>508</v>
      </c>
      <c r="W171" s="53" t="s">
        <v>426</v>
      </c>
      <c r="X171" s="52" t="s">
        <v>427</v>
      </c>
      <c r="Y171" s="53" t="s">
        <v>426</v>
      </c>
      <c r="Z171" s="52" t="s">
        <v>454</v>
      </c>
      <c r="AA171" s="53" t="s">
        <v>426</v>
      </c>
      <c r="AB171" s="52" t="s">
        <v>555</v>
      </c>
      <c r="AC171" s="53" t="s">
        <v>426</v>
      </c>
      <c r="AD171" s="52" t="s">
        <v>445</v>
      </c>
      <c r="AE171" s="63"/>
      <c r="AF171" s="63"/>
    </row>
    <row r="172" spans="18:32" x14ac:dyDescent="0.25">
      <c r="T172" s="63"/>
      <c r="U172" s="53" t="s">
        <v>428</v>
      </c>
      <c r="V172" s="52" t="s">
        <v>429</v>
      </c>
      <c r="W172" s="53" t="s">
        <v>428</v>
      </c>
      <c r="X172" s="52" t="s">
        <v>429</v>
      </c>
      <c r="Y172" s="53" t="s">
        <v>428</v>
      </c>
      <c r="Z172" s="52" t="s">
        <v>429</v>
      </c>
      <c r="AA172" s="53" t="s">
        <v>428</v>
      </c>
      <c r="AB172" s="52" t="s">
        <v>429</v>
      </c>
      <c r="AC172" s="53" t="s">
        <v>428</v>
      </c>
      <c r="AD172" s="52" t="s">
        <v>446</v>
      </c>
      <c r="AE172" s="63"/>
      <c r="AF172" s="63"/>
    </row>
    <row r="173" spans="18:32" x14ac:dyDescent="0.25">
      <c r="T173" s="63"/>
      <c r="U173" s="53" t="s">
        <v>430</v>
      </c>
      <c r="V173" s="52" t="s">
        <v>431</v>
      </c>
      <c r="W173" s="53" t="s">
        <v>430</v>
      </c>
      <c r="X173" s="52" t="s">
        <v>572</v>
      </c>
      <c r="Y173" s="53" t="s">
        <v>430</v>
      </c>
      <c r="Z173" s="52" t="s">
        <v>431</v>
      </c>
      <c r="AA173" s="53" t="s">
        <v>430</v>
      </c>
      <c r="AB173" s="52" t="s">
        <v>572</v>
      </c>
      <c r="AC173" s="53" t="s">
        <v>430</v>
      </c>
      <c r="AD173" s="52" t="s">
        <v>572</v>
      </c>
      <c r="AE173" s="63"/>
      <c r="AF173" s="63"/>
    </row>
    <row r="174" spans="18:32" x14ac:dyDescent="0.25">
      <c r="T174" s="63"/>
      <c r="U174" s="53" t="s">
        <v>432</v>
      </c>
      <c r="V174" s="52" t="s">
        <v>523</v>
      </c>
      <c r="W174" s="53" t="s">
        <v>432</v>
      </c>
      <c r="X174" s="52" t="s">
        <v>826</v>
      </c>
      <c r="Y174" s="53" t="s">
        <v>432</v>
      </c>
      <c r="Z174" s="52" t="s">
        <v>829</v>
      </c>
      <c r="AA174" s="53" t="s">
        <v>432</v>
      </c>
      <c r="AB174" s="52" t="s">
        <v>833</v>
      </c>
      <c r="AC174" s="53" t="s">
        <v>432</v>
      </c>
      <c r="AD174" s="52" t="s">
        <v>837</v>
      </c>
      <c r="AE174" s="63"/>
      <c r="AF174" s="63"/>
    </row>
    <row r="175" spans="18:32" x14ac:dyDescent="0.25">
      <c r="T175" s="63"/>
      <c r="U175" s="53"/>
      <c r="V175" s="52"/>
      <c r="W175" s="53"/>
      <c r="X175" s="52"/>
      <c r="Y175" s="53"/>
      <c r="Z175" s="52"/>
      <c r="AA175" s="53"/>
      <c r="AB175" s="52"/>
      <c r="AC175" s="53"/>
      <c r="AD175" s="52"/>
      <c r="AE175" s="63"/>
      <c r="AF175" s="63"/>
    </row>
    <row r="176" spans="18:32" x14ac:dyDescent="0.25">
      <c r="T176" s="63"/>
      <c r="U176" s="53" t="s">
        <v>434</v>
      </c>
      <c r="V176" s="52"/>
      <c r="W176" s="53" t="s">
        <v>434</v>
      </c>
      <c r="X176" s="52"/>
      <c r="Y176" s="53" t="s">
        <v>434</v>
      </c>
      <c r="Z176" s="52"/>
      <c r="AA176" s="53" t="s">
        <v>434</v>
      </c>
      <c r="AB176" s="52"/>
      <c r="AC176" s="53" t="s">
        <v>434</v>
      </c>
      <c r="AD176" s="52"/>
      <c r="AE176" s="63"/>
      <c r="AF176" s="63"/>
    </row>
    <row r="177" spans="20:32" x14ac:dyDescent="0.25">
      <c r="T177" s="63"/>
      <c r="U177" s="53" t="s">
        <v>435</v>
      </c>
      <c r="V177" s="52">
        <v>55</v>
      </c>
      <c r="W177" s="53" t="s">
        <v>435</v>
      </c>
      <c r="X177" s="52">
        <v>55</v>
      </c>
      <c r="Y177" s="53" t="s">
        <v>687</v>
      </c>
      <c r="Z177" s="52">
        <v>78.33</v>
      </c>
      <c r="AA177" s="53" t="s">
        <v>436</v>
      </c>
      <c r="AB177" s="52">
        <v>71.67</v>
      </c>
      <c r="AC177" s="53" t="s">
        <v>436</v>
      </c>
      <c r="AD177" s="52">
        <v>71.67</v>
      </c>
      <c r="AE177" s="63"/>
      <c r="AF177" s="63"/>
    </row>
    <row r="178" spans="20:32" x14ac:dyDescent="0.25">
      <c r="T178" s="63"/>
      <c r="U178" s="53" t="s">
        <v>687</v>
      </c>
      <c r="V178" s="52">
        <v>78.33</v>
      </c>
      <c r="W178" s="53" t="s">
        <v>436</v>
      </c>
      <c r="X178" s="52">
        <v>71.67</v>
      </c>
      <c r="Y178" s="53" t="s">
        <v>714</v>
      </c>
      <c r="Z178" s="52">
        <v>183.3</v>
      </c>
      <c r="AA178" s="53" t="s">
        <v>714</v>
      </c>
      <c r="AB178" s="52">
        <v>183.3</v>
      </c>
      <c r="AC178" s="53" t="s">
        <v>687</v>
      </c>
      <c r="AD178" s="52">
        <v>78.33</v>
      </c>
      <c r="AE178" s="63"/>
      <c r="AF178" s="63"/>
    </row>
    <row r="179" spans="20:32" x14ac:dyDescent="0.25">
      <c r="T179" s="63"/>
      <c r="U179" s="53" t="s">
        <v>688</v>
      </c>
      <c r="V179" s="52" t="s">
        <v>524</v>
      </c>
      <c r="W179" s="53" t="s">
        <v>437</v>
      </c>
      <c r="X179" s="52" t="s">
        <v>827</v>
      </c>
      <c r="Y179" s="53" t="s">
        <v>721</v>
      </c>
      <c r="Z179" s="52" t="s">
        <v>830</v>
      </c>
      <c r="AA179" s="53" t="s">
        <v>715</v>
      </c>
      <c r="AB179" s="52" t="s">
        <v>834</v>
      </c>
      <c r="AC179" s="53" t="s">
        <v>758</v>
      </c>
      <c r="AD179" s="52" t="s">
        <v>838</v>
      </c>
      <c r="AE179" s="63"/>
      <c r="AF179" s="63"/>
    </row>
    <row r="180" spans="20:32" x14ac:dyDescent="0.25">
      <c r="T180" s="63"/>
      <c r="U180" s="53" t="s">
        <v>439</v>
      </c>
      <c r="V180" s="52" t="s">
        <v>525</v>
      </c>
      <c r="W180" s="53" t="s">
        <v>439</v>
      </c>
      <c r="X180" s="52" t="s">
        <v>828</v>
      </c>
      <c r="Y180" s="53" t="s">
        <v>439</v>
      </c>
      <c r="Z180" s="52" t="s">
        <v>831</v>
      </c>
      <c r="AA180" s="53" t="s">
        <v>439</v>
      </c>
      <c r="AB180" s="52" t="s">
        <v>835</v>
      </c>
      <c r="AC180" s="53" t="s">
        <v>439</v>
      </c>
      <c r="AD180" s="52" t="s">
        <v>839</v>
      </c>
      <c r="AE180" s="63"/>
      <c r="AF180" s="63"/>
    </row>
    <row r="181" spans="20:32" x14ac:dyDescent="0.25">
      <c r="T181" s="63"/>
      <c r="U181" s="53" t="s">
        <v>441</v>
      </c>
      <c r="V181" s="52">
        <v>0.75380000000000003</v>
      </c>
      <c r="W181" s="53" t="s">
        <v>441</v>
      </c>
      <c r="X181" s="52">
        <v>0.86209999999999998</v>
      </c>
      <c r="Y181" s="53" t="s">
        <v>441</v>
      </c>
      <c r="Z181" s="52">
        <v>0.98019999999999996</v>
      </c>
      <c r="AA181" s="53" t="s">
        <v>441</v>
      </c>
      <c r="AB181" s="52">
        <v>0.9929</v>
      </c>
      <c r="AC181" s="53" t="s">
        <v>441</v>
      </c>
      <c r="AD181" s="52">
        <v>0.22220000000000001</v>
      </c>
      <c r="AE181" s="63"/>
      <c r="AF181" s="63"/>
    </row>
    <row r="182" spans="20:32" x14ac:dyDescent="0.25">
      <c r="T182" s="63"/>
      <c r="U182" s="53"/>
      <c r="V182" s="52"/>
      <c r="W182" s="53"/>
      <c r="X182" s="52"/>
      <c r="Y182" s="53"/>
      <c r="Z182" s="52"/>
      <c r="AA182" s="53"/>
      <c r="AB182" s="52"/>
      <c r="AC182" s="53"/>
      <c r="AD182" s="52"/>
      <c r="AE182" s="63"/>
      <c r="AF182" s="63"/>
    </row>
    <row r="183" spans="20:32" x14ac:dyDescent="0.25">
      <c r="T183" s="63"/>
      <c r="U183" s="53" t="s">
        <v>442</v>
      </c>
      <c r="V183" s="52"/>
      <c r="W183" s="53" t="s">
        <v>442</v>
      </c>
      <c r="X183" s="52"/>
      <c r="Y183" s="53" t="s">
        <v>442</v>
      </c>
      <c r="Z183" s="52"/>
      <c r="AA183" s="53" t="s">
        <v>442</v>
      </c>
      <c r="AB183" s="52"/>
      <c r="AC183" s="53" t="s">
        <v>442</v>
      </c>
      <c r="AD183" s="52"/>
      <c r="AE183" s="63"/>
      <c r="AF183" s="63"/>
    </row>
    <row r="184" spans="20:32" x14ac:dyDescent="0.25">
      <c r="T184" s="63"/>
      <c r="U184" s="53" t="s">
        <v>443</v>
      </c>
      <c r="V184" s="52" t="s">
        <v>526</v>
      </c>
      <c r="W184" s="53" t="s">
        <v>443</v>
      </c>
      <c r="X184" s="52" t="s">
        <v>505</v>
      </c>
      <c r="Y184" s="53" t="s">
        <v>443</v>
      </c>
      <c r="Z184" s="52" t="s">
        <v>832</v>
      </c>
      <c r="AA184" s="53" t="s">
        <v>443</v>
      </c>
      <c r="AB184" s="52" t="s">
        <v>836</v>
      </c>
      <c r="AC184" s="53" t="s">
        <v>443</v>
      </c>
      <c r="AD184" s="52" t="s">
        <v>840</v>
      </c>
      <c r="AE184" s="63"/>
      <c r="AF184" s="63"/>
    </row>
    <row r="185" spans="20:32" x14ac:dyDescent="0.25">
      <c r="T185" s="63"/>
      <c r="U185" s="53" t="s">
        <v>425</v>
      </c>
      <c r="V185" s="52">
        <v>0.375</v>
      </c>
      <c r="W185" s="53" t="s">
        <v>425</v>
      </c>
      <c r="X185" s="52">
        <v>0.5</v>
      </c>
      <c r="Y185" s="53" t="s">
        <v>425</v>
      </c>
      <c r="Z185" s="52">
        <v>0.7</v>
      </c>
      <c r="AA185" s="53" t="s">
        <v>425</v>
      </c>
      <c r="AB185" s="52">
        <v>0.25</v>
      </c>
      <c r="AC185" s="53" t="s">
        <v>425</v>
      </c>
      <c r="AD185" s="52">
        <v>0.1429</v>
      </c>
      <c r="AE185" s="63"/>
      <c r="AF185" s="63"/>
    </row>
    <row r="186" spans="20:32" x14ac:dyDescent="0.25">
      <c r="T186" s="63"/>
      <c r="U186" s="53" t="s">
        <v>426</v>
      </c>
      <c r="V186" s="52" t="s">
        <v>445</v>
      </c>
      <c r="W186" s="53" t="s">
        <v>426</v>
      </c>
      <c r="X186" s="52" t="s">
        <v>445</v>
      </c>
      <c r="Y186" s="53" t="s">
        <v>426</v>
      </c>
      <c r="Z186" s="52" t="s">
        <v>445</v>
      </c>
      <c r="AA186" s="53" t="s">
        <v>426</v>
      </c>
      <c r="AB186" s="52" t="s">
        <v>445</v>
      </c>
      <c r="AC186" s="53" t="s">
        <v>426</v>
      </c>
      <c r="AD186" s="52" t="s">
        <v>445</v>
      </c>
      <c r="AE186" s="63"/>
      <c r="AF186" s="63"/>
    </row>
    <row r="187" spans="20:32" x14ac:dyDescent="0.25">
      <c r="T187" s="63"/>
      <c r="U187" s="53" t="s">
        <v>428</v>
      </c>
      <c r="V187" s="52" t="s">
        <v>446</v>
      </c>
      <c r="W187" s="53" t="s">
        <v>428</v>
      </c>
      <c r="X187" s="52" t="s">
        <v>446</v>
      </c>
      <c r="Y187" s="53" t="s">
        <v>428</v>
      </c>
      <c r="Z187" s="52" t="s">
        <v>446</v>
      </c>
      <c r="AA187" s="53" t="s">
        <v>428</v>
      </c>
      <c r="AB187" s="52" t="s">
        <v>446</v>
      </c>
      <c r="AC187" s="53" t="s">
        <v>428</v>
      </c>
      <c r="AD187" s="52" t="s">
        <v>446</v>
      </c>
      <c r="AE187" s="63"/>
      <c r="AF187" s="63"/>
    </row>
    <row r="188" spans="20:32" x14ac:dyDescent="0.25">
      <c r="T188" s="63"/>
      <c r="U188" s="53"/>
      <c r="V188" s="52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</row>
    <row r="189" spans="20:32" x14ac:dyDescent="0.25"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</row>
    <row r="190" spans="20:32" x14ac:dyDescent="0.25"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</row>
    <row r="191" spans="20:32" x14ac:dyDescent="0.25">
      <c r="U191" s="66"/>
      <c r="W191" s="66"/>
      <c r="Y191" s="66"/>
      <c r="AA191" s="66"/>
      <c r="AC191" s="66"/>
    </row>
    <row r="192" spans="20:32" ht="15" x14ac:dyDescent="0.25">
      <c r="U192" s="90"/>
      <c r="V192" s="90"/>
      <c r="W192" s="90"/>
      <c r="X192" s="90"/>
      <c r="Y192" s="90"/>
      <c r="Z192" s="90"/>
      <c r="AA192" s="90"/>
      <c r="AC192" s="90"/>
    </row>
  </sheetData>
  <mergeCells count="1">
    <mergeCell ref="T21:AG2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F4483-5F1B-416F-8D87-F12B4F1F180A}">
  <dimension ref="A1:W86"/>
  <sheetViews>
    <sheetView topLeftCell="E34" zoomScale="85" zoomScaleNormal="85" workbookViewId="0">
      <selection activeCell="I66" sqref="I66"/>
    </sheetView>
  </sheetViews>
  <sheetFormatPr defaultColWidth="19.44140625" defaultRowHeight="13.2" x14ac:dyDescent="0.25"/>
  <cols>
    <col min="1" max="5" width="19.44140625" style="70"/>
    <col min="6" max="6" width="3.21875" style="70" customWidth="1"/>
    <col min="7" max="16384" width="19.44140625" style="70"/>
  </cols>
  <sheetData>
    <row r="1" spans="2:23" ht="13.8" x14ac:dyDescent="0.25">
      <c r="B1" s="163" t="s">
        <v>841</v>
      </c>
      <c r="C1" s="163"/>
      <c r="D1" s="163"/>
      <c r="E1" s="163"/>
      <c r="H1" s="163" t="s">
        <v>842</v>
      </c>
      <c r="I1" s="163"/>
      <c r="J1" s="163"/>
      <c r="K1" s="163"/>
      <c r="N1" s="157"/>
      <c r="O1" s="157"/>
      <c r="P1" s="157"/>
      <c r="Q1" s="157"/>
      <c r="T1" s="157"/>
      <c r="U1" s="157"/>
      <c r="V1" s="157"/>
      <c r="W1" s="157"/>
    </row>
    <row r="2" spans="2:23" s="65" customFormat="1" ht="15.6" x14ac:dyDescent="0.25">
      <c r="B2" s="65" t="s">
        <v>845</v>
      </c>
      <c r="C2" s="65" t="s">
        <v>843</v>
      </c>
      <c r="D2" s="65" t="s">
        <v>846</v>
      </c>
      <c r="E2" s="65" t="s">
        <v>844</v>
      </c>
      <c r="H2" s="65" t="s">
        <v>845</v>
      </c>
      <c r="I2" s="65" t="s">
        <v>843</v>
      </c>
      <c r="J2" s="65" t="s">
        <v>846</v>
      </c>
      <c r="K2" s="65" t="s">
        <v>844</v>
      </c>
    </row>
    <row r="3" spans="2:23" x14ac:dyDescent="0.25">
      <c r="B3" s="70">
        <v>6.54</v>
      </c>
      <c r="C3" s="70">
        <v>8.01</v>
      </c>
      <c r="D3" s="70">
        <v>8.57</v>
      </c>
      <c r="E3" s="70">
        <v>22.61</v>
      </c>
      <c r="H3" s="70">
        <v>1.5969629999999999</v>
      </c>
      <c r="I3" s="70">
        <v>1.564179</v>
      </c>
      <c r="J3" s="70">
        <v>1.089996</v>
      </c>
      <c r="K3" s="70">
        <v>5.6794999999999998E-2</v>
      </c>
    </row>
    <row r="4" spans="2:23" x14ac:dyDescent="0.25">
      <c r="B4" s="70">
        <v>5.64</v>
      </c>
      <c r="C4" s="70">
        <v>3.8</v>
      </c>
      <c r="D4" s="70">
        <v>12.16</v>
      </c>
      <c r="E4" s="70">
        <v>31.26</v>
      </c>
      <c r="H4" s="70">
        <v>1.481616</v>
      </c>
      <c r="I4" s="70">
        <v>1.37496</v>
      </c>
      <c r="J4" s="70">
        <v>0.88715699999999997</v>
      </c>
      <c r="K4" s="70">
        <v>0.90869</v>
      </c>
    </row>
    <row r="5" spans="2:23" x14ac:dyDescent="0.25">
      <c r="B5" s="70">
        <v>6.18</v>
      </c>
      <c r="C5" s="70">
        <v>6.98</v>
      </c>
      <c r="D5" s="70">
        <v>10.33</v>
      </c>
      <c r="E5" s="70">
        <v>29.38</v>
      </c>
      <c r="H5" s="70">
        <v>1.7341340000000001</v>
      </c>
      <c r="I5" s="70">
        <v>1.1871160000000001</v>
      </c>
      <c r="J5" s="70">
        <v>0.813531</v>
      </c>
      <c r="K5" s="70">
        <v>0.83174899999999996</v>
      </c>
    </row>
    <row r="6" spans="2:23" x14ac:dyDescent="0.25">
      <c r="B6" s="70">
        <v>6.3</v>
      </c>
      <c r="C6" s="70">
        <v>7.02</v>
      </c>
      <c r="D6" s="70">
        <v>12.3</v>
      </c>
      <c r="E6" s="70">
        <v>32.99</v>
      </c>
      <c r="H6" s="70">
        <v>1.090465</v>
      </c>
      <c r="I6" s="70">
        <v>1.1844300000000001</v>
      </c>
      <c r="J6" s="70">
        <v>1.2521059999999999</v>
      </c>
      <c r="K6" s="70">
        <v>0.93199799999999999</v>
      </c>
    </row>
    <row r="7" spans="2:23" x14ac:dyDescent="0.25">
      <c r="B7" s="70">
        <v>5.84</v>
      </c>
      <c r="C7" s="70">
        <v>6.34</v>
      </c>
      <c r="D7" s="70">
        <v>13.88</v>
      </c>
      <c r="E7" s="70">
        <v>35.54</v>
      </c>
      <c r="H7" s="70">
        <v>1.731765</v>
      </c>
      <c r="I7" s="70">
        <v>1.5144629999999999</v>
      </c>
      <c r="J7" s="70">
        <v>0.30612200000000001</v>
      </c>
      <c r="K7" s="70">
        <v>0.63129100000000005</v>
      </c>
    </row>
    <row r="8" spans="2:23" x14ac:dyDescent="0.25">
      <c r="B8" s="70">
        <v>1.1100000000000001</v>
      </c>
      <c r="C8" s="70">
        <v>2.2400000000000002</v>
      </c>
      <c r="D8" s="70">
        <v>14.03</v>
      </c>
      <c r="E8" s="70">
        <v>36.35</v>
      </c>
      <c r="H8" s="70">
        <v>1.769253</v>
      </c>
      <c r="I8" s="70">
        <v>1.538975</v>
      </c>
      <c r="J8" s="70">
        <v>1.3443769999999999</v>
      </c>
      <c r="K8" s="70">
        <v>0.77748799999999996</v>
      </c>
    </row>
    <row r="9" spans="2:23" x14ac:dyDescent="0.25">
      <c r="B9" s="70">
        <v>3.85</v>
      </c>
      <c r="C9" s="70">
        <v>2.44</v>
      </c>
      <c r="D9" s="70">
        <v>11.49</v>
      </c>
      <c r="E9" s="70">
        <v>32.08</v>
      </c>
      <c r="H9" s="70">
        <v>1.705497</v>
      </c>
      <c r="I9" s="70">
        <v>1.4963839999999999</v>
      </c>
      <c r="J9" s="70">
        <v>0.742008</v>
      </c>
      <c r="K9" s="70">
        <v>0.79621799999999998</v>
      </c>
    </row>
    <row r="10" spans="2:23" x14ac:dyDescent="0.25">
      <c r="B10" s="70">
        <v>4.01</v>
      </c>
      <c r="C10" s="70">
        <v>6.32</v>
      </c>
      <c r="D10" s="70">
        <v>9.66</v>
      </c>
      <c r="E10" s="70">
        <v>28.54</v>
      </c>
      <c r="H10" s="70">
        <v>1.7151860000000001</v>
      </c>
      <c r="I10" s="70">
        <v>1.5536779999999999</v>
      </c>
      <c r="J10" s="70">
        <v>1.0786150000000001</v>
      </c>
      <c r="K10" s="70">
        <v>5.4786000000000001E-2</v>
      </c>
    </row>
    <row r="11" spans="2:23" x14ac:dyDescent="0.25">
      <c r="B11" s="70">
        <v>4.26</v>
      </c>
      <c r="C11" s="70">
        <v>3.83</v>
      </c>
      <c r="D11" s="70">
        <v>11.53</v>
      </c>
      <c r="E11" s="70">
        <v>25.94</v>
      </c>
      <c r="H11" s="70">
        <v>1.627273</v>
      </c>
      <c r="J11" s="70">
        <v>1.1682459999999999</v>
      </c>
      <c r="K11" s="70">
        <v>4.9082000000000001E-2</v>
      </c>
    </row>
    <row r="12" spans="2:23" x14ac:dyDescent="0.25">
      <c r="B12" s="70">
        <v>3.41</v>
      </c>
      <c r="C12" s="70">
        <v>7.76</v>
      </c>
      <c r="D12" s="70">
        <v>9.6199999999999992</v>
      </c>
      <c r="E12" s="70">
        <v>27</v>
      </c>
      <c r="H12" s="70">
        <v>1.25881</v>
      </c>
      <c r="J12" s="70">
        <v>1.446307</v>
      </c>
      <c r="K12" s="70">
        <v>0.123616</v>
      </c>
    </row>
    <row r="13" spans="2:23" x14ac:dyDescent="0.25">
      <c r="B13" s="70">
        <v>3.15</v>
      </c>
      <c r="D13" s="70">
        <v>14.32</v>
      </c>
      <c r="E13" s="70">
        <v>26.52</v>
      </c>
      <c r="H13" s="70">
        <v>1.258907</v>
      </c>
      <c r="J13" s="70">
        <v>1.1664300000000001</v>
      </c>
      <c r="K13" s="70">
        <v>1.1585049999999999</v>
      </c>
    </row>
    <row r="14" spans="2:23" x14ac:dyDescent="0.25">
      <c r="B14" s="70">
        <v>4.37</v>
      </c>
      <c r="D14" s="70">
        <v>9.3699999999999992</v>
      </c>
      <c r="E14" s="70">
        <v>20.32</v>
      </c>
      <c r="H14" s="70">
        <v>1.4634990000000001</v>
      </c>
      <c r="J14" s="70">
        <v>1.266667</v>
      </c>
      <c r="K14" s="70">
        <v>0.97775299999999998</v>
      </c>
    </row>
    <row r="15" spans="2:23" x14ac:dyDescent="0.25">
      <c r="B15" s="70">
        <v>4.18</v>
      </c>
      <c r="D15" s="70">
        <v>10.4</v>
      </c>
      <c r="E15" s="70">
        <v>22.97</v>
      </c>
      <c r="H15" s="70">
        <v>1.456102</v>
      </c>
      <c r="J15" s="70">
        <v>0.58436399999999999</v>
      </c>
      <c r="K15" s="70">
        <v>1.048729</v>
      </c>
    </row>
    <row r="16" spans="2:23" x14ac:dyDescent="0.25">
      <c r="B16" s="70">
        <v>4.76</v>
      </c>
      <c r="D16" s="70">
        <v>10.31</v>
      </c>
      <c r="E16" s="70">
        <v>20.65</v>
      </c>
      <c r="H16" s="70">
        <v>1.9292469999999999</v>
      </c>
      <c r="J16" s="70">
        <v>1.452461</v>
      </c>
      <c r="K16" s="70">
        <v>1.0788180000000001</v>
      </c>
    </row>
    <row r="17" spans="1:23" x14ac:dyDescent="0.25">
      <c r="B17" s="70">
        <v>4.4000000000000004</v>
      </c>
      <c r="D17" s="70">
        <v>10.050000000000001</v>
      </c>
      <c r="E17" s="70">
        <v>13.77</v>
      </c>
      <c r="J17" s="70">
        <v>0.92092099999999999</v>
      </c>
      <c r="K17" s="70">
        <v>0.406449</v>
      </c>
    </row>
    <row r="18" spans="1:23" x14ac:dyDescent="0.25">
      <c r="B18" s="70">
        <v>3.9</v>
      </c>
      <c r="D18" s="70">
        <v>9.36</v>
      </c>
      <c r="E18" s="70">
        <v>14.56</v>
      </c>
      <c r="J18" s="70">
        <v>1.26878</v>
      </c>
      <c r="K18" s="70">
        <v>0.86732500000000001</v>
      </c>
    </row>
    <row r="19" spans="1:23" x14ac:dyDescent="0.25">
      <c r="B19" s="70">
        <v>5.05</v>
      </c>
      <c r="D19" s="70">
        <v>11.36</v>
      </c>
      <c r="E19" s="70">
        <v>14.84</v>
      </c>
      <c r="K19" s="70">
        <v>1.2589729999999999</v>
      </c>
    </row>
    <row r="20" spans="1:23" x14ac:dyDescent="0.25">
      <c r="B20" s="70">
        <v>4</v>
      </c>
      <c r="E20" s="70">
        <v>13.98</v>
      </c>
      <c r="K20" s="70">
        <v>5.3449999999999998E-2</v>
      </c>
    </row>
    <row r="21" spans="1:23" x14ac:dyDescent="0.25">
      <c r="B21" s="70">
        <v>3.82</v>
      </c>
      <c r="E21" s="70">
        <v>13.38</v>
      </c>
      <c r="K21" s="70">
        <v>1.021687</v>
      </c>
    </row>
    <row r="22" spans="1:23" x14ac:dyDescent="0.25">
      <c r="E22" s="70">
        <v>12.09</v>
      </c>
      <c r="K22" s="70">
        <v>1.262235</v>
      </c>
    </row>
    <row r="23" spans="1:23" x14ac:dyDescent="0.25">
      <c r="E23" s="70">
        <v>10.130000000000001</v>
      </c>
      <c r="K23" s="70">
        <v>1.2085710000000001</v>
      </c>
    </row>
    <row r="24" spans="1:23" x14ac:dyDescent="0.25">
      <c r="K24" s="70">
        <v>0.85186600000000001</v>
      </c>
    </row>
    <row r="25" spans="1:23" x14ac:dyDescent="0.25">
      <c r="K25" s="70">
        <v>1.222164</v>
      </c>
    </row>
    <row r="26" spans="1:23" x14ac:dyDescent="0.25">
      <c r="K26" s="70">
        <v>0.92090700000000003</v>
      </c>
    </row>
    <row r="30" spans="1:23" x14ac:dyDescent="0.25">
      <c r="A30" s="111" t="s">
        <v>587</v>
      </c>
      <c r="B30" s="112">
        <f>AVERAGE(B3:B16)</f>
        <v>4.5428571428571427</v>
      </c>
      <c r="C30" s="112">
        <f t="shared" ref="C30:E30" si="0">AVERAGE(C3:C26)</f>
        <v>5.4739999999999993</v>
      </c>
      <c r="D30" s="112">
        <f t="shared" si="0"/>
        <v>11.102352941176472</v>
      </c>
      <c r="E30" s="112">
        <f t="shared" si="0"/>
        <v>23.090476190476188</v>
      </c>
      <c r="G30" s="111" t="s">
        <v>587</v>
      </c>
      <c r="H30" s="112">
        <f>AVERAGE(H3:H16)</f>
        <v>1.5584797857142856</v>
      </c>
      <c r="I30" s="112">
        <f t="shared" ref="I30:K30" si="1">AVERAGE(I3:I26)</f>
        <v>1.4267731250000002</v>
      </c>
      <c r="J30" s="112">
        <f t="shared" si="1"/>
        <v>1.0492555000000001</v>
      </c>
      <c r="K30" s="112">
        <f t="shared" si="1"/>
        <v>0.77079770833333328</v>
      </c>
      <c r="M30" s="111"/>
      <c r="N30" s="112"/>
      <c r="O30" s="112"/>
      <c r="P30" s="112"/>
      <c r="Q30" s="112"/>
      <c r="S30" s="111"/>
      <c r="T30" s="112"/>
      <c r="U30" s="112"/>
      <c r="V30" s="112"/>
      <c r="W30" s="112"/>
    </row>
    <row r="31" spans="1:23" x14ac:dyDescent="0.25">
      <c r="A31" s="111" t="s">
        <v>588</v>
      </c>
      <c r="B31" s="113">
        <f>STDEVP(B3:B24)/SQRT(COUNT(B3:B24))</f>
        <v>0.28868722174497691</v>
      </c>
      <c r="C31" s="113">
        <f>STDEVP(C3:C24)/SQRT(COUNT(C3:C24))</f>
        <v>0.65536127441282321</v>
      </c>
      <c r="D31" s="113">
        <f t="shared" ref="D31" si="2">STDEVP(D3:D24)/SQRT(COUNT(D3:D24))</f>
        <v>0.41237226556361106</v>
      </c>
      <c r="E31" s="113">
        <f>STDEVP(E3:E26)/SQRT(COUNT(E3:E26))</f>
        <v>1.774502003046645</v>
      </c>
      <c r="G31" s="111" t="s">
        <v>588</v>
      </c>
      <c r="H31" s="113">
        <f>STDEVP(H3:H24)/SQRT(COUNT(H3:H24))</f>
        <v>6.0573554663510359E-2</v>
      </c>
      <c r="I31" s="113">
        <f>STDEVP(I3:I24)/SQRT(COUNT(I3:I24))</f>
        <v>5.2879579936527359E-2</v>
      </c>
      <c r="J31" s="113">
        <f t="shared" ref="J31" si="3">STDEVP(J3:J24)/SQRT(COUNT(J3:J24))</f>
        <v>7.7445115921191965E-2</v>
      </c>
      <c r="K31" s="113">
        <f>STDEVP(K3:K26)/SQRT(COUNT(K3:K26))</f>
        <v>8.3543862202227995E-2</v>
      </c>
      <c r="M31" s="111"/>
      <c r="N31" s="113"/>
      <c r="O31" s="113"/>
      <c r="P31" s="113"/>
      <c r="Q31" s="113"/>
      <c r="S31" s="111"/>
      <c r="T31" s="113"/>
      <c r="U31" s="113"/>
      <c r="V31" s="113"/>
      <c r="W31" s="113"/>
    </row>
    <row r="32" spans="1:23" x14ac:dyDescent="0.25">
      <c r="A32" s="160" t="s">
        <v>578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M32" s="63"/>
      <c r="N32" s="68"/>
      <c r="O32" s="68"/>
      <c r="P32" s="63"/>
      <c r="Q32" s="63"/>
      <c r="S32" s="63"/>
      <c r="T32" s="68"/>
      <c r="U32" s="68"/>
      <c r="V32" s="63"/>
      <c r="W32" s="63"/>
    </row>
    <row r="33" spans="1:23" ht="15.6" x14ac:dyDescent="0.25">
      <c r="A33" s="63" t="s">
        <v>19</v>
      </c>
      <c r="B33" s="114" t="s">
        <v>674</v>
      </c>
      <c r="C33" s="63"/>
      <c r="D33" s="114" t="s">
        <v>678</v>
      </c>
      <c r="E33" s="63"/>
      <c r="G33" s="63" t="s">
        <v>19</v>
      </c>
      <c r="H33" s="114" t="s">
        <v>674</v>
      </c>
      <c r="I33" s="63"/>
      <c r="J33" s="114" t="s">
        <v>678</v>
      </c>
      <c r="K33" s="63"/>
      <c r="M33" s="63"/>
      <c r="N33" s="114"/>
      <c r="O33" s="63"/>
      <c r="P33" s="63"/>
      <c r="Q33" s="63"/>
      <c r="S33" s="63"/>
      <c r="T33" s="114"/>
      <c r="U33" s="63"/>
      <c r="V33" s="63"/>
      <c r="W33" s="63"/>
    </row>
    <row r="34" spans="1:23" ht="15.6" x14ac:dyDescent="0.25">
      <c r="A34" s="63"/>
      <c r="B34" s="53" t="s">
        <v>684</v>
      </c>
      <c r="C34" s="52" t="s">
        <v>886</v>
      </c>
      <c r="D34" s="53" t="s">
        <v>419</v>
      </c>
      <c r="E34" s="52" t="s">
        <v>843</v>
      </c>
      <c r="G34" s="63"/>
      <c r="H34" s="53" t="s">
        <v>684</v>
      </c>
      <c r="I34" s="52" t="s">
        <v>885</v>
      </c>
      <c r="J34" s="53" t="s">
        <v>419</v>
      </c>
      <c r="K34" s="52" t="s">
        <v>843</v>
      </c>
      <c r="M34" s="63"/>
      <c r="N34" s="69"/>
      <c r="O34" s="68"/>
      <c r="P34" s="63"/>
      <c r="Q34" s="63"/>
      <c r="S34" s="63"/>
      <c r="T34" s="69"/>
      <c r="U34" s="68"/>
      <c r="V34" s="63"/>
      <c r="W34" s="63"/>
    </row>
    <row r="35" spans="1:23" x14ac:dyDescent="0.25">
      <c r="A35" s="63"/>
      <c r="B35" s="53" t="s">
        <v>421</v>
      </c>
      <c r="C35" s="52" t="s">
        <v>421</v>
      </c>
      <c r="D35" s="53" t="s">
        <v>421</v>
      </c>
      <c r="E35" s="52" t="s">
        <v>421</v>
      </c>
      <c r="G35" s="63"/>
      <c r="H35" s="53" t="s">
        <v>421</v>
      </c>
      <c r="I35" s="52" t="s">
        <v>421</v>
      </c>
      <c r="J35" s="53" t="s">
        <v>421</v>
      </c>
      <c r="K35" s="52" t="s">
        <v>421</v>
      </c>
      <c r="M35" s="63"/>
      <c r="O35" s="68"/>
      <c r="P35" s="63"/>
      <c r="Q35" s="63"/>
      <c r="S35" s="63"/>
      <c r="U35" s="68"/>
      <c r="V35" s="63"/>
      <c r="W35" s="63"/>
    </row>
    <row r="36" spans="1:23" ht="15.6" x14ac:dyDescent="0.25">
      <c r="A36" s="63"/>
      <c r="B36" s="53" t="s">
        <v>422</v>
      </c>
      <c r="C36" s="52" t="s">
        <v>887</v>
      </c>
      <c r="D36" s="53" t="s">
        <v>422</v>
      </c>
      <c r="E36" s="52" t="s">
        <v>887</v>
      </c>
      <c r="G36" s="63"/>
      <c r="H36" s="53" t="s">
        <v>422</v>
      </c>
      <c r="I36" s="52" t="s">
        <v>892</v>
      </c>
      <c r="J36" s="53" t="s">
        <v>422</v>
      </c>
      <c r="K36" s="52" t="s">
        <v>892</v>
      </c>
      <c r="M36" s="63"/>
      <c r="N36" s="63"/>
      <c r="O36" s="63"/>
      <c r="P36" s="63"/>
      <c r="Q36" s="63"/>
      <c r="S36" s="63"/>
      <c r="T36" s="63"/>
      <c r="U36" s="63"/>
      <c r="V36" s="63"/>
      <c r="W36" s="63"/>
    </row>
    <row r="37" spans="1:23" x14ac:dyDescent="0.25">
      <c r="A37" s="63"/>
      <c r="B37" s="53"/>
      <c r="C37" s="52"/>
      <c r="D37" s="53"/>
      <c r="E37" s="52"/>
      <c r="G37" s="63"/>
      <c r="H37" s="53"/>
      <c r="I37" s="52"/>
      <c r="J37" s="53"/>
      <c r="K37" s="52"/>
      <c r="M37" s="63"/>
      <c r="N37" s="114"/>
      <c r="O37" s="63"/>
      <c r="P37" s="63"/>
      <c r="Q37" s="63"/>
      <c r="S37" s="63"/>
      <c r="T37" s="114"/>
      <c r="U37" s="63"/>
      <c r="V37" s="63"/>
      <c r="W37" s="63"/>
    </row>
    <row r="38" spans="1:23" x14ac:dyDescent="0.25">
      <c r="A38" s="63"/>
      <c r="B38" s="53" t="s">
        <v>424</v>
      </c>
      <c r="C38" s="52"/>
      <c r="D38" s="53" t="s">
        <v>424</v>
      </c>
      <c r="E38" s="52"/>
      <c r="G38" s="63"/>
      <c r="H38" s="53" t="s">
        <v>424</v>
      </c>
      <c r="I38" s="52"/>
      <c r="J38" s="53" t="s">
        <v>424</v>
      </c>
      <c r="K38" s="52"/>
      <c r="M38" s="63"/>
      <c r="N38" s="69"/>
      <c r="O38" s="63"/>
      <c r="P38" s="63"/>
      <c r="Q38" s="63"/>
      <c r="S38" s="63"/>
      <c r="T38" s="69"/>
      <c r="U38" s="63"/>
      <c r="V38" s="63"/>
      <c r="W38" s="63"/>
    </row>
    <row r="39" spans="1:23" x14ac:dyDescent="0.25">
      <c r="A39" s="63"/>
      <c r="B39" s="53" t="s">
        <v>425</v>
      </c>
      <c r="C39" s="52" t="s">
        <v>616</v>
      </c>
      <c r="D39" s="53" t="s">
        <v>425</v>
      </c>
      <c r="E39" s="52">
        <v>0.1268</v>
      </c>
      <c r="G39" s="63"/>
      <c r="H39" s="53" t="s">
        <v>425</v>
      </c>
      <c r="I39" s="52" t="s">
        <v>616</v>
      </c>
      <c r="J39" s="53" t="s">
        <v>425</v>
      </c>
      <c r="K39" s="52">
        <v>0.17610000000000001</v>
      </c>
      <c r="M39" s="63"/>
      <c r="N39" s="69"/>
      <c r="O39" s="63"/>
      <c r="P39" s="63"/>
      <c r="Q39" s="63"/>
      <c r="S39" s="63"/>
      <c r="T39" s="69"/>
      <c r="U39" s="63"/>
      <c r="V39" s="63"/>
      <c r="W39" s="63"/>
    </row>
    <row r="40" spans="1:23" x14ac:dyDescent="0.25">
      <c r="A40" s="63"/>
      <c r="B40" s="53" t="s">
        <v>426</v>
      </c>
      <c r="C40" s="52" t="s">
        <v>555</v>
      </c>
      <c r="D40" s="53" t="s">
        <v>426</v>
      </c>
      <c r="E40" s="52" t="s">
        <v>445</v>
      </c>
      <c r="G40" s="63"/>
      <c r="H40" s="53" t="s">
        <v>426</v>
      </c>
      <c r="I40" s="52" t="s">
        <v>555</v>
      </c>
      <c r="J40" s="53" t="s">
        <v>426</v>
      </c>
      <c r="K40" s="52" t="s">
        <v>445</v>
      </c>
      <c r="M40" s="63"/>
      <c r="N40" s="69"/>
      <c r="O40" s="63"/>
      <c r="P40" s="63"/>
      <c r="Q40" s="63"/>
      <c r="S40" s="63"/>
      <c r="T40" s="69"/>
      <c r="U40" s="63"/>
      <c r="V40" s="63"/>
      <c r="W40" s="63"/>
    </row>
    <row r="41" spans="1:23" x14ac:dyDescent="0.25">
      <c r="A41" s="63"/>
      <c r="B41" s="53" t="s">
        <v>428</v>
      </c>
      <c r="C41" s="52" t="s">
        <v>429</v>
      </c>
      <c r="D41" s="53" t="s">
        <v>428</v>
      </c>
      <c r="E41" s="52" t="s">
        <v>446</v>
      </c>
      <c r="G41" s="63"/>
      <c r="H41" s="53" t="s">
        <v>428</v>
      </c>
      <c r="I41" s="52" t="s">
        <v>429</v>
      </c>
      <c r="J41" s="53" t="s">
        <v>428</v>
      </c>
      <c r="K41" s="52" t="s">
        <v>446</v>
      </c>
      <c r="M41" s="63"/>
      <c r="N41" s="69"/>
      <c r="O41" s="63"/>
      <c r="P41" s="63"/>
      <c r="Q41" s="63"/>
      <c r="S41" s="63"/>
      <c r="T41" s="69"/>
      <c r="U41" s="63"/>
      <c r="V41" s="63"/>
      <c r="W41" s="63"/>
    </row>
    <row r="42" spans="1:23" x14ac:dyDescent="0.25">
      <c r="A42" s="63"/>
      <c r="B42" s="53" t="s">
        <v>430</v>
      </c>
      <c r="C42" s="52" t="s">
        <v>572</v>
      </c>
      <c r="D42" s="53" t="s">
        <v>430</v>
      </c>
      <c r="E42" s="52" t="s">
        <v>431</v>
      </c>
      <c r="G42" s="63"/>
      <c r="H42" s="53" t="s">
        <v>430</v>
      </c>
      <c r="I42" s="52" t="s">
        <v>572</v>
      </c>
      <c r="J42" s="53" t="s">
        <v>430</v>
      </c>
      <c r="K42" s="52" t="s">
        <v>431</v>
      </c>
      <c r="M42" s="63"/>
      <c r="N42" s="69"/>
      <c r="O42" s="63"/>
      <c r="P42" s="63"/>
      <c r="Q42" s="63"/>
      <c r="S42" s="63"/>
      <c r="T42" s="69"/>
      <c r="U42" s="63"/>
      <c r="V42" s="63"/>
      <c r="W42" s="63"/>
    </row>
    <row r="43" spans="1:23" x14ac:dyDescent="0.25">
      <c r="A43" s="63"/>
      <c r="B43" s="53" t="s">
        <v>432</v>
      </c>
      <c r="C43" s="52" t="s">
        <v>873</v>
      </c>
      <c r="D43" s="53" t="s">
        <v>432</v>
      </c>
      <c r="E43" s="52" t="s">
        <v>877</v>
      </c>
      <c r="G43" s="63"/>
      <c r="H43" s="53" t="s">
        <v>432</v>
      </c>
      <c r="I43" s="52" t="s">
        <v>893</v>
      </c>
      <c r="J43" s="53" t="s">
        <v>432</v>
      </c>
      <c r="K43" s="52" t="s">
        <v>897</v>
      </c>
      <c r="M43" s="63"/>
      <c r="N43" s="69"/>
      <c r="O43" s="63"/>
      <c r="P43" s="63"/>
      <c r="Q43" s="63"/>
      <c r="S43" s="63"/>
      <c r="T43" s="69"/>
      <c r="U43" s="63"/>
      <c r="V43" s="63"/>
      <c r="W43" s="63"/>
    </row>
    <row r="44" spans="1:23" x14ac:dyDescent="0.25">
      <c r="A44" s="63"/>
      <c r="B44" s="53"/>
      <c r="C44" s="52"/>
      <c r="D44" s="53"/>
      <c r="E44" s="52"/>
      <c r="G44" s="63"/>
      <c r="H44" s="53"/>
      <c r="I44" s="52"/>
      <c r="J44" s="53"/>
      <c r="K44" s="52"/>
      <c r="M44" s="63"/>
      <c r="N44" s="69"/>
      <c r="O44" s="63"/>
      <c r="P44" s="63"/>
      <c r="Q44" s="63"/>
      <c r="S44" s="63"/>
      <c r="T44" s="69"/>
      <c r="U44" s="63"/>
      <c r="V44" s="63"/>
      <c r="W44" s="63"/>
    </row>
    <row r="45" spans="1:23" x14ac:dyDescent="0.25">
      <c r="A45" s="63"/>
      <c r="B45" s="53" t="s">
        <v>434</v>
      </c>
      <c r="C45" s="52"/>
      <c r="D45" s="53" t="s">
        <v>434</v>
      </c>
      <c r="E45" s="52"/>
      <c r="G45" s="63"/>
      <c r="H45" s="53" t="s">
        <v>434</v>
      </c>
      <c r="I45" s="52"/>
      <c r="J45" s="53" t="s">
        <v>434</v>
      </c>
      <c r="K45" s="52"/>
      <c r="M45" s="63"/>
      <c r="N45" s="69"/>
      <c r="O45" s="63"/>
      <c r="P45" s="63"/>
      <c r="Q45" s="63"/>
      <c r="S45" s="63"/>
      <c r="T45" s="69"/>
      <c r="U45" s="63"/>
      <c r="V45" s="63"/>
      <c r="W45" s="63"/>
    </row>
    <row r="46" spans="1:23" x14ac:dyDescent="0.25">
      <c r="A46" s="63"/>
      <c r="B46" s="53" t="s">
        <v>435</v>
      </c>
      <c r="C46" s="52">
        <v>4.4619999999999997</v>
      </c>
      <c r="D46" s="53" t="s">
        <v>435</v>
      </c>
      <c r="E46" s="52">
        <v>4.4619999999999997</v>
      </c>
      <c r="G46" s="63"/>
      <c r="H46" s="53" t="s">
        <v>435</v>
      </c>
      <c r="I46" s="52">
        <v>1.5580000000000001</v>
      </c>
      <c r="J46" s="53" t="s">
        <v>435</v>
      </c>
      <c r="K46" s="52">
        <v>1.5580000000000001</v>
      </c>
      <c r="M46" s="63"/>
      <c r="N46" s="69"/>
      <c r="O46" s="63"/>
      <c r="P46" s="63"/>
      <c r="Q46" s="63"/>
      <c r="S46" s="63"/>
      <c r="T46" s="69"/>
      <c r="U46" s="63"/>
      <c r="V46" s="63"/>
      <c r="W46" s="63"/>
    </row>
    <row r="47" spans="1:23" x14ac:dyDescent="0.25">
      <c r="A47" s="63"/>
      <c r="B47" s="53" t="s">
        <v>687</v>
      </c>
      <c r="C47" s="52">
        <v>11.1</v>
      </c>
      <c r="D47" s="53" t="s">
        <v>436</v>
      </c>
      <c r="E47" s="52">
        <v>5.4740000000000002</v>
      </c>
      <c r="G47" s="63"/>
      <c r="H47" s="53" t="s">
        <v>687</v>
      </c>
      <c r="I47" s="52">
        <v>1.0489999999999999</v>
      </c>
      <c r="J47" s="53" t="s">
        <v>436</v>
      </c>
      <c r="K47" s="52">
        <v>1.427</v>
      </c>
      <c r="M47" s="63"/>
      <c r="N47" s="69"/>
      <c r="O47" s="63"/>
      <c r="P47" s="63"/>
      <c r="Q47" s="63"/>
      <c r="S47" s="63"/>
      <c r="T47" s="69"/>
      <c r="U47" s="63"/>
      <c r="V47" s="63"/>
      <c r="W47" s="63"/>
    </row>
    <row r="48" spans="1:23" x14ac:dyDescent="0.25">
      <c r="A48" s="63"/>
      <c r="B48" s="53" t="s">
        <v>688</v>
      </c>
      <c r="C48" s="52" t="s">
        <v>874</v>
      </c>
      <c r="D48" s="53" t="s">
        <v>437</v>
      </c>
      <c r="E48" s="52" t="s">
        <v>878</v>
      </c>
      <c r="G48" s="63"/>
      <c r="H48" s="53" t="s">
        <v>688</v>
      </c>
      <c r="I48" s="52" t="s">
        <v>894</v>
      </c>
      <c r="J48" s="53" t="s">
        <v>437</v>
      </c>
      <c r="K48" s="52" t="s">
        <v>898</v>
      </c>
      <c r="M48" s="63"/>
      <c r="N48" s="69"/>
      <c r="O48" s="63"/>
      <c r="P48" s="63"/>
      <c r="Q48" s="63"/>
      <c r="S48" s="63"/>
      <c r="T48" s="69"/>
      <c r="U48" s="63"/>
      <c r="V48" s="63"/>
      <c r="W48" s="63"/>
    </row>
    <row r="49" spans="1:23" x14ac:dyDescent="0.25">
      <c r="A49" s="63"/>
      <c r="B49" s="53" t="s">
        <v>439</v>
      </c>
      <c r="C49" s="52" t="s">
        <v>875</v>
      </c>
      <c r="D49" s="53" t="s">
        <v>439</v>
      </c>
      <c r="E49" s="52" t="s">
        <v>879</v>
      </c>
      <c r="G49" s="63"/>
      <c r="H49" s="53" t="s">
        <v>439</v>
      </c>
      <c r="I49" s="52" t="s">
        <v>895</v>
      </c>
      <c r="J49" s="53" t="s">
        <v>439</v>
      </c>
      <c r="K49" s="52" t="s">
        <v>899</v>
      </c>
      <c r="M49" s="63"/>
      <c r="O49" s="63"/>
      <c r="P49" s="63"/>
      <c r="Q49" s="63"/>
      <c r="S49" s="63"/>
      <c r="U49" s="63"/>
      <c r="V49" s="63"/>
      <c r="W49" s="63"/>
    </row>
    <row r="50" spans="1:23" x14ac:dyDescent="0.25">
      <c r="A50" s="63"/>
      <c r="B50" s="53" t="s">
        <v>441</v>
      </c>
      <c r="C50" s="52">
        <v>0.83320000000000005</v>
      </c>
      <c r="D50" s="53" t="s">
        <v>441</v>
      </c>
      <c r="E50" s="52">
        <v>8.4209999999999993E-2</v>
      </c>
      <c r="G50" s="63"/>
      <c r="H50" s="53" t="s">
        <v>441</v>
      </c>
      <c r="I50" s="52">
        <v>0.46200000000000002</v>
      </c>
      <c r="J50" s="53" t="s">
        <v>441</v>
      </c>
      <c r="K50" s="52">
        <v>8.9529999999999998E-2</v>
      </c>
      <c r="M50" s="63"/>
      <c r="N50" s="63"/>
      <c r="O50" s="63"/>
      <c r="P50" s="63"/>
      <c r="Q50" s="63"/>
      <c r="S50" s="63"/>
      <c r="T50" s="63"/>
      <c r="U50" s="63"/>
      <c r="V50" s="63"/>
      <c r="W50" s="63"/>
    </row>
    <row r="51" spans="1:23" x14ac:dyDescent="0.25">
      <c r="A51" s="63"/>
      <c r="B51" s="53"/>
      <c r="C51" s="52"/>
      <c r="D51" s="53"/>
      <c r="E51" s="52"/>
      <c r="G51" s="63"/>
      <c r="H51" s="53"/>
      <c r="I51" s="52"/>
      <c r="J51" s="53"/>
      <c r="K51" s="52"/>
      <c r="M51" s="63"/>
      <c r="N51" s="114"/>
      <c r="O51" s="63"/>
      <c r="P51" s="63"/>
      <c r="Q51" s="63"/>
      <c r="S51" s="63"/>
      <c r="T51" s="114"/>
      <c r="U51" s="63"/>
      <c r="V51" s="63"/>
      <c r="W51" s="63"/>
    </row>
    <row r="52" spans="1:23" x14ac:dyDescent="0.25">
      <c r="A52" s="63"/>
      <c r="B52" s="53" t="s">
        <v>442</v>
      </c>
      <c r="C52" s="52"/>
      <c r="D52" s="53" t="s">
        <v>442</v>
      </c>
      <c r="E52" s="52"/>
      <c r="G52" s="63"/>
      <c r="H52" s="53" t="s">
        <v>442</v>
      </c>
      <c r="I52" s="52"/>
      <c r="J52" s="53" t="s">
        <v>442</v>
      </c>
      <c r="K52" s="52"/>
      <c r="M52" s="63"/>
      <c r="N52" s="69"/>
      <c r="O52" s="63"/>
      <c r="P52" s="63"/>
      <c r="Q52" s="63"/>
      <c r="S52" s="63"/>
      <c r="T52" s="69"/>
      <c r="U52" s="63"/>
      <c r="V52" s="63"/>
      <c r="W52" s="63"/>
    </row>
    <row r="53" spans="1:23" x14ac:dyDescent="0.25">
      <c r="A53" s="63"/>
      <c r="B53" s="53" t="s">
        <v>443</v>
      </c>
      <c r="C53" s="52" t="s">
        <v>876</v>
      </c>
      <c r="D53" s="53" t="s">
        <v>443</v>
      </c>
      <c r="E53" s="52" t="s">
        <v>880</v>
      </c>
      <c r="G53" s="63"/>
      <c r="H53" s="53" t="s">
        <v>443</v>
      </c>
      <c r="I53" s="52" t="s">
        <v>896</v>
      </c>
      <c r="J53" s="53" t="s">
        <v>443</v>
      </c>
      <c r="K53" s="52" t="s">
        <v>900</v>
      </c>
      <c r="M53" s="63"/>
      <c r="O53" s="63"/>
      <c r="P53" s="63"/>
      <c r="Q53" s="63"/>
      <c r="S53" s="63"/>
      <c r="U53" s="63"/>
      <c r="V53" s="63"/>
      <c r="W53" s="63"/>
    </row>
    <row r="54" spans="1:23" x14ac:dyDescent="0.25">
      <c r="A54" s="63"/>
      <c r="B54" s="53" t="s">
        <v>425</v>
      </c>
      <c r="C54" s="52">
        <v>0.21440000000000001</v>
      </c>
      <c r="D54" s="53" t="s">
        <v>425</v>
      </c>
      <c r="E54" s="52">
        <v>5.5599999999999997E-2</v>
      </c>
      <c r="G54" s="63"/>
      <c r="H54" s="53" t="s">
        <v>425</v>
      </c>
      <c r="I54" s="52">
        <v>0.27189999999999998</v>
      </c>
      <c r="J54" s="53" t="s">
        <v>425</v>
      </c>
      <c r="K54" s="52">
        <v>0.31009999999999999</v>
      </c>
      <c r="M54" s="63"/>
      <c r="N54" s="63"/>
      <c r="O54" s="63"/>
      <c r="P54" s="63"/>
      <c r="Q54" s="63"/>
      <c r="S54" s="63"/>
      <c r="T54" s="63"/>
      <c r="U54" s="63"/>
      <c r="V54" s="63"/>
      <c r="W54" s="63"/>
    </row>
    <row r="55" spans="1:23" x14ac:dyDescent="0.25">
      <c r="A55" s="63"/>
      <c r="B55" s="53" t="s">
        <v>426</v>
      </c>
      <c r="C55" s="52" t="s">
        <v>445</v>
      </c>
      <c r="D55" s="53" t="s">
        <v>426</v>
      </c>
      <c r="E55" s="52" t="s">
        <v>445</v>
      </c>
      <c r="G55" s="63"/>
      <c r="H55" s="53" t="s">
        <v>426</v>
      </c>
      <c r="I55" s="52" t="s">
        <v>445</v>
      </c>
      <c r="J55" s="53" t="s">
        <v>426</v>
      </c>
      <c r="K55" s="52" t="s">
        <v>445</v>
      </c>
      <c r="M55" s="63"/>
      <c r="N55" s="114"/>
      <c r="O55" s="63"/>
      <c r="P55" s="63"/>
      <c r="Q55" s="63"/>
      <c r="S55" s="63"/>
      <c r="T55" s="114"/>
      <c r="U55" s="63"/>
      <c r="V55" s="63"/>
      <c r="W55" s="63"/>
    </row>
    <row r="56" spans="1:23" x14ac:dyDescent="0.25">
      <c r="A56" s="63"/>
      <c r="B56" s="53" t="s">
        <v>428</v>
      </c>
      <c r="C56" s="52" t="s">
        <v>446</v>
      </c>
      <c r="D56" s="53" t="s">
        <v>428</v>
      </c>
      <c r="E56" s="52" t="s">
        <v>446</v>
      </c>
      <c r="G56" s="63"/>
      <c r="H56" s="53" t="s">
        <v>428</v>
      </c>
      <c r="I56" s="52" t="s">
        <v>446</v>
      </c>
      <c r="J56" s="53" t="s">
        <v>428</v>
      </c>
      <c r="K56" s="52" t="s">
        <v>446</v>
      </c>
      <c r="M56" s="63"/>
      <c r="N56" s="69"/>
      <c r="O56" s="63"/>
      <c r="P56" s="63"/>
      <c r="Q56" s="63"/>
      <c r="S56" s="63"/>
      <c r="T56" s="69"/>
      <c r="U56" s="63"/>
      <c r="V56" s="63"/>
      <c r="W56" s="63"/>
    </row>
    <row r="57" spans="1:23" x14ac:dyDescent="0.25">
      <c r="A57" s="63"/>
      <c r="C57" s="63"/>
      <c r="D57" s="63"/>
      <c r="E57" s="63"/>
      <c r="G57" s="63"/>
      <c r="I57" s="63"/>
      <c r="J57" s="63"/>
      <c r="K57" s="63"/>
      <c r="M57" s="63"/>
      <c r="O57" s="63"/>
      <c r="P57" s="63"/>
      <c r="Q57" s="63"/>
      <c r="S57" s="63"/>
      <c r="U57" s="63"/>
      <c r="V57" s="63"/>
      <c r="W57" s="63"/>
    </row>
    <row r="59" spans="1:23" ht="15.6" x14ac:dyDescent="0.25">
      <c r="B59" s="114" t="s">
        <v>675</v>
      </c>
      <c r="C59" s="63"/>
      <c r="D59" s="114" t="s">
        <v>680</v>
      </c>
      <c r="H59" s="114" t="s">
        <v>675</v>
      </c>
      <c r="I59" s="63"/>
      <c r="J59" s="114" t="s">
        <v>680</v>
      </c>
    </row>
    <row r="60" spans="1:23" ht="15.6" x14ac:dyDescent="0.25">
      <c r="B60" s="53" t="s">
        <v>710</v>
      </c>
      <c r="C60" s="52" t="s">
        <v>844</v>
      </c>
      <c r="D60" s="53" t="s">
        <v>710</v>
      </c>
      <c r="E60" s="52" t="s">
        <v>844</v>
      </c>
      <c r="H60" s="53" t="s">
        <v>710</v>
      </c>
      <c r="I60" s="52" t="s">
        <v>844</v>
      </c>
      <c r="J60" s="53" t="s">
        <v>710</v>
      </c>
      <c r="K60" s="52" t="s">
        <v>844</v>
      </c>
    </row>
    <row r="61" spans="1:23" x14ac:dyDescent="0.25">
      <c r="B61" s="53" t="s">
        <v>421</v>
      </c>
      <c r="C61" s="52" t="s">
        <v>421</v>
      </c>
      <c r="D61" s="53" t="s">
        <v>421</v>
      </c>
      <c r="E61" s="52" t="s">
        <v>421</v>
      </c>
      <c r="H61" s="53" t="s">
        <v>421</v>
      </c>
      <c r="I61" s="52" t="s">
        <v>421</v>
      </c>
      <c r="J61" s="53" t="s">
        <v>421</v>
      </c>
      <c r="K61" s="52" t="s">
        <v>421</v>
      </c>
    </row>
    <row r="62" spans="1:23" ht="15.6" x14ac:dyDescent="0.25">
      <c r="A62" s="63"/>
      <c r="B62" s="53" t="s">
        <v>684</v>
      </c>
      <c r="C62" s="52" t="s">
        <v>885</v>
      </c>
      <c r="D62" s="53" t="s">
        <v>419</v>
      </c>
      <c r="E62" s="52" t="s">
        <v>843</v>
      </c>
      <c r="G62" s="63"/>
      <c r="H62" s="53" t="s">
        <v>684</v>
      </c>
      <c r="I62" s="52" t="s">
        <v>885</v>
      </c>
      <c r="J62" s="53" t="s">
        <v>419</v>
      </c>
      <c r="K62" s="52" t="s">
        <v>843</v>
      </c>
      <c r="M62" s="63"/>
      <c r="N62" s="63"/>
      <c r="O62" s="63"/>
      <c r="P62" s="63"/>
      <c r="Q62" s="63"/>
      <c r="S62" s="63"/>
      <c r="T62" s="63"/>
      <c r="U62" s="63"/>
      <c r="V62" s="63"/>
      <c r="W62" s="63"/>
    </row>
    <row r="63" spans="1:23" x14ac:dyDescent="0.25">
      <c r="A63" s="63"/>
      <c r="B63" s="53"/>
      <c r="C63" s="52"/>
      <c r="D63" s="53"/>
      <c r="E63" s="52"/>
      <c r="G63" s="63"/>
      <c r="H63" s="53"/>
      <c r="I63" s="52"/>
      <c r="J63" s="53"/>
      <c r="K63" s="52"/>
      <c r="M63" s="63"/>
      <c r="N63" s="114"/>
      <c r="O63" s="63"/>
      <c r="P63" s="63"/>
      <c r="Q63" s="63"/>
      <c r="S63" s="63"/>
      <c r="T63" s="114"/>
      <c r="U63" s="63"/>
      <c r="V63" s="63"/>
      <c r="W63" s="63"/>
    </row>
    <row r="64" spans="1:23" x14ac:dyDescent="0.25">
      <c r="A64" s="63"/>
      <c r="B64" s="53" t="s">
        <v>424</v>
      </c>
      <c r="C64" s="52"/>
      <c r="D64" s="53" t="s">
        <v>424</v>
      </c>
      <c r="E64" s="52"/>
      <c r="G64" s="63"/>
      <c r="H64" s="53" t="s">
        <v>424</v>
      </c>
      <c r="I64" s="52"/>
      <c r="J64" s="53" t="s">
        <v>424</v>
      </c>
      <c r="K64" s="52"/>
      <c r="M64" s="63"/>
      <c r="N64" s="69"/>
      <c r="O64" s="63"/>
      <c r="P64" s="63"/>
      <c r="Q64" s="63"/>
      <c r="S64" s="63"/>
      <c r="T64" s="69"/>
      <c r="U64" s="63"/>
      <c r="V64" s="63"/>
      <c r="W64" s="63"/>
    </row>
    <row r="65" spans="1:23" x14ac:dyDescent="0.25">
      <c r="A65" s="63"/>
      <c r="B65" s="53" t="s">
        <v>425</v>
      </c>
      <c r="C65" s="52" t="s">
        <v>616</v>
      </c>
      <c r="D65" s="53" t="s">
        <v>425</v>
      </c>
      <c r="E65" s="52" t="s">
        <v>616</v>
      </c>
      <c r="G65" s="63"/>
      <c r="H65" s="53" t="s">
        <v>425</v>
      </c>
      <c r="I65" s="52">
        <v>1.49E-2</v>
      </c>
      <c r="J65" s="53" t="s">
        <v>425</v>
      </c>
      <c r="K65" s="52" t="s">
        <v>616</v>
      </c>
      <c r="M65" s="63"/>
      <c r="N65" s="69"/>
      <c r="O65" s="63"/>
      <c r="P65" s="63"/>
      <c r="Q65" s="63"/>
      <c r="S65" s="63"/>
      <c r="T65" s="69"/>
      <c r="U65" s="63"/>
      <c r="V65" s="63"/>
      <c r="W65" s="63"/>
    </row>
    <row r="66" spans="1:23" x14ac:dyDescent="0.25">
      <c r="A66" s="63"/>
      <c r="B66" s="53" t="s">
        <v>426</v>
      </c>
      <c r="C66" s="52" t="s">
        <v>555</v>
      </c>
      <c r="D66" s="53" t="s">
        <v>426</v>
      </c>
      <c r="E66" s="52" t="s">
        <v>555</v>
      </c>
      <c r="G66" s="63"/>
      <c r="H66" s="53" t="s">
        <v>426</v>
      </c>
      <c r="I66" s="52" t="s">
        <v>508</v>
      </c>
      <c r="J66" s="53" t="s">
        <v>426</v>
      </c>
      <c r="K66" s="52" t="s">
        <v>555</v>
      </c>
      <c r="M66" s="63"/>
      <c r="N66" s="69"/>
      <c r="O66" s="63"/>
      <c r="P66" s="63"/>
      <c r="Q66" s="63"/>
      <c r="S66" s="63"/>
      <c r="T66" s="69"/>
      <c r="U66" s="63"/>
      <c r="V66" s="63"/>
      <c r="W66" s="63"/>
    </row>
    <row r="67" spans="1:23" x14ac:dyDescent="0.25">
      <c r="A67" s="63"/>
      <c r="B67" s="53" t="s">
        <v>428</v>
      </c>
      <c r="C67" s="52" t="s">
        <v>429</v>
      </c>
      <c r="D67" s="53" t="s">
        <v>428</v>
      </c>
      <c r="E67" s="52" t="s">
        <v>429</v>
      </c>
      <c r="G67" s="63"/>
      <c r="H67" s="53" t="s">
        <v>428</v>
      </c>
      <c r="I67" s="52" t="s">
        <v>429</v>
      </c>
      <c r="J67" s="53" t="s">
        <v>428</v>
      </c>
      <c r="K67" s="52" t="s">
        <v>429</v>
      </c>
      <c r="M67" s="63"/>
      <c r="N67" s="69"/>
      <c r="O67" s="63"/>
      <c r="P67" s="63"/>
      <c r="Q67" s="63"/>
      <c r="S67" s="63"/>
      <c r="T67" s="69"/>
      <c r="U67" s="63"/>
      <c r="V67" s="63"/>
      <c r="W67" s="63"/>
    </row>
    <row r="68" spans="1:23" x14ac:dyDescent="0.25">
      <c r="A68" s="63"/>
      <c r="B68" s="53" t="s">
        <v>430</v>
      </c>
      <c r="C68" s="52" t="s">
        <v>431</v>
      </c>
      <c r="D68" s="53" t="s">
        <v>430</v>
      </c>
      <c r="E68" s="52" t="s">
        <v>431</v>
      </c>
      <c r="G68" s="63"/>
      <c r="H68" s="53" t="s">
        <v>430</v>
      </c>
      <c r="I68" s="52" t="s">
        <v>572</v>
      </c>
      <c r="J68" s="53" t="s">
        <v>430</v>
      </c>
      <c r="K68" s="52" t="s">
        <v>572</v>
      </c>
      <c r="M68" s="63"/>
      <c r="N68" s="69"/>
      <c r="O68" s="63"/>
      <c r="P68" s="63"/>
      <c r="Q68" s="63"/>
      <c r="S68" s="63"/>
      <c r="T68" s="69"/>
      <c r="U68" s="63"/>
      <c r="V68" s="63"/>
      <c r="W68" s="63"/>
    </row>
    <row r="69" spans="1:23" x14ac:dyDescent="0.25">
      <c r="A69" s="63"/>
      <c r="B69" s="53" t="s">
        <v>432</v>
      </c>
      <c r="C69" s="52" t="s">
        <v>881</v>
      </c>
      <c r="D69" s="53" t="s">
        <v>432</v>
      </c>
      <c r="E69" s="52" t="s">
        <v>888</v>
      </c>
      <c r="G69" s="63"/>
      <c r="H69" s="53" t="s">
        <v>432</v>
      </c>
      <c r="I69" s="52" t="s">
        <v>901</v>
      </c>
      <c r="J69" s="53" t="s">
        <v>432</v>
      </c>
      <c r="K69" s="52" t="s">
        <v>905</v>
      </c>
      <c r="M69" s="63"/>
      <c r="N69" s="69"/>
      <c r="O69" s="63"/>
      <c r="P69" s="63"/>
      <c r="Q69" s="63"/>
      <c r="S69" s="63"/>
      <c r="T69" s="69"/>
      <c r="U69" s="63"/>
      <c r="V69" s="63"/>
      <c r="W69" s="63"/>
    </row>
    <row r="70" spans="1:23" x14ac:dyDescent="0.25">
      <c r="A70" s="63"/>
      <c r="B70" s="53"/>
      <c r="C70" s="52"/>
      <c r="D70" s="53"/>
      <c r="E70" s="52"/>
      <c r="G70" s="63"/>
      <c r="H70" s="53"/>
      <c r="I70" s="52"/>
      <c r="J70" s="53"/>
      <c r="K70" s="52"/>
      <c r="M70" s="63"/>
      <c r="N70" s="69"/>
      <c r="O70" s="63"/>
      <c r="P70" s="63"/>
      <c r="Q70" s="63"/>
      <c r="S70" s="63"/>
      <c r="T70" s="69"/>
      <c r="U70" s="63"/>
      <c r="V70" s="63"/>
      <c r="W70" s="63"/>
    </row>
    <row r="71" spans="1:23" x14ac:dyDescent="0.25">
      <c r="A71" s="63"/>
      <c r="B71" s="53" t="s">
        <v>434</v>
      </c>
      <c r="C71" s="52"/>
      <c r="D71" s="53" t="s">
        <v>434</v>
      </c>
      <c r="E71" s="52"/>
      <c r="G71" s="63"/>
      <c r="H71" s="53" t="s">
        <v>434</v>
      </c>
      <c r="I71" s="52"/>
      <c r="J71" s="53" t="s">
        <v>434</v>
      </c>
      <c r="K71" s="52"/>
      <c r="M71" s="63"/>
      <c r="N71" s="69"/>
      <c r="O71" s="63"/>
      <c r="P71" s="63"/>
      <c r="Q71" s="63"/>
      <c r="S71" s="63"/>
      <c r="T71" s="69"/>
      <c r="U71" s="63"/>
      <c r="V71" s="63"/>
      <c r="W71" s="63"/>
    </row>
    <row r="72" spans="1:23" x14ac:dyDescent="0.25">
      <c r="A72" s="63"/>
      <c r="B72" s="53" t="s">
        <v>687</v>
      </c>
      <c r="C72" s="52">
        <v>11.1</v>
      </c>
      <c r="D72" s="53" t="s">
        <v>436</v>
      </c>
      <c r="E72" s="52">
        <v>5.4740000000000002</v>
      </c>
      <c r="G72" s="63"/>
      <c r="H72" s="53" t="s">
        <v>687</v>
      </c>
      <c r="I72" s="52">
        <v>1.0489999999999999</v>
      </c>
      <c r="J72" s="53" t="s">
        <v>436</v>
      </c>
      <c r="K72" s="52">
        <v>1.427</v>
      </c>
      <c r="M72" s="63"/>
      <c r="N72" s="69"/>
      <c r="O72" s="63"/>
      <c r="P72" s="63"/>
      <c r="Q72" s="63"/>
      <c r="S72" s="63"/>
      <c r="T72" s="69"/>
      <c r="U72" s="63"/>
      <c r="V72" s="63"/>
      <c r="W72" s="63"/>
    </row>
    <row r="73" spans="1:23" x14ac:dyDescent="0.25">
      <c r="A73" s="63"/>
      <c r="B73" s="53" t="s">
        <v>714</v>
      </c>
      <c r="C73" s="52">
        <v>23.09</v>
      </c>
      <c r="D73" s="53" t="s">
        <v>714</v>
      </c>
      <c r="E73" s="52">
        <v>23.09</v>
      </c>
      <c r="G73" s="63"/>
      <c r="H73" s="53" t="s">
        <v>714</v>
      </c>
      <c r="I73" s="52">
        <v>0.77080000000000004</v>
      </c>
      <c r="J73" s="53" t="s">
        <v>714</v>
      </c>
      <c r="K73" s="52">
        <v>0.77080000000000004</v>
      </c>
      <c r="M73" s="63"/>
      <c r="N73" s="69"/>
      <c r="O73" s="63"/>
      <c r="P73" s="63"/>
      <c r="Q73" s="63"/>
      <c r="S73" s="63"/>
      <c r="T73" s="69"/>
      <c r="U73" s="63"/>
      <c r="V73" s="63"/>
      <c r="W73" s="63"/>
    </row>
    <row r="74" spans="1:23" x14ac:dyDescent="0.25">
      <c r="A74" s="63"/>
      <c r="B74" s="53" t="s">
        <v>721</v>
      </c>
      <c r="C74" s="52" t="s">
        <v>882</v>
      </c>
      <c r="D74" s="53" t="s">
        <v>715</v>
      </c>
      <c r="E74" s="52" t="s">
        <v>889</v>
      </c>
      <c r="G74" s="63"/>
      <c r="H74" s="53" t="s">
        <v>721</v>
      </c>
      <c r="I74" s="52" t="s">
        <v>902</v>
      </c>
      <c r="J74" s="53" t="s">
        <v>715</v>
      </c>
      <c r="K74" s="52" t="s">
        <v>906</v>
      </c>
      <c r="M74" s="63"/>
      <c r="N74" s="69"/>
      <c r="O74" s="63"/>
      <c r="P74" s="63"/>
      <c r="Q74" s="63"/>
      <c r="S74" s="63"/>
      <c r="T74" s="69"/>
      <c r="U74" s="63"/>
      <c r="V74" s="63"/>
      <c r="W74" s="63"/>
    </row>
    <row r="75" spans="1:23" x14ac:dyDescent="0.25">
      <c r="A75" s="63"/>
      <c r="B75" s="53" t="s">
        <v>439</v>
      </c>
      <c r="C75" s="52" t="s">
        <v>883</v>
      </c>
      <c r="D75" s="53" t="s">
        <v>439</v>
      </c>
      <c r="E75" s="52" t="s">
        <v>890</v>
      </c>
      <c r="G75" s="63"/>
      <c r="H75" s="53" t="s">
        <v>439</v>
      </c>
      <c r="I75" s="52" t="s">
        <v>903</v>
      </c>
      <c r="J75" s="53" t="s">
        <v>439</v>
      </c>
      <c r="K75" s="52" t="s">
        <v>907</v>
      </c>
      <c r="M75" s="63"/>
      <c r="O75" s="63"/>
      <c r="P75" s="63"/>
      <c r="Q75" s="63"/>
      <c r="S75" s="63"/>
      <c r="U75" s="63"/>
      <c r="V75" s="63"/>
      <c r="W75" s="63"/>
    </row>
    <row r="76" spans="1:23" x14ac:dyDescent="0.25">
      <c r="A76" s="63"/>
      <c r="B76" s="53" t="s">
        <v>441</v>
      </c>
      <c r="C76" s="52">
        <v>0.48430000000000001</v>
      </c>
      <c r="D76" s="53" t="s">
        <v>441</v>
      </c>
      <c r="E76" s="52">
        <v>0.59489999999999998</v>
      </c>
      <c r="G76" s="63"/>
      <c r="H76" s="53" t="s">
        <v>441</v>
      </c>
      <c r="I76" s="52">
        <v>0.1182</v>
      </c>
      <c r="J76" s="53" t="s">
        <v>441</v>
      </c>
      <c r="K76" s="52">
        <v>0.38069999999999998</v>
      </c>
      <c r="M76" s="63"/>
      <c r="N76" s="63"/>
      <c r="O76" s="63"/>
      <c r="P76" s="63"/>
      <c r="Q76" s="63"/>
      <c r="S76" s="63"/>
      <c r="T76" s="63"/>
      <c r="U76" s="63"/>
      <c r="V76" s="63"/>
      <c r="W76" s="63"/>
    </row>
    <row r="77" spans="1:23" x14ac:dyDescent="0.25">
      <c r="A77" s="63"/>
      <c r="B77" s="53"/>
      <c r="C77" s="52"/>
      <c r="D77" s="53"/>
      <c r="E77" s="52"/>
      <c r="G77" s="63"/>
      <c r="H77" s="53"/>
      <c r="I77" s="52"/>
      <c r="J77" s="53"/>
      <c r="K77" s="52"/>
      <c r="M77" s="63"/>
      <c r="N77" s="114"/>
      <c r="O77" s="63"/>
      <c r="P77" s="63"/>
      <c r="Q77" s="63"/>
      <c r="S77" s="63"/>
      <c r="T77" s="114"/>
      <c r="U77" s="63"/>
      <c r="V77" s="63"/>
      <c r="W77" s="63"/>
    </row>
    <row r="78" spans="1:23" x14ac:dyDescent="0.25">
      <c r="A78" s="63"/>
      <c r="B78" s="53" t="s">
        <v>442</v>
      </c>
      <c r="C78" s="52"/>
      <c r="D78" s="53" t="s">
        <v>442</v>
      </c>
      <c r="E78" s="52"/>
      <c r="G78" s="63"/>
      <c r="H78" s="53" t="s">
        <v>442</v>
      </c>
      <c r="I78" s="52"/>
      <c r="J78" s="53" t="s">
        <v>442</v>
      </c>
      <c r="K78" s="52"/>
      <c r="M78" s="63"/>
      <c r="N78" s="69"/>
      <c r="O78" s="63"/>
      <c r="P78" s="63"/>
      <c r="Q78" s="63"/>
      <c r="S78" s="63"/>
      <c r="T78" s="69"/>
      <c r="U78" s="63"/>
      <c r="V78" s="63"/>
      <c r="W78" s="63"/>
    </row>
    <row r="79" spans="1:23" x14ac:dyDescent="0.25">
      <c r="A79" s="63"/>
      <c r="B79" s="53" t="s">
        <v>443</v>
      </c>
      <c r="C79" s="52" t="s">
        <v>884</v>
      </c>
      <c r="D79" s="53" t="s">
        <v>443</v>
      </c>
      <c r="E79" s="52" t="s">
        <v>891</v>
      </c>
      <c r="G79" s="63"/>
      <c r="H79" s="53" t="s">
        <v>443</v>
      </c>
      <c r="I79" s="52" t="s">
        <v>904</v>
      </c>
      <c r="J79" s="53" t="s">
        <v>443</v>
      </c>
      <c r="K79" s="52" t="s">
        <v>908</v>
      </c>
      <c r="M79" s="63"/>
      <c r="O79" s="63"/>
      <c r="P79" s="63"/>
      <c r="Q79" s="63"/>
      <c r="S79" s="63"/>
      <c r="U79" s="63"/>
      <c r="V79" s="63"/>
      <c r="W79" s="63"/>
    </row>
    <row r="80" spans="1:23" x14ac:dyDescent="0.25">
      <c r="A80" s="63"/>
      <c r="B80" s="53" t="s">
        <v>425</v>
      </c>
      <c r="C80" s="52" t="s">
        <v>616</v>
      </c>
      <c r="D80" s="53" t="s">
        <v>425</v>
      </c>
      <c r="E80" s="52">
        <v>2.9999999999999997E-4</v>
      </c>
      <c r="G80" s="63"/>
      <c r="H80" s="53" t="s">
        <v>425</v>
      </c>
      <c r="I80" s="52">
        <v>0.28670000000000001</v>
      </c>
      <c r="J80" s="53" t="s">
        <v>425</v>
      </c>
      <c r="K80" s="52">
        <v>1.4200000000000001E-2</v>
      </c>
      <c r="M80" s="63"/>
      <c r="N80" s="63"/>
      <c r="O80" s="63"/>
      <c r="P80" s="63"/>
      <c r="Q80" s="63"/>
      <c r="S80" s="63"/>
      <c r="T80" s="63"/>
      <c r="U80" s="63"/>
      <c r="V80" s="63"/>
      <c r="W80" s="63"/>
    </row>
    <row r="81" spans="1:23" x14ac:dyDescent="0.25">
      <c r="A81" s="63"/>
      <c r="B81" s="53" t="s">
        <v>426</v>
      </c>
      <c r="C81" s="52" t="s">
        <v>617</v>
      </c>
      <c r="D81" s="53" t="s">
        <v>426</v>
      </c>
      <c r="E81" s="52" t="s">
        <v>454</v>
      </c>
      <c r="G81" s="63"/>
      <c r="H81" s="53" t="s">
        <v>426</v>
      </c>
      <c r="I81" s="52" t="s">
        <v>445</v>
      </c>
      <c r="J81" s="53" t="s">
        <v>426</v>
      </c>
      <c r="K81" s="52" t="s">
        <v>508</v>
      </c>
      <c r="M81" s="63"/>
      <c r="N81" s="114"/>
      <c r="O81" s="63"/>
      <c r="P81" s="63"/>
      <c r="Q81" s="63"/>
      <c r="S81" s="63"/>
      <c r="T81" s="114"/>
      <c r="U81" s="63"/>
      <c r="V81" s="63"/>
      <c r="W81" s="63"/>
    </row>
    <row r="82" spans="1:23" x14ac:dyDescent="0.25">
      <c r="A82" s="63"/>
      <c r="B82" s="53" t="s">
        <v>428</v>
      </c>
      <c r="C82" s="52" t="s">
        <v>429</v>
      </c>
      <c r="D82" s="53" t="s">
        <v>428</v>
      </c>
      <c r="E82" s="52" t="s">
        <v>429</v>
      </c>
      <c r="G82" s="63"/>
      <c r="H82" s="53" t="s">
        <v>428</v>
      </c>
      <c r="I82" s="52" t="s">
        <v>446</v>
      </c>
      <c r="J82" s="53" t="s">
        <v>428</v>
      </c>
      <c r="K82" s="52" t="s">
        <v>429</v>
      </c>
      <c r="M82" s="63"/>
      <c r="N82" s="69"/>
      <c r="O82" s="63"/>
      <c r="P82" s="63"/>
      <c r="Q82" s="63"/>
      <c r="S82" s="63"/>
      <c r="T82" s="69"/>
      <c r="U82" s="63"/>
      <c r="V82" s="63"/>
      <c r="W82" s="63"/>
    </row>
    <row r="83" spans="1:23" x14ac:dyDescent="0.25">
      <c r="A83" s="63"/>
      <c r="G83" s="63"/>
      <c r="I83" s="63"/>
      <c r="J83" s="63"/>
      <c r="K83" s="63"/>
      <c r="M83" s="63"/>
      <c r="O83" s="63"/>
      <c r="P83" s="63"/>
      <c r="Q83" s="63"/>
      <c r="S83" s="63"/>
      <c r="U83" s="63"/>
      <c r="V83" s="63"/>
      <c r="W83" s="63"/>
    </row>
    <row r="86" spans="1:23" x14ac:dyDescent="0.25">
      <c r="B86" s="53"/>
      <c r="C86" s="52"/>
    </row>
  </sheetData>
  <mergeCells count="5">
    <mergeCell ref="A32:K32"/>
    <mergeCell ref="B1:E1"/>
    <mergeCell ref="H1:K1"/>
    <mergeCell ref="N1:Q1"/>
    <mergeCell ref="T1:W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8879-12E9-4CFF-A380-186125BDA6AC}">
  <dimension ref="A1:W69"/>
  <sheetViews>
    <sheetView topLeftCell="A16" zoomScaleNormal="100" workbookViewId="0">
      <selection activeCell="K53" sqref="K53"/>
    </sheetView>
  </sheetViews>
  <sheetFormatPr defaultColWidth="19.44140625" defaultRowHeight="13.2" x14ac:dyDescent="0.25"/>
  <cols>
    <col min="1" max="5" width="19.44140625" style="70"/>
    <col min="6" max="6" width="3.21875" style="70" customWidth="1"/>
    <col min="7" max="16384" width="19.44140625" style="70"/>
  </cols>
  <sheetData>
    <row r="1" spans="1:12" ht="13.8" x14ac:dyDescent="0.25">
      <c r="B1" s="163" t="s">
        <v>847</v>
      </c>
      <c r="C1" s="163"/>
      <c r="D1" s="163"/>
      <c r="E1" s="163"/>
      <c r="H1" s="163" t="s">
        <v>848</v>
      </c>
      <c r="I1" s="163"/>
      <c r="J1" s="163"/>
      <c r="K1" s="163"/>
    </row>
    <row r="2" spans="1:12" ht="15.6" x14ac:dyDescent="0.25">
      <c r="A2" s="65"/>
      <c r="B2" s="65" t="s">
        <v>534</v>
      </c>
      <c r="C2" s="65" t="s">
        <v>843</v>
      </c>
      <c r="D2" s="65" t="s">
        <v>673</v>
      </c>
      <c r="E2" s="65" t="s">
        <v>844</v>
      </c>
      <c r="F2" s="65"/>
      <c r="G2" s="65"/>
      <c r="H2" s="65" t="s">
        <v>534</v>
      </c>
      <c r="I2" s="65" t="s">
        <v>843</v>
      </c>
      <c r="J2" s="65" t="s">
        <v>673</v>
      </c>
      <c r="K2" s="65" t="s">
        <v>844</v>
      </c>
      <c r="L2" s="65"/>
    </row>
    <row r="3" spans="1:12" x14ac:dyDescent="0.25">
      <c r="B3" s="70">
        <v>248.31</v>
      </c>
      <c r="C3" s="70">
        <v>224.54</v>
      </c>
      <c r="D3" s="70">
        <v>266.45</v>
      </c>
      <c r="E3" s="70">
        <v>173.86</v>
      </c>
      <c r="H3" s="70">
        <v>56372</v>
      </c>
      <c r="I3" s="70">
        <v>121252</v>
      </c>
      <c r="J3" s="70">
        <v>488662</v>
      </c>
      <c r="K3" s="70">
        <v>90123</v>
      </c>
    </row>
    <row r="4" spans="1:12" x14ac:dyDescent="0.25">
      <c r="B4" s="70">
        <v>340.27</v>
      </c>
      <c r="C4" s="70">
        <v>263.95</v>
      </c>
      <c r="D4" s="70">
        <v>235.17</v>
      </c>
      <c r="E4" s="70">
        <v>45.62</v>
      </c>
      <c r="H4" s="70">
        <v>154373</v>
      </c>
      <c r="I4" s="70">
        <v>119590</v>
      </c>
      <c r="J4" s="70">
        <v>378559</v>
      </c>
      <c r="K4" s="70">
        <v>141129</v>
      </c>
    </row>
    <row r="5" spans="1:12" x14ac:dyDescent="0.25">
      <c r="B5" s="70">
        <v>284.58999999999997</v>
      </c>
      <c r="C5" s="70">
        <v>232.67</v>
      </c>
      <c r="D5" s="70">
        <v>165.73</v>
      </c>
      <c r="E5" s="70">
        <v>97.54</v>
      </c>
      <c r="H5" s="70">
        <v>191191</v>
      </c>
      <c r="I5" s="70">
        <v>133549</v>
      </c>
      <c r="J5" s="70">
        <v>251960</v>
      </c>
      <c r="K5" s="70">
        <v>180923</v>
      </c>
    </row>
    <row r="6" spans="1:12" x14ac:dyDescent="0.25">
      <c r="B6" s="70">
        <v>319</v>
      </c>
      <c r="C6" s="70">
        <v>207.65</v>
      </c>
      <c r="D6" s="70">
        <v>242.68</v>
      </c>
      <c r="E6" s="70">
        <v>117.56</v>
      </c>
      <c r="H6" s="70">
        <v>199272</v>
      </c>
      <c r="I6" s="70">
        <v>115535</v>
      </c>
      <c r="J6" s="70">
        <v>338990</v>
      </c>
      <c r="K6" s="70">
        <v>353319</v>
      </c>
    </row>
    <row r="7" spans="1:12" x14ac:dyDescent="0.25">
      <c r="B7" s="70">
        <v>280.20999999999998</v>
      </c>
      <c r="C7" s="70">
        <v>229.54</v>
      </c>
      <c r="D7" s="70">
        <v>298.98</v>
      </c>
      <c r="E7" s="70">
        <v>172.61</v>
      </c>
      <c r="H7" s="70">
        <v>163134</v>
      </c>
      <c r="I7" s="70">
        <v>116335</v>
      </c>
      <c r="J7" s="70">
        <v>329762</v>
      </c>
      <c r="K7" s="70">
        <v>350889</v>
      </c>
    </row>
    <row r="8" spans="1:12" x14ac:dyDescent="0.25">
      <c r="B8" s="70">
        <v>249.56</v>
      </c>
      <c r="C8" s="70">
        <v>215.78</v>
      </c>
      <c r="D8" s="70">
        <v>220.16</v>
      </c>
      <c r="E8" s="70">
        <v>101.92</v>
      </c>
      <c r="H8" s="70">
        <v>170029</v>
      </c>
      <c r="I8" s="70">
        <v>119590</v>
      </c>
      <c r="J8" s="70">
        <v>250228</v>
      </c>
      <c r="K8" s="70">
        <v>84114</v>
      </c>
    </row>
    <row r="9" spans="1:12" x14ac:dyDescent="0.25">
      <c r="B9" s="70">
        <v>280.83999999999997</v>
      </c>
      <c r="C9" s="70">
        <v>306.49</v>
      </c>
      <c r="D9" s="70">
        <v>242.68</v>
      </c>
      <c r="E9" s="70">
        <v>190.13</v>
      </c>
      <c r="H9" s="70">
        <v>159792</v>
      </c>
      <c r="I9" s="70">
        <v>67449</v>
      </c>
      <c r="J9" s="70">
        <v>449831</v>
      </c>
      <c r="K9" s="70">
        <v>148112</v>
      </c>
    </row>
    <row r="10" spans="1:12" x14ac:dyDescent="0.25">
      <c r="B10" s="70">
        <v>237.05</v>
      </c>
      <c r="C10" s="70">
        <v>241.43</v>
      </c>
      <c r="D10" s="70">
        <v>155.1</v>
      </c>
      <c r="E10" s="70">
        <v>146.34</v>
      </c>
      <c r="H10" s="70">
        <v>146082</v>
      </c>
      <c r="I10" s="70">
        <v>123788</v>
      </c>
      <c r="K10" s="70">
        <v>195190</v>
      </c>
    </row>
    <row r="11" spans="1:12" x14ac:dyDescent="0.25">
      <c r="B11" s="70">
        <v>209.52</v>
      </c>
      <c r="C11" s="70">
        <v>250.81</v>
      </c>
      <c r="D11" s="70">
        <v>220.78</v>
      </c>
      <c r="E11" s="70">
        <v>183.87</v>
      </c>
      <c r="H11" s="70">
        <v>82961</v>
      </c>
      <c r="I11" s="70">
        <v>154373</v>
      </c>
      <c r="K11" s="70">
        <v>90747</v>
      </c>
    </row>
    <row r="12" spans="1:12" x14ac:dyDescent="0.25">
      <c r="B12" s="70">
        <v>256.44</v>
      </c>
      <c r="C12" s="70">
        <v>257.69</v>
      </c>
      <c r="D12" s="70">
        <v>159.47999999999999</v>
      </c>
      <c r="E12" s="70">
        <v>126.32</v>
      </c>
      <c r="H12" s="70">
        <v>126377</v>
      </c>
      <c r="I12" s="70">
        <v>123788</v>
      </c>
      <c r="K12" s="70">
        <v>206267</v>
      </c>
    </row>
    <row r="13" spans="1:12" x14ac:dyDescent="0.25">
      <c r="B13" s="70">
        <v>329.64</v>
      </c>
      <c r="C13" s="70">
        <v>231.42</v>
      </c>
      <c r="D13" s="70">
        <v>273.95999999999998</v>
      </c>
      <c r="E13" s="70">
        <v>83.78</v>
      </c>
      <c r="I13" s="70">
        <v>143090</v>
      </c>
    </row>
    <row r="14" spans="1:12" x14ac:dyDescent="0.25">
      <c r="B14" s="70">
        <v>270.20999999999998</v>
      </c>
      <c r="C14" s="70">
        <v>341.25</v>
      </c>
      <c r="D14" s="70">
        <v>203.89</v>
      </c>
      <c r="E14" s="70">
        <v>194.51</v>
      </c>
      <c r="I14" s="70">
        <v>137287</v>
      </c>
    </row>
    <row r="15" spans="1:12" x14ac:dyDescent="0.25">
      <c r="D15" s="70">
        <v>307.11</v>
      </c>
      <c r="I15" s="70">
        <v>117140</v>
      </c>
    </row>
    <row r="18" spans="1:23" x14ac:dyDescent="0.25">
      <c r="A18" s="111" t="s">
        <v>587</v>
      </c>
      <c r="B18" s="112">
        <f>AVERAGE(B3:B16)</f>
        <v>275.46999999999997</v>
      </c>
      <c r="C18" s="112">
        <f>AVERAGE(C3:C16)</f>
        <v>250.26833333333335</v>
      </c>
      <c r="D18" s="112">
        <f>AVERAGE(D3:D16)</f>
        <v>230.16692307692307</v>
      </c>
      <c r="E18" s="112">
        <f>AVERAGE(E3:E16)</f>
        <v>136.17166666666665</v>
      </c>
      <c r="G18" s="111" t="s">
        <v>587</v>
      </c>
      <c r="H18" s="112">
        <f>AVERAGE(H3:H16)</f>
        <v>144958.29999999999</v>
      </c>
      <c r="I18" s="112">
        <f>AVERAGE(I3:I16)</f>
        <v>122520.46153846153</v>
      </c>
      <c r="J18" s="112">
        <f>AVERAGE(J3:J16)</f>
        <v>355427.42857142858</v>
      </c>
      <c r="K18" s="112">
        <f>AVERAGE(K3:K16)</f>
        <v>184081.3</v>
      </c>
    </row>
    <row r="19" spans="1:23" x14ac:dyDescent="0.25">
      <c r="A19" s="111" t="s">
        <v>588</v>
      </c>
      <c r="B19" s="113">
        <f>STDEVP(B3:B16)/SQRT(COUNT(B3:B16))</f>
        <v>10.797077086467024</v>
      </c>
      <c r="C19" s="113">
        <f>STDEVP(C3:C16)/SQRT(COUNT(C3:C16))</f>
        <v>10.711350925882615</v>
      </c>
      <c r="D19" s="113">
        <f>STDEVP(D3:D16)/SQRT(COUNT(D3:D16))</f>
        <v>13.299127407626374</v>
      </c>
      <c r="E19" s="113">
        <f>STDEVP(E3:E16)/SQRT(COUNT(E3:E16))</f>
        <v>13.305980893804737</v>
      </c>
      <c r="G19" s="111" t="s">
        <v>588</v>
      </c>
      <c r="H19" s="113">
        <f>STDEVP(H3:H16)/SQRT(COUNT(H3:H16))</f>
        <v>13561.982533575245</v>
      </c>
      <c r="I19" s="113">
        <f>STDEVP(I3:I16)/SQRT(COUNT(I3:I16))</f>
        <v>5411.0553057675879</v>
      </c>
      <c r="J19" s="113">
        <f>STDEVP(J3:J16)/SQRT(COUNT(J3:J16))</f>
        <v>31911.832220473309</v>
      </c>
      <c r="K19" s="113">
        <f>STDEVP(K3:K16)/SQRT(COUNT(K3:K16))</f>
        <v>29624.887615331132</v>
      </c>
    </row>
    <row r="20" spans="1:23" x14ac:dyDescent="0.25">
      <c r="A20" s="160" t="s">
        <v>578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0"/>
    </row>
    <row r="21" spans="1:23" ht="15.6" x14ac:dyDescent="0.25">
      <c r="A21" s="63" t="s">
        <v>19</v>
      </c>
      <c r="B21" s="114" t="s">
        <v>674</v>
      </c>
      <c r="C21" s="63"/>
      <c r="D21" s="114" t="s">
        <v>678</v>
      </c>
      <c r="E21" s="63"/>
      <c r="G21" s="63" t="s">
        <v>19</v>
      </c>
      <c r="H21" s="114" t="s">
        <v>674</v>
      </c>
      <c r="I21" s="63"/>
      <c r="J21" s="114" t="s">
        <v>678</v>
      </c>
      <c r="K21" s="63"/>
    </row>
    <row r="22" spans="1:23" ht="15.6" x14ac:dyDescent="0.25">
      <c r="A22" s="63"/>
      <c r="B22" s="53" t="s">
        <v>684</v>
      </c>
      <c r="C22" s="52" t="s">
        <v>885</v>
      </c>
      <c r="D22" s="53" t="s">
        <v>419</v>
      </c>
      <c r="E22" s="52" t="s">
        <v>843</v>
      </c>
      <c r="G22" s="63"/>
      <c r="H22" s="53" t="s">
        <v>684</v>
      </c>
      <c r="I22" s="52" t="s">
        <v>885</v>
      </c>
      <c r="J22" s="53" t="s">
        <v>419</v>
      </c>
      <c r="K22" s="52" t="s">
        <v>843</v>
      </c>
    </row>
    <row r="23" spans="1:23" x14ac:dyDescent="0.25">
      <c r="A23" s="63"/>
      <c r="B23" s="53" t="s">
        <v>421</v>
      </c>
      <c r="C23" s="52" t="s">
        <v>421</v>
      </c>
      <c r="D23" s="53" t="s">
        <v>421</v>
      </c>
      <c r="E23" s="52" t="s">
        <v>421</v>
      </c>
      <c r="G23" s="63"/>
      <c r="H23" s="53" t="s">
        <v>421</v>
      </c>
      <c r="I23" s="52" t="s">
        <v>421</v>
      </c>
      <c r="J23" s="53" t="s">
        <v>421</v>
      </c>
      <c r="K23" s="52" t="s">
        <v>421</v>
      </c>
    </row>
    <row r="24" spans="1:23" ht="15.6" x14ac:dyDescent="0.25">
      <c r="A24" s="63"/>
      <c r="B24" s="53" t="s">
        <v>422</v>
      </c>
      <c r="C24" s="52" t="s">
        <v>892</v>
      </c>
      <c r="D24" s="53" t="s">
        <v>422</v>
      </c>
      <c r="E24" s="52" t="s">
        <v>892</v>
      </c>
      <c r="G24" s="63"/>
      <c r="H24" s="53" t="s">
        <v>422</v>
      </c>
      <c r="I24" s="52" t="s">
        <v>892</v>
      </c>
      <c r="J24" s="53" t="s">
        <v>422</v>
      </c>
      <c r="K24" s="52" t="s">
        <v>892</v>
      </c>
      <c r="M24" s="63"/>
      <c r="N24" s="63"/>
      <c r="O24" s="63"/>
      <c r="P24" s="63"/>
      <c r="Q24" s="63"/>
      <c r="S24" s="63"/>
      <c r="T24" s="63"/>
      <c r="U24" s="63"/>
      <c r="V24" s="63"/>
      <c r="W24" s="63"/>
    </row>
    <row r="25" spans="1:23" x14ac:dyDescent="0.25">
      <c r="A25" s="63"/>
      <c r="B25" s="53"/>
      <c r="C25" s="52"/>
      <c r="D25" s="53"/>
      <c r="E25" s="52"/>
      <c r="G25" s="63"/>
      <c r="H25" s="53"/>
      <c r="I25" s="52"/>
      <c r="J25" s="53"/>
      <c r="K25" s="52"/>
      <c r="M25" s="63"/>
      <c r="N25" s="114"/>
      <c r="O25" s="63"/>
      <c r="P25" s="63"/>
      <c r="Q25" s="63"/>
      <c r="S25" s="63"/>
      <c r="T25" s="114"/>
      <c r="U25" s="63"/>
      <c r="V25" s="63"/>
      <c r="W25" s="63"/>
    </row>
    <row r="26" spans="1:23" x14ac:dyDescent="0.25">
      <c r="A26" s="63"/>
      <c r="B26" s="53" t="s">
        <v>424</v>
      </c>
      <c r="C26" s="52"/>
      <c r="D26" s="53" t="s">
        <v>424</v>
      </c>
      <c r="E26" s="52"/>
      <c r="G26" s="63"/>
      <c r="H26" s="53" t="s">
        <v>424</v>
      </c>
      <c r="I26" s="52"/>
      <c r="J26" s="53" t="s">
        <v>424</v>
      </c>
      <c r="K26" s="52"/>
      <c r="M26" s="63"/>
      <c r="N26" s="69"/>
      <c r="O26" s="63"/>
      <c r="P26" s="63"/>
      <c r="Q26" s="63"/>
      <c r="S26" s="63"/>
      <c r="T26" s="69"/>
      <c r="U26" s="63"/>
      <c r="V26" s="63"/>
      <c r="W26" s="63"/>
    </row>
    <row r="27" spans="1:23" x14ac:dyDescent="0.25">
      <c r="A27" s="63"/>
      <c r="B27" s="53" t="s">
        <v>425</v>
      </c>
      <c r="C27" s="52">
        <v>9.7000000000000003E-3</v>
      </c>
      <c r="D27" s="53" t="s">
        <v>425</v>
      </c>
      <c r="E27" s="52">
        <v>0.12690000000000001</v>
      </c>
      <c r="G27" s="63"/>
      <c r="H27" s="53" t="s">
        <v>425</v>
      </c>
      <c r="I27" s="52" t="s">
        <v>616</v>
      </c>
      <c r="J27" s="53" t="s">
        <v>425</v>
      </c>
      <c r="K27" s="52">
        <v>0.1245</v>
      </c>
      <c r="M27" s="63"/>
      <c r="N27" s="69"/>
      <c r="O27" s="63"/>
      <c r="P27" s="63"/>
      <c r="Q27" s="63"/>
      <c r="S27" s="63"/>
      <c r="T27" s="69"/>
      <c r="U27" s="63"/>
      <c r="V27" s="63"/>
      <c r="W27" s="63"/>
    </row>
    <row r="28" spans="1:23" x14ac:dyDescent="0.25">
      <c r="A28" s="63"/>
      <c r="B28" s="53" t="s">
        <v>426</v>
      </c>
      <c r="C28" s="52" t="s">
        <v>427</v>
      </c>
      <c r="D28" s="53" t="s">
        <v>426</v>
      </c>
      <c r="E28" s="52" t="s">
        <v>445</v>
      </c>
      <c r="G28" s="63"/>
      <c r="H28" s="53" t="s">
        <v>426</v>
      </c>
      <c r="I28" s="52" t="s">
        <v>555</v>
      </c>
      <c r="J28" s="53" t="s">
        <v>426</v>
      </c>
      <c r="K28" s="52" t="s">
        <v>445</v>
      </c>
      <c r="M28" s="63"/>
      <c r="N28" s="69"/>
      <c r="O28" s="63"/>
      <c r="P28" s="63"/>
      <c r="Q28" s="63"/>
      <c r="S28" s="63"/>
      <c r="T28" s="69"/>
      <c r="U28" s="63"/>
      <c r="V28" s="63"/>
      <c r="W28" s="63"/>
    </row>
    <row r="29" spans="1:23" x14ac:dyDescent="0.25">
      <c r="A29" s="63"/>
      <c r="B29" s="53" t="s">
        <v>428</v>
      </c>
      <c r="C29" s="52" t="s">
        <v>429</v>
      </c>
      <c r="D29" s="53" t="s">
        <v>428</v>
      </c>
      <c r="E29" s="52" t="s">
        <v>446</v>
      </c>
      <c r="G29" s="63"/>
      <c r="H29" s="53" t="s">
        <v>428</v>
      </c>
      <c r="I29" s="52" t="s">
        <v>429</v>
      </c>
      <c r="J29" s="53" t="s">
        <v>428</v>
      </c>
      <c r="K29" s="52" t="s">
        <v>446</v>
      </c>
      <c r="M29" s="63"/>
      <c r="N29" s="69"/>
      <c r="O29" s="63"/>
      <c r="P29" s="63"/>
      <c r="Q29" s="63"/>
      <c r="S29" s="63"/>
      <c r="T29" s="69"/>
      <c r="U29" s="63"/>
      <c r="V29" s="63"/>
      <c r="W29" s="63"/>
    </row>
    <row r="30" spans="1:23" x14ac:dyDescent="0.25">
      <c r="A30" s="63"/>
      <c r="B30" s="53" t="s">
        <v>430</v>
      </c>
      <c r="C30" s="52" t="s">
        <v>572</v>
      </c>
      <c r="D30" s="53" t="s">
        <v>430</v>
      </c>
      <c r="E30" s="52" t="s">
        <v>431</v>
      </c>
      <c r="G30" s="63"/>
      <c r="H30" s="53" t="s">
        <v>430</v>
      </c>
      <c r="I30" s="52" t="s">
        <v>572</v>
      </c>
      <c r="J30" s="53" t="s">
        <v>430</v>
      </c>
      <c r="K30" s="52" t="s">
        <v>431</v>
      </c>
      <c r="M30" s="63"/>
      <c r="N30" s="69"/>
      <c r="O30" s="63"/>
      <c r="P30" s="63"/>
      <c r="Q30" s="63"/>
      <c r="S30" s="63"/>
      <c r="T30" s="69"/>
      <c r="U30" s="63"/>
      <c r="V30" s="63"/>
      <c r="W30" s="63"/>
    </row>
    <row r="31" spans="1:23" x14ac:dyDescent="0.25">
      <c r="A31" s="63"/>
      <c r="B31" s="53" t="s">
        <v>432</v>
      </c>
      <c r="C31" s="52" t="s">
        <v>909</v>
      </c>
      <c r="D31" s="53" t="s">
        <v>432</v>
      </c>
      <c r="E31" s="52" t="s">
        <v>913</v>
      </c>
      <c r="G31" s="63"/>
      <c r="H31" s="53" t="s">
        <v>432</v>
      </c>
      <c r="I31" s="52" t="s">
        <v>925</v>
      </c>
      <c r="J31" s="53" t="s">
        <v>432</v>
      </c>
      <c r="K31" s="52" t="s">
        <v>929</v>
      </c>
      <c r="M31" s="63"/>
      <c r="N31" s="69"/>
      <c r="O31" s="63"/>
      <c r="P31" s="63"/>
      <c r="Q31" s="63"/>
      <c r="S31" s="63"/>
      <c r="T31" s="69"/>
      <c r="U31" s="63"/>
      <c r="V31" s="63"/>
      <c r="W31" s="63"/>
    </row>
    <row r="32" spans="1:23" x14ac:dyDescent="0.25">
      <c r="A32" s="63"/>
      <c r="B32" s="53"/>
      <c r="C32" s="52"/>
      <c r="D32" s="53"/>
      <c r="E32" s="52"/>
      <c r="G32" s="63"/>
      <c r="H32" s="53"/>
      <c r="I32" s="52"/>
      <c r="J32" s="53"/>
      <c r="K32" s="52"/>
      <c r="M32" s="63"/>
      <c r="N32" s="69"/>
      <c r="O32" s="63"/>
      <c r="P32" s="63"/>
      <c r="Q32" s="63"/>
      <c r="S32" s="63"/>
      <c r="T32" s="69"/>
      <c r="U32" s="63"/>
      <c r="V32" s="63"/>
      <c r="W32" s="63"/>
    </row>
    <row r="33" spans="1:23" x14ac:dyDescent="0.25">
      <c r="A33" s="63"/>
      <c r="B33" s="53" t="s">
        <v>434</v>
      </c>
      <c r="C33" s="52"/>
      <c r="D33" s="53" t="s">
        <v>434</v>
      </c>
      <c r="E33" s="52"/>
      <c r="G33" s="63"/>
      <c r="H33" s="53" t="s">
        <v>434</v>
      </c>
      <c r="I33" s="52"/>
      <c r="J33" s="53" t="s">
        <v>434</v>
      </c>
      <c r="K33" s="52"/>
      <c r="M33" s="63"/>
      <c r="N33" s="69"/>
      <c r="O33" s="63"/>
      <c r="P33" s="63"/>
      <c r="Q33" s="63"/>
      <c r="S33" s="63"/>
      <c r="T33" s="69"/>
      <c r="U33" s="63"/>
      <c r="V33" s="63"/>
      <c r="W33" s="63"/>
    </row>
    <row r="34" spans="1:23" x14ac:dyDescent="0.25">
      <c r="A34" s="63"/>
      <c r="B34" s="53" t="s">
        <v>435</v>
      </c>
      <c r="C34" s="52">
        <v>275.5</v>
      </c>
      <c r="D34" s="53" t="s">
        <v>435</v>
      </c>
      <c r="E34" s="52">
        <v>275.5</v>
      </c>
      <c r="G34" s="63"/>
      <c r="H34" s="53" t="s">
        <v>435</v>
      </c>
      <c r="I34" s="52">
        <v>144958</v>
      </c>
      <c r="J34" s="53" t="s">
        <v>435</v>
      </c>
      <c r="K34" s="52">
        <v>144958</v>
      </c>
      <c r="M34" s="63"/>
      <c r="N34" s="69"/>
      <c r="O34" s="63"/>
      <c r="P34" s="63"/>
      <c r="Q34" s="63"/>
      <c r="S34" s="63"/>
      <c r="T34" s="69"/>
      <c r="U34" s="63"/>
      <c r="V34" s="63"/>
      <c r="W34" s="63"/>
    </row>
    <row r="35" spans="1:23" x14ac:dyDescent="0.25">
      <c r="A35" s="63"/>
      <c r="B35" s="53" t="s">
        <v>687</v>
      </c>
      <c r="C35" s="52">
        <v>230.2</v>
      </c>
      <c r="D35" s="53" t="s">
        <v>436</v>
      </c>
      <c r="E35" s="52">
        <v>250.3</v>
      </c>
      <c r="G35" s="63"/>
      <c r="H35" s="53" t="s">
        <v>687</v>
      </c>
      <c r="I35" s="52">
        <v>355427</v>
      </c>
      <c r="J35" s="53" t="s">
        <v>436</v>
      </c>
      <c r="K35" s="52">
        <v>122520</v>
      </c>
      <c r="M35" s="63"/>
      <c r="N35" s="69"/>
      <c r="O35" s="63"/>
      <c r="P35" s="63"/>
      <c r="Q35" s="63"/>
      <c r="S35" s="63"/>
      <c r="T35" s="69"/>
      <c r="U35" s="63"/>
      <c r="V35" s="63"/>
      <c r="W35" s="63"/>
    </row>
    <row r="36" spans="1:23" x14ac:dyDescent="0.25">
      <c r="A36" s="63"/>
      <c r="B36" s="53" t="s">
        <v>688</v>
      </c>
      <c r="C36" s="52" t="s">
        <v>910</v>
      </c>
      <c r="D36" s="53" t="s">
        <v>437</v>
      </c>
      <c r="E36" s="52" t="s">
        <v>914</v>
      </c>
      <c r="G36" s="63"/>
      <c r="H36" s="53" t="s">
        <v>688</v>
      </c>
      <c r="I36" s="52" t="s">
        <v>926</v>
      </c>
      <c r="J36" s="53" t="s">
        <v>437</v>
      </c>
      <c r="K36" s="52" t="s">
        <v>930</v>
      </c>
      <c r="M36" s="63"/>
      <c r="N36" s="69"/>
      <c r="O36" s="63"/>
      <c r="P36" s="63"/>
      <c r="Q36" s="63"/>
      <c r="S36" s="63"/>
      <c r="T36" s="69"/>
      <c r="U36" s="63"/>
      <c r="V36" s="63"/>
      <c r="W36" s="63"/>
    </row>
    <row r="37" spans="1:23" x14ac:dyDescent="0.25">
      <c r="A37" s="63"/>
      <c r="B37" s="53" t="s">
        <v>439</v>
      </c>
      <c r="C37" s="52" t="s">
        <v>911</v>
      </c>
      <c r="D37" s="53" t="s">
        <v>439</v>
      </c>
      <c r="E37" s="52" t="s">
        <v>915</v>
      </c>
      <c r="G37" s="63"/>
      <c r="H37" s="53" t="s">
        <v>439</v>
      </c>
      <c r="I37" s="52" t="s">
        <v>927</v>
      </c>
      <c r="J37" s="53" t="s">
        <v>439</v>
      </c>
      <c r="K37" s="52" t="s">
        <v>931</v>
      </c>
      <c r="M37" s="63"/>
      <c r="O37" s="63"/>
      <c r="P37" s="63"/>
      <c r="Q37" s="63"/>
      <c r="S37" s="63"/>
      <c r="U37" s="63"/>
      <c r="V37" s="63"/>
      <c r="W37" s="63"/>
    </row>
    <row r="38" spans="1:23" x14ac:dyDescent="0.25">
      <c r="A38" s="63"/>
      <c r="B38" s="53" t="s">
        <v>441</v>
      </c>
      <c r="C38" s="52">
        <v>0.21529999999999999</v>
      </c>
      <c r="D38" s="53" t="s">
        <v>441</v>
      </c>
      <c r="E38" s="52">
        <v>0.1027</v>
      </c>
      <c r="G38" s="63"/>
      <c r="H38" s="53" t="s">
        <v>441</v>
      </c>
      <c r="I38" s="52">
        <v>0.72760000000000002</v>
      </c>
      <c r="J38" s="53" t="s">
        <v>441</v>
      </c>
      <c r="K38" s="52">
        <v>0.1087</v>
      </c>
      <c r="M38" s="63"/>
      <c r="N38" s="63"/>
      <c r="O38" s="63"/>
      <c r="P38" s="63"/>
      <c r="Q38" s="63"/>
      <c r="S38" s="63"/>
      <c r="T38" s="63"/>
      <c r="U38" s="63"/>
      <c r="V38" s="63"/>
      <c r="W38" s="63"/>
    </row>
    <row r="39" spans="1:23" x14ac:dyDescent="0.25">
      <c r="A39" s="63"/>
      <c r="B39" s="53"/>
      <c r="C39" s="52"/>
      <c r="D39" s="53"/>
      <c r="E39" s="52"/>
      <c r="G39" s="63"/>
      <c r="H39" s="53"/>
      <c r="I39" s="52"/>
      <c r="J39" s="53"/>
      <c r="K39" s="52"/>
      <c r="M39" s="63"/>
      <c r="N39" s="114"/>
      <c r="O39" s="63"/>
      <c r="P39" s="63"/>
      <c r="Q39" s="63"/>
      <c r="S39" s="63"/>
      <c r="T39" s="114"/>
      <c r="U39" s="63"/>
      <c r="V39" s="63"/>
      <c r="W39" s="63"/>
    </row>
    <row r="40" spans="1:23" x14ac:dyDescent="0.25">
      <c r="A40" s="63"/>
      <c r="B40" s="53" t="s">
        <v>442</v>
      </c>
      <c r="C40" s="52"/>
      <c r="D40" s="53" t="s">
        <v>442</v>
      </c>
      <c r="E40" s="52"/>
      <c r="G40" s="63"/>
      <c r="H40" s="53" t="s">
        <v>442</v>
      </c>
      <c r="I40" s="52"/>
      <c r="J40" s="53" t="s">
        <v>442</v>
      </c>
      <c r="K40" s="52"/>
      <c r="M40" s="63"/>
      <c r="N40" s="69"/>
      <c r="O40" s="63"/>
      <c r="P40" s="63"/>
      <c r="Q40" s="63"/>
      <c r="S40" s="63"/>
      <c r="T40" s="69"/>
      <c r="U40" s="63"/>
      <c r="V40" s="63"/>
      <c r="W40" s="63"/>
    </row>
    <row r="41" spans="1:23" x14ac:dyDescent="0.25">
      <c r="A41" s="63"/>
      <c r="B41" s="53" t="s">
        <v>443</v>
      </c>
      <c r="C41" s="52" t="s">
        <v>912</v>
      </c>
      <c r="D41" s="53" t="s">
        <v>443</v>
      </c>
      <c r="E41" s="52" t="s">
        <v>916</v>
      </c>
      <c r="G41" s="63"/>
      <c r="H41" s="53" t="s">
        <v>443</v>
      </c>
      <c r="I41" s="52" t="s">
        <v>928</v>
      </c>
      <c r="J41" s="53" t="s">
        <v>443</v>
      </c>
      <c r="K41" s="52" t="s">
        <v>932</v>
      </c>
      <c r="M41" s="63"/>
      <c r="O41" s="63"/>
      <c r="P41" s="63"/>
      <c r="Q41" s="63"/>
      <c r="S41" s="63"/>
      <c r="U41" s="63"/>
      <c r="V41" s="63"/>
      <c r="W41" s="63"/>
    </row>
    <row r="42" spans="1:23" x14ac:dyDescent="0.25">
      <c r="A42" s="63"/>
      <c r="B42" s="53" t="s">
        <v>425</v>
      </c>
      <c r="C42" s="52">
        <v>0.42559999999999998</v>
      </c>
      <c r="D42" s="53" t="s">
        <v>425</v>
      </c>
      <c r="E42" s="52">
        <v>0.97940000000000005</v>
      </c>
      <c r="G42" s="63"/>
      <c r="H42" s="53" t="s">
        <v>425</v>
      </c>
      <c r="I42" s="52">
        <v>5.9499999999999997E-2</v>
      </c>
      <c r="J42" s="53" t="s">
        <v>425</v>
      </c>
      <c r="K42" s="52">
        <v>1.2200000000000001E-2</v>
      </c>
      <c r="M42" s="63"/>
      <c r="N42" s="63"/>
      <c r="O42" s="63"/>
      <c r="P42" s="63"/>
      <c r="Q42" s="63"/>
      <c r="S42" s="63"/>
      <c r="T42" s="63"/>
      <c r="U42" s="63"/>
      <c r="V42" s="63"/>
      <c r="W42" s="63"/>
    </row>
    <row r="43" spans="1:23" x14ac:dyDescent="0.25">
      <c r="A43" s="63"/>
      <c r="B43" s="53" t="s">
        <v>426</v>
      </c>
      <c r="C43" s="52" t="s">
        <v>445</v>
      </c>
      <c r="D43" s="53" t="s">
        <v>426</v>
      </c>
      <c r="E43" s="52" t="s">
        <v>445</v>
      </c>
      <c r="G43" s="63"/>
      <c r="H43" s="53" t="s">
        <v>426</v>
      </c>
      <c r="I43" s="52" t="s">
        <v>445</v>
      </c>
      <c r="J43" s="53" t="s">
        <v>426</v>
      </c>
      <c r="K43" s="52" t="s">
        <v>508</v>
      </c>
      <c r="M43" s="63"/>
      <c r="N43" s="114"/>
      <c r="O43" s="63"/>
      <c r="P43" s="63"/>
      <c r="Q43" s="63"/>
      <c r="S43" s="63"/>
      <c r="T43" s="114"/>
      <c r="U43" s="63"/>
      <c r="V43" s="63"/>
      <c r="W43" s="63"/>
    </row>
    <row r="44" spans="1:23" x14ac:dyDescent="0.25">
      <c r="A44" s="63"/>
      <c r="B44" s="53" t="s">
        <v>428</v>
      </c>
      <c r="C44" s="52" t="s">
        <v>446</v>
      </c>
      <c r="D44" s="53" t="s">
        <v>428</v>
      </c>
      <c r="E44" s="52" t="s">
        <v>446</v>
      </c>
      <c r="G44" s="63"/>
      <c r="H44" s="53" t="s">
        <v>428</v>
      </c>
      <c r="I44" s="52" t="s">
        <v>446</v>
      </c>
      <c r="J44" s="53" t="s">
        <v>428</v>
      </c>
      <c r="K44" s="52" t="s">
        <v>429</v>
      </c>
      <c r="M44" s="63"/>
      <c r="N44" s="69"/>
      <c r="O44" s="63"/>
      <c r="P44" s="63"/>
      <c r="Q44" s="63"/>
      <c r="S44" s="63"/>
      <c r="T44" s="69"/>
      <c r="U44" s="63"/>
      <c r="V44" s="63"/>
      <c r="W44" s="63"/>
    </row>
    <row r="45" spans="1:23" x14ac:dyDescent="0.25">
      <c r="A45" s="63"/>
      <c r="B45" s="63"/>
      <c r="C45" s="63"/>
      <c r="D45" s="63"/>
      <c r="E45" s="63"/>
      <c r="G45" s="63"/>
      <c r="H45" s="63"/>
      <c r="I45" s="63"/>
      <c r="J45" s="63"/>
      <c r="K45" s="63"/>
      <c r="M45" s="63"/>
      <c r="O45" s="63"/>
      <c r="P45" s="63"/>
      <c r="Q45" s="63"/>
      <c r="S45" s="63"/>
      <c r="U45" s="63"/>
      <c r="V45" s="63"/>
      <c r="W45" s="63"/>
    </row>
    <row r="46" spans="1:23" ht="15.6" x14ac:dyDescent="0.25">
      <c r="B46" s="114" t="s">
        <v>675</v>
      </c>
      <c r="C46" s="63"/>
      <c r="D46" s="114" t="s">
        <v>680</v>
      </c>
      <c r="E46" s="63"/>
      <c r="G46" s="63"/>
      <c r="H46" s="114" t="s">
        <v>675</v>
      </c>
      <c r="I46" s="63"/>
      <c r="J46" s="114" t="s">
        <v>680</v>
      </c>
      <c r="K46" s="63"/>
    </row>
    <row r="47" spans="1:23" ht="15.6" x14ac:dyDescent="0.25">
      <c r="B47" s="53" t="s">
        <v>710</v>
      </c>
      <c r="C47" s="52" t="s">
        <v>844</v>
      </c>
      <c r="D47" s="53" t="s">
        <v>710</v>
      </c>
      <c r="E47" s="52" t="s">
        <v>844</v>
      </c>
      <c r="G47" s="63"/>
      <c r="H47" s="53" t="s">
        <v>710</v>
      </c>
      <c r="I47" s="52" t="s">
        <v>844</v>
      </c>
      <c r="J47" s="53" t="s">
        <v>710</v>
      </c>
      <c r="K47" s="52" t="s">
        <v>844</v>
      </c>
    </row>
    <row r="48" spans="1:23" x14ac:dyDescent="0.25">
      <c r="B48" s="53" t="s">
        <v>421</v>
      </c>
      <c r="C48" s="52" t="s">
        <v>421</v>
      </c>
      <c r="D48" s="53" t="s">
        <v>421</v>
      </c>
      <c r="E48" s="52" t="s">
        <v>421</v>
      </c>
      <c r="G48" s="63"/>
      <c r="H48" s="53" t="s">
        <v>421</v>
      </c>
      <c r="I48" s="52" t="s">
        <v>421</v>
      </c>
      <c r="J48" s="53" t="s">
        <v>421</v>
      </c>
      <c r="K48" s="52" t="s">
        <v>421</v>
      </c>
    </row>
    <row r="49" spans="1:11" ht="15.6" x14ac:dyDescent="0.25">
      <c r="B49" s="53" t="s">
        <v>684</v>
      </c>
      <c r="C49" s="52" t="s">
        <v>885</v>
      </c>
      <c r="D49" s="53" t="s">
        <v>419</v>
      </c>
      <c r="E49" s="52" t="s">
        <v>843</v>
      </c>
      <c r="G49" s="63"/>
      <c r="H49" s="53" t="s">
        <v>684</v>
      </c>
      <c r="I49" s="52" t="s">
        <v>885</v>
      </c>
      <c r="J49" s="53" t="s">
        <v>419</v>
      </c>
      <c r="K49" s="52" t="s">
        <v>843</v>
      </c>
    </row>
    <row r="50" spans="1:11" x14ac:dyDescent="0.25">
      <c r="A50" s="63"/>
      <c r="B50" s="53"/>
      <c r="C50" s="52"/>
      <c r="D50" s="53"/>
      <c r="E50" s="52"/>
      <c r="G50" s="63"/>
      <c r="H50" s="53"/>
      <c r="I50" s="52"/>
      <c r="J50" s="53"/>
      <c r="K50" s="52"/>
    </row>
    <row r="51" spans="1:11" x14ac:dyDescent="0.25">
      <c r="A51" s="63"/>
      <c r="B51" s="53" t="s">
        <v>424</v>
      </c>
      <c r="C51" s="52"/>
      <c r="D51" s="53" t="s">
        <v>424</v>
      </c>
      <c r="E51" s="52"/>
      <c r="G51" s="63"/>
      <c r="H51" s="53" t="s">
        <v>424</v>
      </c>
      <c r="I51" s="52"/>
      <c r="J51" s="53" t="s">
        <v>424</v>
      </c>
      <c r="K51" s="52"/>
    </row>
    <row r="52" spans="1:11" x14ac:dyDescent="0.25">
      <c r="A52" s="63"/>
      <c r="B52" s="53" t="s">
        <v>425</v>
      </c>
      <c r="C52" s="52" t="s">
        <v>616</v>
      </c>
      <c r="D52" s="53" t="s">
        <v>425</v>
      </c>
      <c r="E52" s="52" t="s">
        <v>616</v>
      </c>
      <c r="G52" s="63"/>
      <c r="H52" s="53" t="s">
        <v>425</v>
      </c>
      <c r="I52" s="52">
        <v>1.1999999999999999E-3</v>
      </c>
      <c r="J52" s="53" t="s">
        <v>425</v>
      </c>
      <c r="K52" s="52">
        <v>1.95E-2</v>
      </c>
    </row>
    <row r="53" spans="1:11" x14ac:dyDescent="0.25">
      <c r="A53" s="63"/>
      <c r="B53" s="53" t="s">
        <v>426</v>
      </c>
      <c r="C53" s="52" t="s">
        <v>454</v>
      </c>
      <c r="D53" s="53" t="s">
        <v>426</v>
      </c>
      <c r="E53" s="52" t="s">
        <v>454</v>
      </c>
      <c r="H53" s="53" t="s">
        <v>426</v>
      </c>
      <c r="I53" s="52" t="s">
        <v>427</v>
      </c>
      <c r="J53" s="53" t="s">
        <v>426</v>
      </c>
      <c r="K53" s="52" t="s">
        <v>508</v>
      </c>
    </row>
    <row r="54" spans="1:11" x14ac:dyDescent="0.25">
      <c r="A54" s="63"/>
      <c r="B54" s="53" t="s">
        <v>428</v>
      </c>
      <c r="C54" s="52" t="s">
        <v>429</v>
      </c>
      <c r="D54" s="53" t="s">
        <v>428</v>
      </c>
      <c r="E54" s="52" t="s">
        <v>429</v>
      </c>
      <c r="H54" s="53" t="s">
        <v>428</v>
      </c>
      <c r="I54" s="52" t="s">
        <v>429</v>
      </c>
      <c r="J54" s="53" t="s">
        <v>428</v>
      </c>
      <c r="K54" s="52" t="s">
        <v>429</v>
      </c>
    </row>
    <row r="55" spans="1:11" x14ac:dyDescent="0.25">
      <c r="A55" s="63"/>
      <c r="B55" s="53" t="s">
        <v>430</v>
      </c>
      <c r="C55" s="52" t="s">
        <v>572</v>
      </c>
      <c r="D55" s="53" t="s">
        <v>430</v>
      </c>
      <c r="E55" s="52" t="s">
        <v>572</v>
      </c>
      <c r="H55" s="53" t="s">
        <v>430</v>
      </c>
      <c r="I55" s="52" t="s">
        <v>572</v>
      </c>
      <c r="J55" s="53" t="s">
        <v>430</v>
      </c>
      <c r="K55" s="52" t="s">
        <v>572</v>
      </c>
    </row>
    <row r="56" spans="1:11" x14ac:dyDescent="0.25">
      <c r="A56" s="63"/>
      <c r="B56" s="53" t="s">
        <v>432</v>
      </c>
      <c r="C56" s="52" t="s">
        <v>917</v>
      </c>
      <c r="D56" s="53" t="s">
        <v>432</v>
      </c>
      <c r="E56" s="52" t="s">
        <v>921</v>
      </c>
      <c r="H56" s="53" t="s">
        <v>432</v>
      </c>
      <c r="I56" s="52" t="s">
        <v>933</v>
      </c>
      <c r="J56" s="53" t="s">
        <v>432</v>
      </c>
      <c r="K56" s="52" t="s">
        <v>937</v>
      </c>
    </row>
    <row r="57" spans="1:11" x14ac:dyDescent="0.25">
      <c r="A57" s="63"/>
      <c r="B57" s="53"/>
      <c r="C57" s="52"/>
      <c r="D57" s="53"/>
      <c r="E57" s="52"/>
      <c r="H57" s="53"/>
      <c r="I57" s="52"/>
      <c r="J57" s="53"/>
      <c r="K57" s="52"/>
    </row>
    <row r="58" spans="1:11" x14ac:dyDescent="0.25">
      <c r="A58" s="63"/>
      <c r="B58" s="53" t="s">
        <v>434</v>
      </c>
      <c r="C58" s="52"/>
      <c r="D58" s="53" t="s">
        <v>434</v>
      </c>
      <c r="E58" s="52"/>
      <c r="H58" s="53" t="s">
        <v>434</v>
      </c>
      <c r="I58" s="52"/>
      <c r="J58" s="53" t="s">
        <v>434</v>
      </c>
      <c r="K58" s="52"/>
    </row>
    <row r="59" spans="1:11" x14ac:dyDescent="0.25">
      <c r="A59" s="63"/>
      <c r="B59" s="53" t="s">
        <v>687</v>
      </c>
      <c r="C59" s="52">
        <v>230.2</v>
      </c>
      <c r="D59" s="53" t="s">
        <v>436</v>
      </c>
      <c r="E59" s="52">
        <v>250.3</v>
      </c>
      <c r="H59" s="53" t="s">
        <v>687</v>
      </c>
      <c r="I59" s="52">
        <v>355427</v>
      </c>
      <c r="J59" s="53" t="s">
        <v>436</v>
      </c>
      <c r="K59" s="52">
        <v>122520</v>
      </c>
    </row>
    <row r="60" spans="1:11" x14ac:dyDescent="0.25">
      <c r="A60" s="63"/>
      <c r="B60" s="53" t="s">
        <v>714</v>
      </c>
      <c r="C60" s="52">
        <v>136.19999999999999</v>
      </c>
      <c r="D60" s="53" t="s">
        <v>714</v>
      </c>
      <c r="E60" s="52">
        <v>136.19999999999999</v>
      </c>
      <c r="H60" s="53" t="s">
        <v>714</v>
      </c>
      <c r="I60" s="52">
        <v>184081</v>
      </c>
      <c r="J60" s="53" t="s">
        <v>714</v>
      </c>
      <c r="K60" s="52">
        <v>184081</v>
      </c>
    </row>
    <row r="61" spans="1:11" x14ac:dyDescent="0.25">
      <c r="A61" s="63"/>
      <c r="B61" s="53" t="s">
        <v>721</v>
      </c>
      <c r="C61" s="52" t="s">
        <v>918</v>
      </c>
      <c r="D61" s="53" t="s">
        <v>715</v>
      </c>
      <c r="E61" s="52" t="s">
        <v>922</v>
      </c>
      <c r="H61" s="53" t="s">
        <v>721</v>
      </c>
      <c r="I61" s="52" t="s">
        <v>934</v>
      </c>
      <c r="J61" s="53" t="s">
        <v>715</v>
      </c>
      <c r="K61" s="52" t="s">
        <v>938</v>
      </c>
    </row>
    <row r="62" spans="1:11" x14ac:dyDescent="0.25">
      <c r="B62" s="53" t="s">
        <v>439</v>
      </c>
      <c r="C62" s="52" t="s">
        <v>919</v>
      </c>
      <c r="D62" s="53" t="s">
        <v>439</v>
      </c>
      <c r="E62" s="52" t="s">
        <v>923</v>
      </c>
      <c r="H62" s="53" t="s">
        <v>439</v>
      </c>
      <c r="I62" s="52" t="s">
        <v>935</v>
      </c>
      <c r="J62" s="53" t="s">
        <v>439</v>
      </c>
      <c r="K62" s="52" t="s">
        <v>939</v>
      </c>
    </row>
    <row r="63" spans="1:11" x14ac:dyDescent="0.25">
      <c r="B63" s="53" t="s">
        <v>441</v>
      </c>
      <c r="C63" s="52">
        <v>0.49880000000000002</v>
      </c>
      <c r="D63" s="53" t="s">
        <v>441</v>
      </c>
      <c r="E63" s="52">
        <v>0.6502</v>
      </c>
      <c r="H63" s="53" t="s">
        <v>441</v>
      </c>
      <c r="I63" s="52">
        <v>0.46760000000000002</v>
      </c>
      <c r="J63" s="53" t="s">
        <v>441</v>
      </c>
      <c r="K63" s="52">
        <v>0.18770000000000001</v>
      </c>
    </row>
    <row r="64" spans="1:11" x14ac:dyDescent="0.25">
      <c r="B64" s="53"/>
      <c r="C64" s="52"/>
      <c r="D64" s="53"/>
      <c r="E64" s="52"/>
      <c r="H64" s="53"/>
      <c r="I64" s="52"/>
      <c r="J64" s="53"/>
      <c r="K64" s="52"/>
    </row>
    <row r="65" spans="2:11" x14ac:dyDescent="0.25">
      <c r="B65" s="53" t="s">
        <v>442</v>
      </c>
      <c r="C65" s="52"/>
      <c r="D65" s="53" t="s">
        <v>442</v>
      </c>
      <c r="E65" s="52"/>
      <c r="H65" s="53" t="s">
        <v>442</v>
      </c>
      <c r="I65" s="52"/>
      <c r="J65" s="53" t="s">
        <v>442</v>
      </c>
      <c r="K65" s="52"/>
    </row>
    <row r="66" spans="2:11" x14ac:dyDescent="0.25">
      <c r="B66" s="53" t="s">
        <v>443</v>
      </c>
      <c r="C66" s="52" t="s">
        <v>920</v>
      </c>
      <c r="D66" s="53" t="s">
        <v>443</v>
      </c>
      <c r="E66" s="52" t="s">
        <v>924</v>
      </c>
      <c r="H66" s="53" t="s">
        <v>443</v>
      </c>
      <c r="I66" s="52" t="s">
        <v>936</v>
      </c>
      <c r="J66" s="53" t="s">
        <v>443</v>
      </c>
      <c r="K66" s="52" t="s">
        <v>940</v>
      </c>
    </row>
    <row r="67" spans="2:11" x14ac:dyDescent="0.25">
      <c r="B67" s="53" t="s">
        <v>425</v>
      </c>
      <c r="C67" s="52">
        <v>0.91190000000000004</v>
      </c>
      <c r="D67" s="53" t="s">
        <v>425</v>
      </c>
      <c r="E67" s="52">
        <v>0.48359999999999997</v>
      </c>
      <c r="H67" s="53" t="s">
        <v>425</v>
      </c>
      <c r="I67" s="52">
        <v>0.877</v>
      </c>
      <c r="J67" s="53" t="s">
        <v>425</v>
      </c>
      <c r="K67" s="52" t="s">
        <v>616</v>
      </c>
    </row>
    <row r="68" spans="2:11" x14ac:dyDescent="0.25">
      <c r="B68" s="53" t="s">
        <v>426</v>
      </c>
      <c r="C68" s="52" t="s">
        <v>445</v>
      </c>
      <c r="D68" s="53" t="s">
        <v>426</v>
      </c>
      <c r="E68" s="52" t="s">
        <v>445</v>
      </c>
      <c r="H68" s="53" t="s">
        <v>426</v>
      </c>
      <c r="I68" s="52" t="s">
        <v>445</v>
      </c>
      <c r="J68" s="53" t="s">
        <v>426</v>
      </c>
      <c r="K68" s="52" t="s">
        <v>617</v>
      </c>
    </row>
    <row r="69" spans="2:11" x14ac:dyDescent="0.25">
      <c r="B69" s="53" t="s">
        <v>428</v>
      </c>
      <c r="C69" s="52" t="s">
        <v>446</v>
      </c>
      <c r="D69" s="53" t="s">
        <v>428</v>
      </c>
      <c r="E69" s="52" t="s">
        <v>446</v>
      </c>
      <c r="H69" s="53" t="s">
        <v>428</v>
      </c>
      <c r="I69" s="52" t="s">
        <v>446</v>
      </c>
      <c r="J69" s="53" t="s">
        <v>428</v>
      </c>
      <c r="K69" s="52" t="s">
        <v>429</v>
      </c>
    </row>
  </sheetData>
  <mergeCells count="3">
    <mergeCell ref="B1:E1"/>
    <mergeCell ref="H1:K1"/>
    <mergeCell ref="A20:K20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44CDA-296C-4092-980B-1C44348CD6E2}">
  <dimension ref="A1:L65"/>
  <sheetViews>
    <sheetView topLeftCell="B28" workbookViewId="0">
      <selection activeCell="H72" sqref="H72"/>
    </sheetView>
  </sheetViews>
  <sheetFormatPr defaultRowHeight="13.2" x14ac:dyDescent="0.25"/>
  <cols>
    <col min="1" max="12" width="16.44140625" style="63" customWidth="1"/>
    <col min="13" max="16384" width="8.88671875" style="63"/>
  </cols>
  <sheetData>
    <row r="1" spans="1:12" x14ac:dyDescent="0.25">
      <c r="A1" s="161" t="s">
        <v>849</v>
      </c>
      <c r="B1" s="161"/>
      <c r="C1" s="161"/>
      <c r="D1" s="161"/>
    </row>
    <row r="2" spans="1:12" ht="29.4" thickBot="1" x14ac:dyDescent="0.3">
      <c r="A2" s="119" t="s">
        <v>850</v>
      </c>
      <c r="B2" s="119" t="s">
        <v>851</v>
      </c>
      <c r="C2" s="119" t="s">
        <v>852</v>
      </c>
      <c r="D2" s="119" t="s">
        <v>853</v>
      </c>
      <c r="E2" s="119" t="s">
        <v>854</v>
      </c>
      <c r="F2" s="119" t="s">
        <v>855</v>
      </c>
      <c r="G2" s="119" t="s">
        <v>856</v>
      </c>
      <c r="H2" s="119" t="s">
        <v>857</v>
      </c>
      <c r="I2" s="119" t="s">
        <v>858</v>
      </c>
      <c r="J2" s="119" t="s">
        <v>859</v>
      </c>
      <c r="K2" s="119" t="s">
        <v>860</v>
      </c>
      <c r="L2" s="119" t="s">
        <v>861</v>
      </c>
    </row>
    <row r="4" spans="1:12" ht="13.8" x14ac:dyDescent="0.25">
      <c r="A4" s="120">
        <f>3/18</f>
        <v>0.16666666666666666</v>
      </c>
      <c r="B4" s="120">
        <f>4/22</f>
        <v>0.18181818181818182</v>
      </c>
      <c r="C4" s="120">
        <f>5/20</f>
        <v>0.25</v>
      </c>
      <c r="D4" s="120">
        <f>9/20</f>
        <v>0.45</v>
      </c>
      <c r="E4" s="120">
        <f>8/18</f>
        <v>0.44444444444444442</v>
      </c>
      <c r="F4" s="120">
        <f>10/18</f>
        <v>0.55555555555555558</v>
      </c>
      <c r="G4" s="120">
        <f>5/19</f>
        <v>0.26315789473684209</v>
      </c>
      <c r="H4" s="120">
        <f>5/22</f>
        <v>0.22727272727272727</v>
      </c>
      <c r="I4" s="120">
        <f>5/20</f>
        <v>0.25</v>
      </c>
      <c r="J4" s="120">
        <f>15/20</f>
        <v>0.75</v>
      </c>
      <c r="K4" s="120">
        <f>16/20</f>
        <v>0.8</v>
      </c>
      <c r="L4" s="120">
        <f>15/21</f>
        <v>0.7142857142857143</v>
      </c>
    </row>
    <row r="6" spans="1:12" x14ac:dyDescent="0.25">
      <c r="A6" s="63">
        <v>1</v>
      </c>
      <c r="B6" s="63">
        <v>1</v>
      </c>
      <c r="C6" s="63">
        <v>1</v>
      </c>
      <c r="D6" s="63">
        <v>1</v>
      </c>
      <c r="E6" s="63">
        <v>1</v>
      </c>
      <c r="F6" s="63">
        <v>1</v>
      </c>
      <c r="G6" s="63">
        <v>1</v>
      </c>
      <c r="H6" s="63">
        <v>1</v>
      </c>
      <c r="I6" s="63">
        <v>1</v>
      </c>
      <c r="J6" s="63">
        <v>1</v>
      </c>
      <c r="K6" s="63">
        <v>0</v>
      </c>
      <c r="L6" s="63">
        <v>1</v>
      </c>
    </row>
    <row r="7" spans="1:12" x14ac:dyDescent="0.25">
      <c r="A7" s="63">
        <v>1</v>
      </c>
      <c r="B7" s="63">
        <v>1</v>
      </c>
      <c r="C7" s="63">
        <v>1</v>
      </c>
      <c r="D7" s="63">
        <v>0</v>
      </c>
      <c r="E7" s="63">
        <v>0</v>
      </c>
      <c r="F7" s="63">
        <v>0</v>
      </c>
      <c r="G7" s="63">
        <v>1</v>
      </c>
      <c r="H7" s="63">
        <v>1</v>
      </c>
      <c r="I7" s="63">
        <v>0</v>
      </c>
      <c r="J7" s="63">
        <v>0</v>
      </c>
      <c r="K7" s="63">
        <v>0</v>
      </c>
      <c r="L7" s="63">
        <v>0</v>
      </c>
    </row>
    <row r="8" spans="1:12" x14ac:dyDescent="0.25">
      <c r="A8" s="63">
        <v>1</v>
      </c>
      <c r="B8" s="63">
        <v>1</v>
      </c>
      <c r="C8" s="63">
        <v>0</v>
      </c>
      <c r="D8" s="63">
        <v>1</v>
      </c>
      <c r="E8" s="63">
        <v>1</v>
      </c>
      <c r="F8" s="63">
        <v>0</v>
      </c>
      <c r="G8" s="63">
        <v>1</v>
      </c>
      <c r="H8" s="63">
        <v>0</v>
      </c>
      <c r="I8" s="63">
        <v>1</v>
      </c>
      <c r="J8" s="63">
        <v>1</v>
      </c>
      <c r="K8" s="63">
        <v>0</v>
      </c>
      <c r="L8" s="63">
        <v>0</v>
      </c>
    </row>
    <row r="9" spans="1:12" x14ac:dyDescent="0.25">
      <c r="A9" s="63">
        <v>1</v>
      </c>
      <c r="B9" s="63">
        <v>1</v>
      </c>
      <c r="C9" s="63">
        <v>1</v>
      </c>
      <c r="D9" s="63">
        <v>0</v>
      </c>
      <c r="E9" s="63">
        <v>0</v>
      </c>
      <c r="F9" s="63">
        <v>0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</row>
    <row r="10" spans="1:12" x14ac:dyDescent="0.25">
      <c r="A10" s="63">
        <v>1</v>
      </c>
      <c r="B10" s="63">
        <v>1</v>
      </c>
      <c r="C10" s="63">
        <v>0</v>
      </c>
      <c r="D10" s="63">
        <v>1</v>
      </c>
      <c r="E10" s="63">
        <v>1</v>
      </c>
      <c r="F10" s="63">
        <v>1</v>
      </c>
      <c r="G10" s="63">
        <v>1</v>
      </c>
      <c r="H10" s="63">
        <v>1</v>
      </c>
      <c r="I10" s="63">
        <v>0</v>
      </c>
      <c r="J10" s="63">
        <v>0</v>
      </c>
      <c r="K10" s="63">
        <v>0</v>
      </c>
      <c r="L10" s="63">
        <v>1</v>
      </c>
    </row>
    <row r="11" spans="1:12" x14ac:dyDescent="0.25">
      <c r="A11" s="63">
        <v>1</v>
      </c>
      <c r="B11" s="63">
        <v>0</v>
      </c>
      <c r="C11" s="63">
        <v>1</v>
      </c>
      <c r="D11" s="63">
        <v>0</v>
      </c>
      <c r="E11" s="63">
        <v>0</v>
      </c>
      <c r="F11" s="63">
        <v>0</v>
      </c>
      <c r="G11" s="63">
        <v>1</v>
      </c>
      <c r="H11" s="63">
        <v>1</v>
      </c>
      <c r="I11" s="63">
        <v>1</v>
      </c>
      <c r="J11" s="63">
        <v>0</v>
      </c>
      <c r="K11" s="63">
        <v>0</v>
      </c>
      <c r="L11" s="63">
        <v>0</v>
      </c>
    </row>
    <row r="12" spans="1:12" x14ac:dyDescent="0.25">
      <c r="A12" s="63">
        <v>1</v>
      </c>
      <c r="B12" s="63">
        <v>1</v>
      </c>
      <c r="C12" s="63">
        <v>1</v>
      </c>
      <c r="D12" s="63">
        <v>1</v>
      </c>
      <c r="E12" s="63">
        <v>0</v>
      </c>
      <c r="F12" s="63">
        <v>0</v>
      </c>
      <c r="G12" s="63">
        <v>1</v>
      </c>
      <c r="H12" s="63">
        <v>1</v>
      </c>
      <c r="I12" s="63">
        <v>1</v>
      </c>
      <c r="J12" s="63">
        <v>0</v>
      </c>
      <c r="K12" s="63">
        <v>0</v>
      </c>
      <c r="L12" s="63">
        <v>0</v>
      </c>
    </row>
    <row r="13" spans="1:12" x14ac:dyDescent="0.25">
      <c r="A13" s="63">
        <v>0</v>
      </c>
      <c r="B13" s="63">
        <v>1</v>
      </c>
      <c r="C13" s="63">
        <v>1</v>
      </c>
      <c r="D13" s="63">
        <v>0</v>
      </c>
      <c r="E13" s="63">
        <v>1</v>
      </c>
      <c r="F13" s="63">
        <v>0</v>
      </c>
      <c r="G13" s="63">
        <v>1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</row>
    <row r="14" spans="1:12" x14ac:dyDescent="0.25">
      <c r="A14" s="63">
        <v>1</v>
      </c>
      <c r="B14" s="63">
        <v>1</v>
      </c>
      <c r="C14" s="63">
        <v>1</v>
      </c>
      <c r="D14" s="63">
        <v>1</v>
      </c>
      <c r="E14" s="63">
        <v>0</v>
      </c>
      <c r="F14" s="63">
        <v>1</v>
      </c>
      <c r="G14" s="63">
        <v>0</v>
      </c>
      <c r="H14" s="63">
        <v>1</v>
      </c>
      <c r="I14" s="63">
        <v>1</v>
      </c>
      <c r="J14" s="63">
        <v>1</v>
      </c>
      <c r="K14" s="63">
        <v>0</v>
      </c>
      <c r="L14" s="63">
        <v>1</v>
      </c>
    </row>
    <row r="15" spans="1:12" x14ac:dyDescent="0.25">
      <c r="A15" s="63">
        <v>1</v>
      </c>
      <c r="B15" s="63">
        <v>0</v>
      </c>
      <c r="C15" s="63">
        <v>0</v>
      </c>
      <c r="D15" s="63">
        <v>0</v>
      </c>
      <c r="E15" s="63">
        <v>1</v>
      </c>
      <c r="F15" s="63">
        <v>0</v>
      </c>
      <c r="G15" s="63">
        <v>1</v>
      </c>
      <c r="H15" s="63">
        <v>0</v>
      </c>
      <c r="I15" s="63">
        <v>1</v>
      </c>
      <c r="J15" s="63">
        <v>0</v>
      </c>
      <c r="K15" s="63">
        <v>1</v>
      </c>
      <c r="L15" s="63">
        <v>0</v>
      </c>
    </row>
    <row r="16" spans="1:12" x14ac:dyDescent="0.25">
      <c r="A16" s="63">
        <v>1</v>
      </c>
      <c r="B16" s="63">
        <v>1</v>
      </c>
      <c r="C16" s="63">
        <v>1</v>
      </c>
      <c r="D16" s="63">
        <v>1</v>
      </c>
      <c r="E16" s="63">
        <v>1</v>
      </c>
      <c r="F16" s="63">
        <v>1</v>
      </c>
      <c r="G16" s="63">
        <v>1</v>
      </c>
      <c r="H16" s="63">
        <v>1</v>
      </c>
      <c r="I16" s="63">
        <v>1</v>
      </c>
      <c r="J16" s="63">
        <v>0</v>
      </c>
      <c r="K16" s="63">
        <v>0</v>
      </c>
      <c r="L16" s="63">
        <v>0</v>
      </c>
    </row>
    <row r="17" spans="1:12" x14ac:dyDescent="0.25">
      <c r="A17" s="63">
        <v>1</v>
      </c>
      <c r="B17" s="63">
        <v>1</v>
      </c>
      <c r="C17" s="63">
        <v>1</v>
      </c>
      <c r="D17" s="63">
        <v>0</v>
      </c>
      <c r="E17" s="63">
        <v>0</v>
      </c>
      <c r="F17" s="63">
        <v>1</v>
      </c>
      <c r="G17" s="63">
        <v>0</v>
      </c>
      <c r="H17" s="63">
        <v>1</v>
      </c>
      <c r="I17" s="63">
        <v>1</v>
      </c>
      <c r="J17" s="63">
        <v>0</v>
      </c>
      <c r="K17" s="63">
        <v>0</v>
      </c>
      <c r="L17" s="63">
        <v>1</v>
      </c>
    </row>
    <row r="18" spans="1:12" x14ac:dyDescent="0.25">
      <c r="A18" s="63">
        <v>0</v>
      </c>
      <c r="B18" s="63">
        <v>1</v>
      </c>
      <c r="C18" s="63">
        <v>0</v>
      </c>
      <c r="D18" s="63">
        <v>1</v>
      </c>
      <c r="E18" s="63">
        <v>1</v>
      </c>
      <c r="F18" s="63">
        <v>0</v>
      </c>
      <c r="G18" s="63">
        <v>1</v>
      </c>
      <c r="H18" s="63">
        <v>1</v>
      </c>
      <c r="I18" s="63">
        <v>0</v>
      </c>
      <c r="J18" s="63">
        <v>1</v>
      </c>
      <c r="K18" s="63">
        <v>1</v>
      </c>
      <c r="L18" s="63">
        <v>0</v>
      </c>
    </row>
    <row r="19" spans="1:12" x14ac:dyDescent="0.25">
      <c r="A19" s="63">
        <v>1</v>
      </c>
      <c r="B19" s="63">
        <v>1</v>
      </c>
      <c r="C19" s="63">
        <v>1</v>
      </c>
      <c r="D19" s="63">
        <v>0</v>
      </c>
      <c r="E19" s="63">
        <v>0</v>
      </c>
      <c r="F19" s="63">
        <v>1</v>
      </c>
      <c r="G19" s="63">
        <v>1</v>
      </c>
      <c r="H19" s="63">
        <v>1</v>
      </c>
      <c r="I19" s="63">
        <v>1</v>
      </c>
      <c r="J19" s="63">
        <v>0</v>
      </c>
      <c r="K19" s="63">
        <v>0</v>
      </c>
      <c r="L19" s="63">
        <v>0</v>
      </c>
    </row>
    <row r="20" spans="1:12" x14ac:dyDescent="0.25">
      <c r="A20" s="63">
        <v>1</v>
      </c>
      <c r="B20" s="63">
        <v>0</v>
      </c>
      <c r="C20" s="63">
        <v>0</v>
      </c>
      <c r="D20" s="63">
        <v>1</v>
      </c>
      <c r="E20" s="63">
        <v>1</v>
      </c>
      <c r="F20" s="63">
        <v>1</v>
      </c>
      <c r="G20" s="63">
        <v>0</v>
      </c>
      <c r="H20" s="63">
        <v>0</v>
      </c>
      <c r="I20" s="63">
        <v>1</v>
      </c>
      <c r="J20" s="63">
        <v>0</v>
      </c>
      <c r="K20" s="63">
        <v>1</v>
      </c>
      <c r="L20" s="63">
        <v>1</v>
      </c>
    </row>
    <row r="21" spans="1:12" x14ac:dyDescent="0.25">
      <c r="A21" s="63">
        <v>1</v>
      </c>
      <c r="B21" s="63">
        <v>1</v>
      </c>
      <c r="C21" s="63">
        <v>1</v>
      </c>
      <c r="D21" s="63">
        <v>0</v>
      </c>
      <c r="E21" s="63">
        <v>0</v>
      </c>
      <c r="F21" s="63">
        <v>0</v>
      </c>
      <c r="G21" s="63">
        <v>1</v>
      </c>
      <c r="H21" s="63">
        <v>1</v>
      </c>
      <c r="I21" s="63">
        <v>0</v>
      </c>
      <c r="J21" s="63">
        <v>0</v>
      </c>
      <c r="K21" s="63">
        <v>0</v>
      </c>
      <c r="L21" s="63">
        <v>0</v>
      </c>
    </row>
    <row r="22" spans="1:12" x14ac:dyDescent="0.25">
      <c r="A22" s="63">
        <v>1</v>
      </c>
      <c r="B22" s="63">
        <v>1</v>
      </c>
      <c r="C22" s="63">
        <v>1</v>
      </c>
      <c r="D22" s="63">
        <v>1</v>
      </c>
      <c r="E22" s="63">
        <v>1</v>
      </c>
      <c r="F22" s="63">
        <v>1</v>
      </c>
      <c r="G22" s="63">
        <v>0</v>
      </c>
      <c r="H22" s="63">
        <v>1</v>
      </c>
      <c r="I22" s="63">
        <v>1</v>
      </c>
      <c r="J22" s="63">
        <v>1</v>
      </c>
      <c r="K22" s="63">
        <v>0</v>
      </c>
      <c r="L22" s="63">
        <v>0</v>
      </c>
    </row>
    <row r="23" spans="1:12" x14ac:dyDescent="0.25">
      <c r="A23" s="63">
        <v>0</v>
      </c>
      <c r="B23" s="63">
        <v>0</v>
      </c>
      <c r="C23" s="63">
        <v>1</v>
      </c>
      <c r="D23" s="63">
        <v>0</v>
      </c>
      <c r="E23" s="63">
        <v>1</v>
      </c>
      <c r="F23" s="63">
        <v>0</v>
      </c>
      <c r="G23" s="63">
        <v>1</v>
      </c>
      <c r="H23" s="63">
        <v>0</v>
      </c>
      <c r="I23" s="63">
        <v>1</v>
      </c>
      <c r="J23" s="63">
        <v>0</v>
      </c>
      <c r="K23" s="63">
        <v>0</v>
      </c>
      <c r="L23" s="63">
        <v>0</v>
      </c>
    </row>
    <row r="24" spans="1:12" x14ac:dyDescent="0.25">
      <c r="B24" s="63">
        <v>1</v>
      </c>
      <c r="C24" s="63">
        <v>1</v>
      </c>
      <c r="D24" s="63">
        <v>1</v>
      </c>
      <c r="G24" s="63">
        <v>1</v>
      </c>
      <c r="H24" s="63">
        <v>1</v>
      </c>
      <c r="I24" s="63">
        <v>1</v>
      </c>
      <c r="J24" s="63">
        <v>0</v>
      </c>
      <c r="K24" s="63">
        <v>0</v>
      </c>
      <c r="L24" s="63">
        <v>0</v>
      </c>
    </row>
    <row r="25" spans="1:12" x14ac:dyDescent="0.25">
      <c r="B25" s="63">
        <v>1</v>
      </c>
      <c r="C25" s="63">
        <v>1</v>
      </c>
      <c r="D25" s="63">
        <v>1</v>
      </c>
      <c r="H25" s="63">
        <v>1</v>
      </c>
      <c r="I25" s="63">
        <v>1</v>
      </c>
      <c r="J25" s="63">
        <v>0</v>
      </c>
      <c r="K25" s="63">
        <v>1</v>
      </c>
      <c r="L25" s="63">
        <v>1</v>
      </c>
    </row>
    <row r="26" spans="1:12" x14ac:dyDescent="0.25">
      <c r="B26" s="63">
        <v>1</v>
      </c>
      <c r="H26" s="63">
        <v>1</v>
      </c>
      <c r="J26" s="63">
        <v>1</v>
      </c>
      <c r="L26" s="63">
        <v>0</v>
      </c>
    </row>
    <row r="27" spans="1:12" x14ac:dyDescent="0.25">
      <c r="B27" s="63">
        <v>1</v>
      </c>
      <c r="H27" s="63">
        <v>1</v>
      </c>
      <c r="J27" s="63">
        <v>1</v>
      </c>
    </row>
    <row r="30" spans="1:12" x14ac:dyDescent="0.25">
      <c r="C30" s="161" t="s">
        <v>849</v>
      </c>
      <c r="D30" s="161"/>
      <c r="E30" s="161"/>
      <c r="F30" s="161"/>
    </row>
    <row r="31" spans="1:12" ht="13.8" x14ac:dyDescent="0.25">
      <c r="C31" s="162" t="s">
        <v>671</v>
      </c>
      <c r="D31" s="162"/>
      <c r="E31" s="162" t="s">
        <v>672</v>
      </c>
      <c r="F31" s="162"/>
    </row>
    <row r="32" spans="1:12" ht="15.6" x14ac:dyDescent="0.25">
      <c r="C32" s="106" t="s">
        <v>862</v>
      </c>
      <c r="D32" s="106" t="s">
        <v>863</v>
      </c>
      <c r="E32" s="106" t="s">
        <v>534</v>
      </c>
      <c r="F32" s="106" t="s">
        <v>673</v>
      </c>
    </row>
    <row r="33" spans="2:9" ht="13.8" x14ac:dyDescent="0.25">
      <c r="C33" s="120">
        <v>0.16666666666666666</v>
      </c>
      <c r="D33" s="63">
        <v>0.45</v>
      </c>
      <c r="E33" s="63">
        <v>0.26315789473684209</v>
      </c>
      <c r="F33" s="63">
        <v>0.75</v>
      </c>
    </row>
    <row r="34" spans="2:9" x14ac:dyDescent="0.25">
      <c r="C34" s="63">
        <v>0.18181818181818182</v>
      </c>
      <c r="D34" s="63">
        <v>0.44444444444444398</v>
      </c>
      <c r="E34" s="63">
        <v>0.22727272727272727</v>
      </c>
      <c r="F34" s="63">
        <v>0.8</v>
      </c>
    </row>
    <row r="35" spans="2:9" x14ac:dyDescent="0.25">
      <c r="C35" s="63">
        <v>0.25</v>
      </c>
      <c r="D35" s="63">
        <v>0.55555555555555558</v>
      </c>
      <c r="E35" s="63">
        <v>0.25</v>
      </c>
      <c r="F35" s="63">
        <v>0.7142857142857143</v>
      </c>
    </row>
    <row r="39" spans="2:9" x14ac:dyDescent="0.25">
      <c r="B39" s="111" t="s">
        <v>587</v>
      </c>
      <c r="C39" s="112">
        <f>AVERAGE(C33:C35)</f>
        <v>0.1994949494949495</v>
      </c>
      <c r="D39" s="112">
        <f>AVERAGE(D33:D35)</f>
        <v>0.48333333333333317</v>
      </c>
      <c r="E39" s="112">
        <f>AVERAGE(E33:E35)</f>
        <v>0.24681020733652312</v>
      </c>
      <c r="F39" s="112">
        <f t="shared" ref="F39" si="0">AVERAGE(F33:F35)</f>
        <v>0.75476190476190474</v>
      </c>
    </row>
    <row r="40" spans="2:9" x14ac:dyDescent="0.25">
      <c r="B40" s="111" t="s">
        <v>588</v>
      </c>
      <c r="C40" s="113">
        <f>STDEVP(C33:C35)/SQRT(COUNT(C33:C35))</f>
        <v>2.092559409874753E-2</v>
      </c>
      <c r="D40" s="113">
        <f>STDEVP(D33:D35)/SQRT(COUNT(D33:D35))</f>
        <v>2.9513661945387445E-2</v>
      </c>
      <c r="E40" s="113">
        <f>STDEVP(E33:E35)/SQRT(COUNT(E33:E35))</f>
        <v>8.5578734885726985E-3</v>
      </c>
      <c r="F40" s="113">
        <f t="shared" ref="F40" si="1">STDEVP(F33:F35)/SQRT(COUNT(F33:F35))</f>
        <v>2.029636801991179E-2</v>
      </c>
    </row>
    <row r="41" spans="2:9" x14ac:dyDescent="0.25">
      <c r="B41" s="160" t="s">
        <v>578</v>
      </c>
      <c r="C41" s="160"/>
      <c r="D41" s="160"/>
      <c r="E41" s="160"/>
      <c r="F41" s="160"/>
      <c r="G41" s="160"/>
      <c r="H41" s="160"/>
      <c r="I41" s="160"/>
    </row>
    <row r="42" spans="2:9" ht="15.6" x14ac:dyDescent="0.25">
      <c r="B42" s="114" t="s">
        <v>674</v>
      </c>
      <c r="D42" s="114" t="s">
        <v>678</v>
      </c>
      <c r="F42" s="114" t="s">
        <v>675</v>
      </c>
      <c r="H42" s="114" t="s">
        <v>680</v>
      </c>
    </row>
    <row r="43" spans="2:9" ht="15.6" x14ac:dyDescent="0.25">
      <c r="B43" s="53" t="s">
        <v>684</v>
      </c>
      <c r="C43" s="52" t="s">
        <v>885</v>
      </c>
      <c r="D43" s="53" t="s">
        <v>419</v>
      </c>
      <c r="E43" s="52" t="s">
        <v>843</v>
      </c>
      <c r="F43" s="53" t="s">
        <v>710</v>
      </c>
      <c r="G43" s="52" t="s">
        <v>844</v>
      </c>
      <c r="H43" s="53" t="s">
        <v>710</v>
      </c>
      <c r="I43" s="52" t="s">
        <v>844</v>
      </c>
    </row>
    <row r="44" spans="2:9" x14ac:dyDescent="0.25">
      <c r="B44" s="53" t="s">
        <v>421</v>
      </c>
      <c r="C44" s="52" t="s">
        <v>421</v>
      </c>
      <c r="D44" s="53" t="s">
        <v>421</v>
      </c>
      <c r="E44" s="52" t="s">
        <v>421</v>
      </c>
      <c r="F44" s="53" t="s">
        <v>421</v>
      </c>
      <c r="G44" s="52" t="s">
        <v>421</v>
      </c>
      <c r="H44" s="53" t="s">
        <v>421</v>
      </c>
      <c r="I44" s="52" t="s">
        <v>421</v>
      </c>
    </row>
    <row r="45" spans="2:9" ht="15.6" x14ac:dyDescent="0.25">
      <c r="B45" s="53" t="s">
        <v>422</v>
      </c>
      <c r="C45" s="52" t="s">
        <v>892</v>
      </c>
      <c r="D45" s="53" t="s">
        <v>422</v>
      </c>
      <c r="E45" s="52" t="s">
        <v>892</v>
      </c>
      <c r="F45" s="53" t="s">
        <v>684</v>
      </c>
      <c r="G45" s="52" t="s">
        <v>885</v>
      </c>
      <c r="H45" s="53" t="s">
        <v>419</v>
      </c>
      <c r="I45" s="52" t="s">
        <v>843</v>
      </c>
    </row>
    <row r="46" spans="2:9" x14ac:dyDescent="0.25">
      <c r="B46" s="53"/>
      <c r="C46" s="52"/>
      <c r="D46" s="53"/>
      <c r="E46" s="52"/>
      <c r="F46" s="53"/>
      <c r="G46" s="52"/>
      <c r="H46" s="53"/>
      <c r="I46" s="52"/>
    </row>
    <row r="47" spans="2:9" x14ac:dyDescent="0.25">
      <c r="B47" s="53" t="s">
        <v>424</v>
      </c>
      <c r="C47" s="52"/>
      <c r="D47" s="53" t="s">
        <v>424</v>
      </c>
      <c r="E47" s="52"/>
      <c r="F47" s="53" t="s">
        <v>424</v>
      </c>
      <c r="G47" s="52"/>
      <c r="H47" s="53" t="s">
        <v>424</v>
      </c>
      <c r="I47" s="52"/>
    </row>
    <row r="48" spans="2:9" x14ac:dyDescent="0.25">
      <c r="B48" s="53" t="s">
        <v>425</v>
      </c>
      <c r="C48" s="52">
        <v>1.5E-3</v>
      </c>
      <c r="D48" s="53" t="s">
        <v>425</v>
      </c>
      <c r="E48" s="52">
        <v>0.16270000000000001</v>
      </c>
      <c r="F48" s="53" t="s">
        <v>425</v>
      </c>
      <c r="G48" s="52">
        <v>1.6999999999999999E-3</v>
      </c>
      <c r="H48" s="53" t="s">
        <v>425</v>
      </c>
      <c r="I48" s="52" t="s">
        <v>616</v>
      </c>
    </row>
    <row r="49" spans="2:9" x14ac:dyDescent="0.25">
      <c r="B49" s="53" t="s">
        <v>426</v>
      </c>
      <c r="C49" s="52" t="s">
        <v>427</v>
      </c>
      <c r="D49" s="53" t="s">
        <v>426</v>
      </c>
      <c r="E49" s="52" t="s">
        <v>445</v>
      </c>
      <c r="F49" s="53" t="s">
        <v>426</v>
      </c>
      <c r="G49" s="52" t="s">
        <v>427</v>
      </c>
      <c r="H49" s="53" t="s">
        <v>426</v>
      </c>
      <c r="I49" s="52" t="s">
        <v>555</v>
      </c>
    </row>
    <row r="50" spans="2:9" x14ac:dyDescent="0.25">
      <c r="B50" s="53" t="s">
        <v>428</v>
      </c>
      <c r="C50" s="52" t="s">
        <v>429</v>
      </c>
      <c r="D50" s="53" t="s">
        <v>428</v>
      </c>
      <c r="E50" s="52" t="s">
        <v>446</v>
      </c>
      <c r="F50" s="53" t="s">
        <v>428</v>
      </c>
      <c r="G50" s="52" t="s">
        <v>429</v>
      </c>
      <c r="H50" s="53" t="s">
        <v>428</v>
      </c>
      <c r="I50" s="52" t="s">
        <v>429</v>
      </c>
    </row>
    <row r="51" spans="2:9" x14ac:dyDescent="0.25">
      <c r="B51" s="53" t="s">
        <v>430</v>
      </c>
      <c r="C51" s="52" t="s">
        <v>572</v>
      </c>
      <c r="D51" s="53" t="s">
        <v>430</v>
      </c>
      <c r="E51" s="52" t="s">
        <v>431</v>
      </c>
      <c r="F51" s="53" t="s">
        <v>430</v>
      </c>
      <c r="G51" s="52" t="s">
        <v>572</v>
      </c>
      <c r="H51" s="53" t="s">
        <v>430</v>
      </c>
      <c r="I51" s="52" t="s">
        <v>572</v>
      </c>
    </row>
    <row r="52" spans="2:9" x14ac:dyDescent="0.25">
      <c r="B52" s="53" t="s">
        <v>432</v>
      </c>
      <c r="C52" s="52" t="s">
        <v>941</v>
      </c>
      <c r="D52" s="53" t="s">
        <v>432</v>
      </c>
      <c r="E52" s="52" t="s">
        <v>945</v>
      </c>
      <c r="F52" s="53" t="s">
        <v>432</v>
      </c>
      <c r="G52" s="52" t="s">
        <v>949</v>
      </c>
      <c r="H52" s="53" t="s">
        <v>432</v>
      </c>
      <c r="I52" s="52" t="s">
        <v>953</v>
      </c>
    </row>
    <row r="53" spans="2:9" x14ac:dyDescent="0.25">
      <c r="B53" s="53"/>
      <c r="C53" s="52"/>
      <c r="D53" s="53"/>
      <c r="E53" s="52"/>
      <c r="F53" s="53"/>
      <c r="G53" s="52"/>
      <c r="H53" s="53"/>
      <c r="I53" s="52"/>
    </row>
    <row r="54" spans="2:9" x14ac:dyDescent="0.25">
      <c r="B54" s="53" t="s">
        <v>434</v>
      </c>
      <c r="C54" s="52"/>
      <c r="D54" s="53" t="s">
        <v>434</v>
      </c>
      <c r="E54" s="52"/>
      <c r="F54" s="53" t="s">
        <v>434</v>
      </c>
      <c r="G54" s="52"/>
      <c r="H54" s="53" t="s">
        <v>434</v>
      </c>
      <c r="I54" s="52"/>
    </row>
    <row r="55" spans="2:9" x14ac:dyDescent="0.25">
      <c r="B55" s="53" t="s">
        <v>435</v>
      </c>
      <c r="C55" s="52">
        <v>0.2006</v>
      </c>
      <c r="D55" s="53" t="s">
        <v>435</v>
      </c>
      <c r="E55" s="52">
        <v>0.2006</v>
      </c>
      <c r="F55" s="53" t="s">
        <v>687</v>
      </c>
      <c r="G55" s="52">
        <v>0.48330000000000001</v>
      </c>
      <c r="H55" s="53" t="s">
        <v>436</v>
      </c>
      <c r="I55" s="52">
        <v>0.24679999999999999</v>
      </c>
    </row>
    <row r="56" spans="2:9" x14ac:dyDescent="0.25">
      <c r="B56" s="53" t="s">
        <v>687</v>
      </c>
      <c r="C56" s="52">
        <v>0.48330000000000001</v>
      </c>
      <c r="D56" s="53" t="s">
        <v>436</v>
      </c>
      <c r="E56" s="52">
        <v>0.24679999999999999</v>
      </c>
      <c r="F56" s="53" t="s">
        <v>714</v>
      </c>
      <c r="G56" s="52">
        <v>0.75480000000000003</v>
      </c>
      <c r="H56" s="53" t="s">
        <v>714</v>
      </c>
      <c r="I56" s="52">
        <v>0.75480000000000003</v>
      </c>
    </row>
    <row r="57" spans="2:9" x14ac:dyDescent="0.25">
      <c r="B57" s="53" t="s">
        <v>688</v>
      </c>
      <c r="C57" s="52" t="s">
        <v>942</v>
      </c>
      <c r="D57" s="53" t="s">
        <v>437</v>
      </c>
      <c r="E57" s="52" t="s">
        <v>946</v>
      </c>
      <c r="F57" s="53" t="s">
        <v>721</v>
      </c>
      <c r="G57" s="52" t="s">
        <v>950</v>
      </c>
      <c r="H57" s="53" t="s">
        <v>715</v>
      </c>
      <c r="I57" s="52" t="s">
        <v>954</v>
      </c>
    </row>
    <row r="58" spans="2:9" x14ac:dyDescent="0.25">
      <c r="B58" s="53" t="s">
        <v>439</v>
      </c>
      <c r="C58" s="52" t="s">
        <v>943</v>
      </c>
      <c r="D58" s="53" t="s">
        <v>439</v>
      </c>
      <c r="E58" s="52" t="s">
        <v>947</v>
      </c>
      <c r="F58" s="53" t="s">
        <v>439</v>
      </c>
      <c r="G58" s="52" t="s">
        <v>951</v>
      </c>
      <c r="H58" s="53" t="s">
        <v>439</v>
      </c>
      <c r="I58" s="52" t="s">
        <v>955</v>
      </c>
    </row>
    <row r="59" spans="2:9" x14ac:dyDescent="0.25">
      <c r="B59" s="53" t="s">
        <v>441</v>
      </c>
      <c r="C59" s="52">
        <v>0.91200000000000003</v>
      </c>
      <c r="D59" s="53" t="s">
        <v>441</v>
      </c>
      <c r="E59" s="52">
        <v>0.4219</v>
      </c>
      <c r="F59" s="53" t="s">
        <v>441</v>
      </c>
      <c r="G59" s="52">
        <v>0.90539999999999998</v>
      </c>
      <c r="H59" s="53" t="s">
        <v>441</v>
      </c>
      <c r="I59" s="52">
        <v>0.98880000000000001</v>
      </c>
    </row>
    <row r="60" spans="2:9" x14ac:dyDescent="0.25">
      <c r="B60" s="53"/>
      <c r="C60" s="52"/>
      <c r="D60" s="53"/>
      <c r="E60" s="52"/>
      <c r="F60" s="53"/>
      <c r="G60" s="52"/>
      <c r="H60" s="53"/>
      <c r="I60" s="52"/>
    </row>
    <row r="61" spans="2:9" x14ac:dyDescent="0.25">
      <c r="B61" s="53" t="s">
        <v>442</v>
      </c>
      <c r="C61" s="52"/>
      <c r="D61" s="53" t="s">
        <v>442</v>
      </c>
      <c r="E61" s="52"/>
      <c r="F61" s="53" t="s">
        <v>442</v>
      </c>
      <c r="G61" s="52"/>
      <c r="H61" s="53" t="s">
        <v>442</v>
      </c>
      <c r="I61" s="52"/>
    </row>
    <row r="62" spans="2:9" x14ac:dyDescent="0.25">
      <c r="B62" s="53" t="s">
        <v>443</v>
      </c>
      <c r="C62" s="52" t="s">
        <v>944</v>
      </c>
      <c r="D62" s="53" t="s">
        <v>443</v>
      </c>
      <c r="E62" s="52" t="s">
        <v>948</v>
      </c>
      <c r="F62" s="53" t="s">
        <v>443</v>
      </c>
      <c r="G62" s="52" t="s">
        <v>952</v>
      </c>
      <c r="H62" s="53" t="s">
        <v>443</v>
      </c>
      <c r="I62" s="52" t="s">
        <v>956</v>
      </c>
    </row>
    <row r="63" spans="2:9" x14ac:dyDescent="0.25">
      <c r="B63" s="53" t="s">
        <v>425</v>
      </c>
      <c r="C63" s="52">
        <v>0.64470000000000005</v>
      </c>
      <c r="D63" s="53" t="s">
        <v>425</v>
      </c>
      <c r="E63" s="52">
        <v>0.3004</v>
      </c>
      <c r="F63" s="53" t="s">
        <v>425</v>
      </c>
      <c r="G63" s="52">
        <v>0.64219999999999999</v>
      </c>
      <c r="H63" s="53" t="s">
        <v>425</v>
      </c>
      <c r="I63" s="52">
        <v>0.3019</v>
      </c>
    </row>
    <row r="64" spans="2:9" x14ac:dyDescent="0.25">
      <c r="B64" s="53" t="s">
        <v>426</v>
      </c>
      <c r="C64" s="52" t="s">
        <v>445</v>
      </c>
      <c r="D64" s="53" t="s">
        <v>426</v>
      </c>
      <c r="E64" s="52" t="s">
        <v>445</v>
      </c>
      <c r="F64" s="53" t="s">
        <v>426</v>
      </c>
      <c r="G64" s="52" t="s">
        <v>445</v>
      </c>
      <c r="H64" s="53" t="s">
        <v>426</v>
      </c>
      <c r="I64" s="52" t="s">
        <v>445</v>
      </c>
    </row>
    <row r="65" spans="2:9" x14ac:dyDescent="0.25">
      <c r="B65" s="53" t="s">
        <v>428</v>
      </c>
      <c r="C65" s="52" t="s">
        <v>446</v>
      </c>
      <c r="D65" s="53" t="s">
        <v>428</v>
      </c>
      <c r="E65" s="52" t="s">
        <v>446</v>
      </c>
      <c r="F65" s="53" t="s">
        <v>428</v>
      </c>
      <c r="G65" s="52" t="s">
        <v>446</v>
      </c>
      <c r="H65" s="53" t="s">
        <v>428</v>
      </c>
      <c r="I65" s="52" t="s">
        <v>446</v>
      </c>
    </row>
  </sheetData>
  <mergeCells count="5">
    <mergeCell ref="A1:D1"/>
    <mergeCell ref="C30:F30"/>
    <mergeCell ref="C31:D31"/>
    <mergeCell ref="E31:F31"/>
    <mergeCell ref="B41:I41"/>
  </mergeCells>
  <phoneticPr fontId="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A2034-2597-4EBD-98A1-1B9840C674EA}">
  <dimension ref="A1:L61"/>
  <sheetViews>
    <sheetView topLeftCell="B28" workbookViewId="0">
      <selection activeCell="H57" sqref="H57"/>
    </sheetView>
  </sheetViews>
  <sheetFormatPr defaultRowHeight="13.2" x14ac:dyDescent="0.25"/>
  <cols>
    <col min="1" max="12" width="15.77734375" style="63" customWidth="1"/>
    <col min="13" max="16384" width="8.88671875" style="63"/>
  </cols>
  <sheetData>
    <row r="1" spans="1:12" x14ac:dyDescent="0.25">
      <c r="A1" s="161" t="s">
        <v>864</v>
      </c>
      <c r="B1" s="161"/>
      <c r="C1" s="161"/>
      <c r="D1" s="161"/>
    </row>
    <row r="2" spans="1:12" ht="29.4" thickBot="1" x14ac:dyDescent="0.3">
      <c r="A2" s="119" t="s">
        <v>850</v>
      </c>
      <c r="B2" s="119" t="s">
        <v>851</v>
      </c>
      <c r="C2" s="119" t="s">
        <v>852</v>
      </c>
      <c r="D2" s="119" t="s">
        <v>853</v>
      </c>
      <c r="E2" s="119" t="s">
        <v>854</v>
      </c>
      <c r="F2" s="119" t="s">
        <v>855</v>
      </c>
      <c r="G2" s="119" t="s">
        <v>856</v>
      </c>
      <c r="H2" s="119" t="s">
        <v>857</v>
      </c>
      <c r="I2" s="119" t="s">
        <v>858</v>
      </c>
      <c r="J2" s="119" t="s">
        <v>859</v>
      </c>
      <c r="K2" s="119" t="s">
        <v>860</v>
      </c>
      <c r="L2" s="119" t="s">
        <v>861</v>
      </c>
    </row>
    <row r="4" spans="1:12" x14ac:dyDescent="0.25">
      <c r="A4" s="63">
        <v>0.3125</v>
      </c>
      <c r="B4" s="63">
        <v>0.33333333333333331</v>
      </c>
      <c r="C4" s="63">
        <v>0.29411764705882354</v>
      </c>
      <c r="D4" s="63">
        <v>0.55555555555555558</v>
      </c>
      <c r="E4" s="63">
        <v>0.58333333333333337</v>
      </c>
      <c r="F4" s="63">
        <v>0.625</v>
      </c>
      <c r="G4" s="63">
        <v>0.5</v>
      </c>
      <c r="H4" s="63">
        <v>0.36363636363636365</v>
      </c>
      <c r="I4" s="63">
        <v>0.42857142857142855</v>
      </c>
      <c r="J4" s="63">
        <v>1</v>
      </c>
      <c r="K4" s="63">
        <v>0.8125</v>
      </c>
      <c r="L4" s="63">
        <v>0.875</v>
      </c>
    </row>
    <row r="6" spans="1:12" x14ac:dyDescent="0.25">
      <c r="A6" s="63">
        <v>18</v>
      </c>
      <c r="B6" s="63">
        <v>19</v>
      </c>
      <c r="C6" s="63">
        <v>18</v>
      </c>
      <c r="D6" s="63">
        <v>20</v>
      </c>
      <c r="E6" s="63">
        <v>17</v>
      </c>
      <c r="F6" s="63">
        <v>19</v>
      </c>
      <c r="G6" s="63">
        <v>15</v>
      </c>
      <c r="H6" s="63">
        <v>20</v>
      </c>
      <c r="I6" s="63">
        <v>20</v>
      </c>
      <c r="J6" s="63">
        <v>18</v>
      </c>
      <c r="K6" s="63">
        <v>20</v>
      </c>
      <c r="L6" s="63">
        <v>17</v>
      </c>
    </row>
    <row r="7" spans="1:12" x14ac:dyDescent="0.25">
      <c r="A7" s="63">
        <v>20</v>
      </c>
      <c r="B7" s="63">
        <v>18</v>
      </c>
      <c r="C7" s="63">
        <v>20</v>
      </c>
      <c r="D7" s="63">
        <v>14</v>
      </c>
      <c r="E7" s="63">
        <v>15</v>
      </c>
      <c r="F7" s="63">
        <v>14</v>
      </c>
      <c r="G7" s="63">
        <v>20</v>
      </c>
      <c r="H7" s="63">
        <v>20</v>
      </c>
      <c r="I7" s="63">
        <v>19</v>
      </c>
      <c r="J7" s="63">
        <v>15</v>
      </c>
      <c r="K7" s="63">
        <v>18</v>
      </c>
      <c r="L7" s="63">
        <v>18</v>
      </c>
    </row>
    <row r="8" spans="1:12" x14ac:dyDescent="0.25">
      <c r="A8" s="63">
        <v>20</v>
      </c>
      <c r="B8" s="63">
        <v>20</v>
      </c>
      <c r="C8" s="63">
        <v>20</v>
      </c>
      <c r="D8" s="63">
        <v>17</v>
      </c>
      <c r="E8" s="63">
        <v>19</v>
      </c>
      <c r="F8" s="63">
        <v>17</v>
      </c>
      <c r="G8" s="63">
        <v>19</v>
      </c>
      <c r="H8" s="63">
        <v>20</v>
      </c>
      <c r="I8" s="63">
        <v>20</v>
      </c>
      <c r="J8" s="63">
        <v>13</v>
      </c>
      <c r="K8" s="63">
        <v>15</v>
      </c>
      <c r="L8" s="63">
        <v>20</v>
      </c>
    </row>
    <row r="9" spans="1:12" x14ac:dyDescent="0.25">
      <c r="A9" s="63">
        <v>19</v>
      </c>
      <c r="B9" s="63">
        <v>20</v>
      </c>
      <c r="C9" s="63">
        <v>20</v>
      </c>
      <c r="D9" s="63">
        <v>19</v>
      </c>
      <c r="E9" s="63">
        <v>17</v>
      </c>
      <c r="F9" s="63">
        <v>20</v>
      </c>
      <c r="G9" s="63">
        <v>18</v>
      </c>
      <c r="H9" s="63">
        <v>19</v>
      </c>
      <c r="I9" s="63">
        <v>18</v>
      </c>
      <c r="J9" s="63">
        <v>19</v>
      </c>
      <c r="K9" s="63">
        <v>19</v>
      </c>
      <c r="L9" s="63">
        <v>16</v>
      </c>
    </row>
    <row r="10" spans="1:12" x14ac:dyDescent="0.25">
      <c r="A10" s="63">
        <v>20</v>
      </c>
      <c r="B10" s="63">
        <v>20</v>
      </c>
      <c r="C10" s="63">
        <v>20</v>
      </c>
      <c r="D10" s="63">
        <v>18</v>
      </c>
      <c r="E10" s="63">
        <v>20</v>
      </c>
      <c r="F10" s="63">
        <v>18</v>
      </c>
      <c r="G10" s="63">
        <v>20</v>
      </c>
      <c r="H10" s="63">
        <v>20</v>
      </c>
      <c r="I10" s="63">
        <v>17</v>
      </c>
      <c r="J10" s="63">
        <v>17</v>
      </c>
      <c r="K10" s="63">
        <v>13</v>
      </c>
      <c r="L10" s="63">
        <v>20</v>
      </c>
    </row>
    <row r="11" spans="1:12" x14ac:dyDescent="0.25">
      <c r="A11" s="63">
        <v>20</v>
      </c>
      <c r="B11" s="63">
        <v>20</v>
      </c>
      <c r="C11" s="63">
        <v>19</v>
      </c>
      <c r="D11" s="63">
        <v>20</v>
      </c>
      <c r="E11" s="63">
        <v>20</v>
      </c>
      <c r="F11" s="63">
        <v>15</v>
      </c>
      <c r="G11" s="63">
        <v>20</v>
      </c>
      <c r="H11" s="63">
        <v>18</v>
      </c>
      <c r="I11" s="63">
        <v>20</v>
      </c>
      <c r="J11" s="63">
        <v>18</v>
      </c>
      <c r="K11" s="63">
        <v>19</v>
      </c>
      <c r="L11" s="63">
        <v>18</v>
      </c>
    </row>
    <row r="12" spans="1:12" x14ac:dyDescent="0.25">
      <c r="A12" s="63">
        <v>20</v>
      </c>
      <c r="B12" s="63">
        <v>20</v>
      </c>
      <c r="C12" s="63">
        <v>20</v>
      </c>
      <c r="D12" s="63">
        <v>20</v>
      </c>
      <c r="E12" s="63">
        <v>14</v>
      </c>
      <c r="F12" s="63">
        <v>19</v>
      </c>
      <c r="H12" s="63">
        <v>18</v>
      </c>
      <c r="I12" s="63">
        <v>20</v>
      </c>
      <c r="J12" s="63">
        <v>19</v>
      </c>
      <c r="K12" s="63">
        <v>17</v>
      </c>
      <c r="L12" s="63">
        <v>18</v>
      </c>
    </row>
    <row r="13" spans="1:12" x14ac:dyDescent="0.25">
      <c r="A13" s="63">
        <v>20</v>
      </c>
      <c r="B13" s="63">
        <v>16</v>
      </c>
      <c r="C13" s="63">
        <v>20</v>
      </c>
      <c r="D13" s="63">
        <v>15</v>
      </c>
      <c r="E13" s="63">
        <v>19</v>
      </c>
      <c r="F13" s="63">
        <v>17</v>
      </c>
      <c r="H13" s="63">
        <v>20</v>
      </c>
      <c r="I13" s="63">
        <v>19</v>
      </c>
      <c r="J13" s="63">
        <v>18</v>
      </c>
      <c r="K13" s="63">
        <v>20</v>
      </c>
      <c r="L13" s="63">
        <v>15</v>
      </c>
    </row>
    <row r="14" spans="1:12" x14ac:dyDescent="0.25">
      <c r="A14" s="63">
        <v>19</v>
      </c>
      <c r="B14" s="63">
        <v>18</v>
      </c>
      <c r="C14" s="63">
        <v>18</v>
      </c>
      <c r="D14" s="63">
        <v>20</v>
      </c>
      <c r="E14" s="63">
        <v>20</v>
      </c>
      <c r="F14" s="63">
        <v>20</v>
      </c>
      <c r="H14" s="63">
        <v>20</v>
      </c>
      <c r="I14" s="63">
        <v>20</v>
      </c>
      <c r="K14" s="63">
        <v>18</v>
      </c>
      <c r="L14" s="63">
        <v>19</v>
      </c>
    </row>
    <row r="15" spans="1:12" x14ac:dyDescent="0.25">
      <c r="A15" s="63">
        <v>19</v>
      </c>
      <c r="B15" s="63">
        <v>20</v>
      </c>
      <c r="C15" s="63">
        <v>20</v>
      </c>
      <c r="E15" s="63">
        <v>20</v>
      </c>
      <c r="F15" s="63">
        <v>19</v>
      </c>
      <c r="H15" s="63">
        <v>17</v>
      </c>
      <c r="I15" s="63">
        <v>18</v>
      </c>
      <c r="K15" s="63">
        <v>15</v>
      </c>
      <c r="L15" s="63">
        <v>15</v>
      </c>
    </row>
    <row r="16" spans="1:12" x14ac:dyDescent="0.25">
      <c r="A16" s="63">
        <v>20</v>
      </c>
      <c r="B16" s="63">
        <v>20</v>
      </c>
      <c r="C16" s="63">
        <v>20</v>
      </c>
      <c r="E16" s="63">
        <v>20</v>
      </c>
      <c r="F16" s="63">
        <v>20</v>
      </c>
      <c r="H16" s="63">
        <v>20</v>
      </c>
      <c r="I16" s="63">
        <v>20</v>
      </c>
      <c r="K16" s="63">
        <v>19</v>
      </c>
      <c r="L16" s="63">
        <v>17</v>
      </c>
    </row>
    <row r="17" spans="1:12" x14ac:dyDescent="0.25">
      <c r="A17" s="63">
        <v>20</v>
      </c>
      <c r="B17" s="63">
        <v>20</v>
      </c>
      <c r="C17" s="63">
        <v>19</v>
      </c>
      <c r="E17" s="63">
        <v>18</v>
      </c>
      <c r="F17" s="63">
        <v>17</v>
      </c>
      <c r="I17" s="63">
        <v>19</v>
      </c>
      <c r="K17" s="63">
        <v>15</v>
      </c>
      <c r="L17" s="63">
        <v>15</v>
      </c>
    </row>
    <row r="18" spans="1:12" x14ac:dyDescent="0.25">
      <c r="A18" s="63">
        <v>19</v>
      </c>
      <c r="C18" s="63">
        <v>20</v>
      </c>
      <c r="F18" s="63">
        <v>18</v>
      </c>
      <c r="I18" s="63">
        <v>20</v>
      </c>
      <c r="K18" s="63">
        <v>20</v>
      </c>
      <c r="L18" s="63">
        <v>18</v>
      </c>
    </row>
    <row r="19" spans="1:12" x14ac:dyDescent="0.25">
      <c r="A19" s="63">
        <v>20</v>
      </c>
      <c r="C19" s="63">
        <v>20</v>
      </c>
      <c r="F19" s="63">
        <v>20</v>
      </c>
      <c r="I19" s="63">
        <v>20</v>
      </c>
      <c r="K19" s="63">
        <v>19</v>
      </c>
      <c r="L19" s="63">
        <v>18</v>
      </c>
    </row>
    <row r="20" spans="1:12" x14ac:dyDescent="0.25">
      <c r="A20" s="63">
        <v>20</v>
      </c>
      <c r="C20" s="63">
        <v>20</v>
      </c>
      <c r="F20" s="63">
        <v>20</v>
      </c>
      <c r="K20" s="63">
        <v>14</v>
      </c>
      <c r="L20" s="63">
        <v>15</v>
      </c>
    </row>
    <row r="21" spans="1:12" x14ac:dyDescent="0.25">
      <c r="A21" s="63">
        <v>20</v>
      </c>
      <c r="C21" s="63">
        <v>18</v>
      </c>
      <c r="F21" s="63">
        <v>20</v>
      </c>
      <c r="K21" s="63">
        <v>15</v>
      </c>
      <c r="L21" s="63">
        <v>15</v>
      </c>
    </row>
    <row r="22" spans="1:12" x14ac:dyDescent="0.25">
      <c r="C22" s="63">
        <v>20</v>
      </c>
    </row>
    <row r="25" spans="1:12" x14ac:dyDescent="0.25">
      <c r="B25" s="161" t="s">
        <v>864</v>
      </c>
      <c r="C25" s="161"/>
      <c r="D25" s="161"/>
      <c r="E25" s="161"/>
    </row>
    <row r="26" spans="1:12" ht="13.8" x14ac:dyDescent="0.25">
      <c r="B26" s="162" t="s">
        <v>671</v>
      </c>
      <c r="C26" s="162"/>
      <c r="D26" s="162" t="s">
        <v>672</v>
      </c>
      <c r="E26" s="162"/>
    </row>
    <row r="27" spans="1:12" ht="15.6" x14ac:dyDescent="0.25">
      <c r="B27" s="106" t="s">
        <v>862</v>
      </c>
      <c r="C27" s="106" t="s">
        <v>863</v>
      </c>
      <c r="D27" s="106" t="s">
        <v>534</v>
      </c>
      <c r="E27" s="106" t="s">
        <v>673</v>
      </c>
    </row>
    <row r="28" spans="1:12" x14ac:dyDescent="0.25">
      <c r="B28" s="63">
        <v>0.3125</v>
      </c>
      <c r="C28" s="63">
        <v>0.55555555555555558</v>
      </c>
      <c r="D28" s="63">
        <v>0.5</v>
      </c>
      <c r="E28" s="63">
        <v>1</v>
      </c>
    </row>
    <row r="29" spans="1:12" x14ac:dyDescent="0.25">
      <c r="B29" s="63">
        <v>0.33333333333333331</v>
      </c>
      <c r="C29" s="63">
        <v>0.58333333333333337</v>
      </c>
      <c r="D29" s="63">
        <v>0.36363636363636365</v>
      </c>
      <c r="E29" s="63">
        <v>0.8125</v>
      </c>
    </row>
    <row r="30" spans="1:12" x14ac:dyDescent="0.25">
      <c r="B30" s="63">
        <v>0.29411764705882354</v>
      </c>
      <c r="C30" s="63">
        <v>0.625</v>
      </c>
      <c r="D30" s="63">
        <v>0.42857142857142855</v>
      </c>
      <c r="E30" s="63">
        <v>0.875</v>
      </c>
    </row>
    <row r="32" spans="1:12" x14ac:dyDescent="0.25">
      <c r="H32" s="63">
        <v>0.3125</v>
      </c>
      <c r="I32" s="63">
        <v>0.5</v>
      </c>
      <c r="J32" s="63">
        <v>0.55555555555555558</v>
      </c>
      <c r="K32" s="63">
        <v>1</v>
      </c>
    </row>
    <row r="33" spans="1:11" x14ac:dyDescent="0.25">
      <c r="H33" s="63">
        <v>0.33333333333333331</v>
      </c>
      <c r="I33" s="63">
        <v>0.36363636363636365</v>
      </c>
      <c r="J33" s="63">
        <v>0.58333333333333337</v>
      </c>
      <c r="K33" s="63">
        <v>0.8125</v>
      </c>
    </row>
    <row r="34" spans="1:11" x14ac:dyDescent="0.25">
      <c r="A34" s="111" t="s">
        <v>587</v>
      </c>
      <c r="B34" s="112">
        <f>AVERAGE(B28:B30)</f>
        <v>0.31331699346405228</v>
      </c>
      <c r="C34" s="112">
        <f t="shared" ref="C34:E34" si="0">AVERAGE(C28:C30)</f>
        <v>0.58796296296296291</v>
      </c>
      <c r="D34" s="112">
        <f t="shared" si="0"/>
        <v>0.43073593073593069</v>
      </c>
      <c r="E34" s="112">
        <f t="shared" si="0"/>
        <v>0.89583333333333337</v>
      </c>
      <c r="H34" s="63">
        <v>0.29411764705882354</v>
      </c>
      <c r="I34" s="63">
        <v>0.42857142857142855</v>
      </c>
      <c r="J34" s="63">
        <v>0.625</v>
      </c>
      <c r="K34" s="63">
        <v>0.875</v>
      </c>
    </row>
    <row r="35" spans="1:11" x14ac:dyDescent="0.25">
      <c r="A35" s="111" t="s">
        <v>588</v>
      </c>
      <c r="B35" s="113">
        <f>STDEVP(B28:B30)/SQRT(COUNT(B28:B30))</f>
        <v>9.2492416654366468E-3</v>
      </c>
      <c r="C35" s="113">
        <f t="shared" ref="C35:E35" si="1">STDEVP(C28:C30)/SQRT(COUNT(C28:C30))</f>
        <v>1.6476972611159425E-2</v>
      </c>
      <c r="D35" s="113">
        <f t="shared" si="1"/>
        <v>3.2153362128654051E-2</v>
      </c>
      <c r="E35" s="113">
        <f t="shared" si="1"/>
        <v>4.5005143738943473E-2</v>
      </c>
    </row>
    <row r="36" spans="1:11" x14ac:dyDescent="0.25">
      <c r="A36" s="111"/>
      <c r="B36" s="113"/>
      <c r="C36" s="113"/>
      <c r="D36" s="113"/>
      <c r="E36" s="113"/>
    </row>
    <row r="37" spans="1:11" x14ac:dyDescent="0.25">
      <c r="B37" s="160" t="s">
        <v>578</v>
      </c>
      <c r="C37" s="160"/>
      <c r="D37" s="160"/>
      <c r="E37" s="160"/>
      <c r="F37" s="160"/>
      <c r="G37" s="160"/>
      <c r="H37" s="160"/>
      <c r="I37" s="160"/>
    </row>
    <row r="38" spans="1:11" ht="15.6" x14ac:dyDescent="0.25">
      <c r="B38" s="114" t="s">
        <v>674</v>
      </c>
      <c r="D38" s="114" t="s">
        <v>678</v>
      </c>
      <c r="F38" s="114" t="s">
        <v>675</v>
      </c>
      <c r="H38" s="114" t="s">
        <v>680</v>
      </c>
    </row>
    <row r="39" spans="1:11" ht="15.6" x14ac:dyDescent="0.25">
      <c r="B39" s="53" t="s">
        <v>684</v>
      </c>
      <c r="C39" s="52" t="s">
        <v>885</v>
      </c>
      <c r="D39" s="53" t="s">
        <v>419</v>
      </c>
      <c r="E39" s="52" t="s">
        <v>843</v>
      </c>
      <c r="F39" s="53" t="s">
        <v>710</v>
      </c>
      <c r="G39" s="52" t="s">
        <v>844</v>
      </c>
      <c r="H39" s="53" t="s">
        <v>710</v>
      </c>
      <c r="I39" s="52" t="s">
        <v>844</v>
      </c>
    </row>
    <row r="40" spans="1:11" x14ac:dyDescent="0.25">
      <c r="B40" s="53" t="s">
        <v>421</v>
      </c>
      <c r="C40" s="52" t="s">
        <v>421</v>
      </c>
      <c r="D40" s="53" t="s">
        <v>421</v>
      </c>
      <c r="E40" s="52" t="s">
        <v>421</v>
      </c>
      <c r="F40" s="53" t="s">
        <v>421</v>
      </c>
      <c r="G40" s="52" t="s">
        <v>421</v>
      </c>
      <c r="H40" s="53" t="s">
        <v>421</v>
      </c>
      <c r="I40" s="52" t="s">
        <v>421</v>
      </c>
    </row>
    <row r="41" spans="1:11" ht="15.6" x14ac:dyDescent="0.25">
      <c r="B41" s="53" t="s">
        <v>422</v>
      </c>
      <c r="C41" s="52" t="s">
        <v>892</v>
      </c>
      <c r="D41" s="53" t="s">
        <v>422</v>
      </c>
      <c r="E41" s="52" t="s">
        <v>892</v>
      </c>
      <c r="F41" s="53" t="s">
        <v>684</v>
      </c>
      <c r="G41" s="52" t="s">
        <v>885</v>
      </c>
      <c r="H41" s="53" t="s">
        <v>419</v>
      </c>
      <c r="I41" s="52" t="s">
        <v>843</v>
      </c>
    </row>
    <row r="42" spans="1:11" x14ac:dyDescent="0.25">
      <c r="B42" s="53"/>
      <c r="C42" s="52"/>
      <c r="D42" s="53"/>
      <c r="E42" s="52"/>
      <c r="F42" s="53"/>
      <c r="G42" s="52"/>
      <c r="H42" s="53"/>
      <c r="I42" s="52"/>
    </row>
    <row r="43" spans="1:11" x14ac:dyDescent="0.25">
      <c r="B43" s="53" t="s">
        <v>424</v>
      </c>
      <c r="C43" s="52"/>
      <c r="D43" s="53" t="s">
        <v>455</v>
      </c>
      <c r="E43" s="52"/>
      <c r="F43" s="53" t="s">
        <v>424</v>
      </c>
      <c r="G43" s="52"/>
      <c r="H43" s="53" t="s">
        <v>424</v>
      </c>
      <c r="I43" s="52"/>
    </row>
    <row r="44" spans="1:11" x14ac:dyDescent="0.25">
      <c r="B44" s="53" t="s">
        <v>425</v>
      </c>
      <c r="C44" s="52">
        <v>1E-4</v>
      </c>
      <c r="D44" s="53" t="s">
        <v>425</v>
      </c>
      <c r="E44" s="52">
        <v>6.3E-2</v>
      </c>
      <c r="F44" s="53" t="s">
        <v>425</v>
      </c>
      <c r="G44" s="52">
        <v>3.2000000000000002E-3</v>
      </c>
      <c r="H44" s="53" t="s">
        <v>425</v>
      </c>
      <c r="I44" s="52">
        <v>1.1999999999999999E-3</v>
      </c>
    </row>
    <row r="45" spans="1:11" x14ac:dyDescent="0.25">
      <c r="B45" s="53" t="s">
        <v>426</v>
      </c>
      <c r="C45" s="52" t="s">
        <v>454</v>
      </c>
      <c r="D45" s="53" t="s">
        <v>426</v>
      </c>
      <c r="E45" s="52" t="s">
        <v>445</v>
      </c>
      <c r="F45" s="53" t="s">
        <v>426</v>
      </c>
      <c r="G45" s="52" t="s">
        <v>427</v>
      </c>
      <c r="H45" s="53" t="s">
        <v>426</v>
      </c>
      <c r="I45" s="52" t="s">
        <v>427</v>
      </c>
    </row>
    <row r="46" spans="1:11" x14ac:dyDescent="0.25">
      <c r="B46" s="53" t="s">
        <v>428</v>
      </c>
      <c r="C46" s="52" t="s">
        <v>429</v>
      </c>
      <c r="D46" s="53" t="s">
        <v>428</v>
      </c>
      <c r="E46" s="52" t="s">
        <v>446</v>
      </c>
      <c r="F46" s="53" t="s">
        <v>428</v>
      </c>
      <c r="G46" s="52" t="s">
        <v>429</v>
      </c>
      <c r="H46" s="53" t="s">
        <v>428</v>
      </c>
      <c r="I46" s="52" t="s">
        <v>429</v>
      </c>
    </row>
    <row r="47" spans="1:11" x14ac:dyDescent="0.25">
      <c r="B47" s="53" t="s">
        <v>430</v>
      </c>
      <c r="C47" s="52" t="s">
        <v>572</v>
      </c>
      <c r="D47" s="53" t="s">
        <v>430</v>
      </c>
      <c r="E47" s="52" t="s">
        <v>572</v>
      </c>
      <c r="F47" s="53" t="s">
        <v>430</v>
      </c>
      <c r="G47" s="52" t="s">
        <v>572</v>
      </c>
      <c r="H47" s="53" t="s">
        <v>430</v>
      </c>
      <c r="I47" s="52" t="s">
        <v>572</v>
      </c>
    </row>
    <row r="48" spans="1:11" x14ac:dyDescent="0.25">
      <c r="B48" s="53" t="s">
        <v>432</v>
      </c>
      <c r="C48" s="52" t="s">
        <v>957</v>
      </c>
      <c r="D48" s="53" t="s">
        <v>432</v>
      </c>
      <c r="E48" s="52" t="s">
        <v>961</v>
      </c>
      <c r="F48" s="53" t="s">
        <v>432</v>
      </c>
      <c r="G48" s="52" t="s">
        <v>963</v>
      </c>
      <c r="H48" s="53" t="s">
        <v>432</v>
      </c>
      <c r="I48" s="52" t="s">
        <v>967</v>
      </c>
    </row>
    <row r="49" spans="2:9" x14ac:dyDescent="0.25">
      <c r="B49" s="53"/>
      <c r="C49" s="52"/>
      <c r="D49" s="53"/>
      <c r="E49" s="52"/>
      <c r="F49" s="53"/>
      <c r="G49" s="52"/>
      <c r="H49" s="53"/>
      <c r="I49" s="52"/>
    </row>
    <row r="50" spans="2:9" x14ac:dyDescent="0.25">
      <c r="B50" s="53" t="s">
        <v>434</v>
      </c>
      <c r="C50" s="52"/>
      <c r="D50" s="53" t="s">
        <v>434</v>
      </c>
      <c r="E50" s="52"/>
      <c r="F50" s="53" t="s">
        <v>434</v>
      </c>
      <c r="G50" s="52"/>
      <c r="H50" s="53" t="s">
        <v>434</v>
      </c>
      <c r="I50" s="52"/>
    </row>
    <row r="51" spans="2:9" x14ac:dyDescent="0.25">
      <c r="B51" s="53" t="s">
        <v>435</v>
      </c>
      <c r="C51" s="52">
        <v>0.31330000000000002</v>
      </c>
      <c r="D51" s="53" t="s">
        <v>458</v>
      </c>
      <c r="E51" s="52">
        <v>0.1174</v>
      </c>
      <c r="F51" s="53" t="s">
        <v>687</v>
      </c>
      <c r="G51" s="52">
        <v>0.58799999999999997</v>
      </c>
      <c r="H51" s="53" t="s">
        <v>436</v>
      </c>
      <c r="I51" s="52">
        <v>0.43070000000000003</v>
      </c>
    </row>
    <row r="52" spans="2:9" x14ac:dyDescent="0.25">
      <c r="B52" s="53" t="s">
        <v>687</v>
      </c>
      <c r="C52" s="52">
        <v>0.58799999999999997</v>
      </c>
      <c r="D52" s="53" t="s">
        <v>459</v>
      </c>
      <c r="E52" s="52">
        <v>7.9969999999999999E-2</v>
      </c>
      <c r="F52" s="53" t="s">
        <v>714</v>
      </c>
      <c r="G52" s="52">
        <v>0.89580000000000004</v>
      </c>
      <c r="H52" s="53" t="s">
        <v>714</v>
      </c>
      <c r="I52" s="52">
        <v>0.89580000000000004</v>
      </c>
    </row>
    <row r="53" spans="2:9" x14ac:dyDescent="0.25">
      <c r="B53" s="53" t="s">
        <v>688</v>
      </c>
      <c r="C53" s="52" t="s">
        <v>958</v>
      </c>
      <c r="D53" s="53" t="s">
        <v>460</v>
      </c>
      <c r="E53" s="52">
        <v>4.6170000000000003E-2</v>
      </c>
      <c r="F53" s="53" t="s">
        <v>721</v>
      </c>
      <c r="G53" s="52" t="s">
        <v>964</v>
      </c>
      <c r="H53" s="53" t="s">
        <v>715</v>
      </c>
      <c r="I53" s="52" t="s">
        <v>968</v>
      </c>
    </row>
    <row r="54" spans="2:9" x14ac:dyDescent="0.25">
      <c r="B54" s="53" t="s">
        <v>439</v>
      </c>
      <c r="C54" s="52" t="s">
        <v>959</v>
      </c>
      <c r="D54" s="53" t="s">
        <v>439</v>
      </c>
      <c r="E54" s="52" t="s">
        <v>962</v>
      </c>
      <c r="F54" s="53" t="s">
        <v>439</v>
      </c>
      <c r="G54" s="52" t="s">
        <v>965</v>
      </c>
      <c r="H54" s="53" t="s">
        <v>439</v>
      </c>
      <c r="I54" s="52" t="s">
        <v>969</v>
      </c>
    </row>
    <row r="55" spans="2:9" x14ac:dyDescent="0.25">
      <c r="B55" s="53" t="s">
        <v>441</v>
      </c>
      <c r="C55" s="52">
        <v>0.97240000000000004</v>
      </c>
      <c r="D55" s="53" t="s">
        <v>462</v>
      </c>
      <c r="E55" s="52">
        <v>0.76380000000000003</v>
      </c>
      <c r="F55" s="53" t="s">
        <v>441</v>
      </c>
      <c r="G55" s="52">
        <v>0.87309999999999999</v>
      </c>
      <c r="H55" s="53" t="s">
        <v>441</v>
      </c>
      <c r="I55" s="52">
        <v>0.92179999999999995</v>
      </c>
    </row>
    <row r="56" spans="2:9" x14ac:dyDescent="0.25">
      <c r="B56" s="53"/>
      <c r="C56" s="52"/>
      <c r="D56" s="53"/>
      <c r="E56" s="52"/>
      <c r="F56" s="53"/>
      <c r="G56" s="52"/>
      <c r="H56" s="53"/>
      <c r="I56" s="52"/>
    </row>
    <row r="57" spans="2:9" x14ac:dyDescent="0.25">
      <c r="B57" s="53" t="s">
        <v>442</v>
      </c>
      <c r="C57" s="52"/>
      <c r="D57" s="53" t="s">
        <v>463</v>
      </c>
      <c r="E57" s="52"/>
      <c r="F57" s="53" t="s">
        <v>442</v>
      </c>
      <c r="G57" s="52"/>
      <c r="H57" s="53" t="s">
        <v>442</v>
      </c>
      <c r="I57" s="52"/>
    </row>
    <row r="58" spans="2:9" x14ac:dyDescent="0.25">
      <c r="B58" s="53" t="s">
        <v>443</v>
      </c>
      <c r="C58" s="52" t="s">
        <v>960</v>
      </c>
      <c r="D58" s="53" t="s">
        <v>464</v>
      </c>
      <c r="E58" s="52">
        <v>-0.50739999999999996</v>
      </c>
      <c r="F58" s="53" t="s">
        <v>443</v>
      </c>
      <c r="G58" s="52" t="s">
        <v>966</v>
      </c>
      <c r="H58" s="53" t="s">
        <v>443</v>
      </c>
      <c r="I58" s="52" t="s">
        <v>970</v>
      </c>
    </row>
    <row r="59" spans="2:9" x14ac:dyDescent="0.25">
      <c r="B59" s="53" t="s">
        <v>425</v>
      </c>
      <c r="C59" s="52">
        <v>0.47920000000000001</v>
      </c>
      <c r="D59" s="53" t="s">
        <v>465</v>
      </c>
      <c r="E59" s="52">
        <v>0.3306</v>
      </c>
      <c r="F59" s="53" t="s">
        <v>425</v>
      </c>
      <c r="G59" s="52">
        <v>0.2364</v>
      </c>
      <c r="H59" s="53" t="s">
        <v>425</v>
      </c>
      <c r="I59" s="52">
        <v>0.67589999999999995</v>
      </c>
    </row>
    <row r="60" spans="2:9" x14ac:dyDescent="0.25">
      <c r="B60" s="53" t="s">
        <v>426</v>
      </c>
      <c r="C60" s="52" t="s">
        <v>445</v>
      </c>
      <c r="D60" s="53" t="s">
        <v>426</v>
      </c>
      <c r="E60" s="52" t="s">
        <v>445</v>
      </c>
      <c r="F60" s="53" t="s">
        <v>426</v>
      </c>
      <c r="G60" s="52" t="s">
        <v>445</v>
      </c>
      <c r="H60" s="53" t="s">
        <v>426</v>
      </c>
      <c r="I60" s="52" t="s">
        <v>445</v>
      </c>
    </row>
    <row r="61" spans="2:9" x14ac:dyDescent="0.25">
      <c r="B61" s="53" t="s">
        <v>428</v>
      </c>
      <c r="C61" s="52" t="s">
        <v>446</v>
      </c>
      <c r="D61" s="53" t="s">
        <v>466</v>
      </c>
      <c r="E61" s="52" t="s">
        <v>446</v>
      </c>
      <c r="F61" s="53" t="s">
        <v>428</v>
      </c>
      <c r="G61" s="52" t="s">
        <v>446</v>
      </c>
      <c r="H61" s="53" t="s">
        <v>428</v>
      </c>
      <c r="I61" s="52" t="s">
        <v>446</v>
      </c>
    </row>
  </sheetData>
  <mergeCells count="5">
    <mergeCell ref="A1:D1"/>
    <mergeCell ref="B25:E25"/>
    <mergeCell ref="B26:C26"/>
    <mergeCell ref="D26:E26"/>
    <mergeCell ref="B37:I3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07B6C-8900-4672-AEFC-594AE4B2259C}">
  <dimension ref="A1:T66"/>
  <sheetViews>
    <sheetView zoomScaleNormal="100" zoomScaleSheetLayoutView="100" workbookViewId="0">
      <selection activeCell="F32" sqref="F32"/>
    </sheetView>
  </sheetViews>
  <sheetFormatPr defaultColWidth="9.6640625" defaultRowHeight="13.2" x14ac:dyDescent="0.25"/>
  <cols>
    <col min="1" max="2" width="9.6640625" style="34"/>
    <col min="3" max="3" width="7" style="34" customWidth="1"/>
    <col min="4" max="14" width="9.6640625" style="3"/>
    <col min="15" max="15" width="36.77734375" style="3" customWidth="1"/>
    <col min="16" max="16384" width="9.6640625" style="3"/>
  </cols>
  <sheetData>
    <row r="1" spans="1:20" ht="11.4" customHeight="1" x14ac:dyDescent="0.25">
      <c r="A1" s="49" t="s">
        <v>1064</v>
      </c>
      <c r="B1" s="32"/>
      <c r="C1" s="32"/>
    </row>
    <row r="2" spans="1:20" ht="11.4" customHeight="1" x14ac:dyDescent="0.25">
      <c r="A2" s="48"/>
      <c r="B2" s="32"/>
      <c r="C2" s="32"/>
    </row>
    <row r="3" spans="1:20" ht="11.4" customHeight="1" x14ac:dyDescent="0.25">
      <c r="A3" s="32" t="s">
        <v>12</v>
      </c>
      <c r="B3" s="32" t="s">
        <v>13</v>
      </c>
      <c r="C3" s="32" t="s">
        <v>2</v>
      </c>
      <c r="D3" s="2"/>
      <c r="F3" s="2"/>
      <c r="G3" s="2"/>
      <c r="H3" s="2"/>
      <c r="I3" s="2"/>
      <c r="J3" s="2"/>
      <c r="K3" s="2"/>
      <c r="L3" s="2"/>
      <c r="M3" s="2"/>
      <c r="N3" s="2"/>
      <c r="P3" s="52"/>
    </row>
    <row r="4" spans="1:20" s="6" customFormat="1" ht="11.4" customHeight="1" x14ac:dyDescent="0.25">
      <c r="A4" s="32" t="s">
        <v>4</v>
      </c>
      <c r="B4" s="32" t="s">
        <v>14</v>
      </c>
      <c r="C4" s="33">
        <v>30.939287185668899</v>
      </c>
      <c r="D4" s="8"/>
      <c r="H4" s="9"/>
      <c r="I4" s="9"/>
      <c r="J4" s="9"/>
      <c r="K4" s="9"/>
      <c r="L4" s="9"/>
      <c r="M4" s="9"/>
      <c r="N4" s="9"/>
      <c r="O4" s="53"/>
      <c r="P4" s="52"/>
    </row>
    <row r="5" spans="1:20" ht="11.4" customHeight="1" x14ac:dyDescent="0.25">
      <c r="A5" s="32" t="s">
        <v>4</v>
      </c>
      <c r="B5" s="32" t="s">
        <v>14</v>
      </c>
      <c r="C5" s="33">
        <v>30.201023101806602</v>
      </c>
      <c r="D5" s="7"/>
      <c r="H5" s="2"/>
      <c r="I5" s="2"/>
      <c r="J5" s="2"/>
      <c r="K5" s="2"/>
      <c r="L5" s="2"/>
      <c r="M5" s="2"/>
      <c r="N5" s="2"/>
      <c r="O5" s="53" t="s">
        <v>451</v>
      </c>
      <c r="P5" s="52" t="s">
        <v>453</v>
      </c>
    </row>
    <row r="6" spans="1:20" ht="11.4" customHeight="1" x14ac:dyDescent="0.25">
      <c r="A6" s="32" t="s">
        <v>4</v>
      </c>
      <c r="B6" s="32" t="s">
        <v>14</v>
      </c>
      <c r="C6" s="33">
        <v>30.067176818847599</v>
      </c>
      <c r="D6" s="7"/>
      <c r="E6" s="1"/>
      <c r="F6" s="31"/>
      <c r="G6" s="31"/>
      <c r="H6" s="31"/>
      <c r="I6" s="31"/>
      <c r="J6" s="31"/>
      <c r="K6" s="31"/>
      <c r="L6" s="31"/>
      <c r="M6" s="31"/>
      <c r="N6" s="2"/>
      <c r="O6" s="53"/>
      <c r="P6" s="52"/>
    </row>
    <row r="7" spans="1:20" ht="11.4" customHeight="1" thickBot="1" x14ac:dyDescent="0.3">
      <c r="A7" s="32" t="s">
        <v>6</v>
      </c>
      <c r="B7" s="32" t="s">
        <v>14</v>
      </c>
      <c r="C7" s="33">
        <v>30.232028961181602</v>
      </c>
      <c r="D7" s="7"/>
      <c r="E7" s="4"/>
      <c r="F7" s="5" t="s">
        <v>5</v>
      </c>
      <c r="G7" s="5" t="s">
        <v>6</v>
      </c>
      <c r="H7" s="5" t="s">
        <v>7</v>
      </c>
      <c r="I7" s="5" t="s">
        <v>9</v>
      </c>
      <c r="J7" s="5" t="s">
        <v>10</v>
      </c>
      <c r="K7" s="5" t="s">
        <v>11</v>
      </c>
      <c r="L7" s="54"/>
      <c r="M7" s="54"/>
      <c r="N7" s="2"/>
      <c r="O7" s="53" t="s">
        <v>419</v>
      </c>
      <c r="P7" s="52" t="s">
        <v>1</v>
      </c>
    </row>
    <row r="8" spans="1:20" ht="11.4" customHeight="1" x14ac:dyDescent="0.25">
      <c r="A8" s="32" t="s">
        <v>6</v>
      </c>
      <c r="B8" s="32" t="s">
        <v>14</v>
      </c>
      <c r="C8" s="33">
        <v>30.477470397949201</v>
      </c>
      <c r="D8" s="7"/>
      <c r="E8" s="10" t="s">
        <v>14</v>
      </c>
      <c r="F8" s="11">
        <v>30.939287185668899</v>
      </c>
      <c r="G8" s="11">
        <v>30.232028961181602</v>
      </c>
      <c r="H8" s="11">
        <v>30.948562622070298</v>
      </c>
      <c r="I8" s="11">
        <v>31.692956924438398</v>
      </c>
      <c r="J8" s="11">
        <v>32.082824325561504</v>
      </c>
      <c r="K8" s="11">
        <v>32.653764724731403</v>
      </c>
      <c r="L8" s="13"/>
      <c r="M8" s="13"/>
      <c r="N8" s="2"/>
      <c r="O8" s="53" t="s">
        <v>421</v>
      </c>
      <c r="P8" s="52" t="s">
        <v>421</v>
      </c>
      <c r="Q8" s="2"/>
      <c r="R8" s="2"/>
      <c r="S8" s="2"/>
      <c r="T8" s="2"/>
    </row>
    <row r="9" spans="1:20" ht="11.4" customHeight="1" x14ac:dyDescent="0.25">
      <c r="A9" s="32" t="s">
        <v>6</v>
      </c>
      <c r="B9" s="32" t="s">
        <v>14</v>
      </c>
      <c r="C9" s="33">
        <v>30.309795379638601</v>
      </c>
      <c r="D9" s="7"/>
      <c r="E9" s="1" t="s">
        <v>14</v>
      </c>
      <c r="F9" s="13">
        <v>30.201023101806602</v>
      </c>
      <c r="G9" s="13">
        <v>30.477470397949201</v>
      </c>
      <c r="H9" s="13">
        <v>30.2165508270263</v>
      </c>
      <c r="I9" s="13">
        <v>32.677381515502901</v>
      </c>
      <c r="J9" s="13">
        <v>31.7565097808837</v>
      </c>
      <c r="K9" s="13">
        <v>31.6529541015625</v>
      </c>
      <c r="L9" s="13"/>
      <c r="M9" s="13"/>
      <c r="N9" s="2"/>
      <c r="O9" s="53" t="s">
        <v>422</v>
      </c>
      <c r="P9" s="52" t="s">
        <v>0</v>
      </c>
      <c r="Q9" s="2"/>
      <c r="R9" s="2"/>
      <c r="S9" s="2"/>
      <c r="T9" s="2"/>
    </row>
    <row r="10" spans="1:20" ht="11.4" customHeight="1" thickBot="1" x14ac:dyDescent="0.3">
      <c r="A10" s="32" t="s">
        <v>7</v>
      </c>
      <c r="B10" s="32" t="s">
        <v>14</v>
      </c>
      <c r="C10" s="33">
        <v>30.948562622070298</v>
      </c>
      <c r="E10" s="14" t="s">
        <v>14</v>
      </c>
      <c r="F10" s="15">
        <v>30.067176818847599</v>
      </c>
      <c r="G10" s="15">
        <v>30.309795379638601</v>
      </c>
      <c r="H10" s="15">
        <v>30.5057983398437</v>
      </c>
      <c r="I10" s="15">
        <v>31.691766738891602</v>
      </c>
      <c r="J10" s="15">
        <v>32.584768295288001</v>
      </c>
      <c r="K10" s="15">
        <v>31.808900833129801</v>
      </c>
      <c r="L10" s="13"/>
      <c r="M10" s="13"/>
      <c r="N10" s="2"/>
      <c r="O10" s="53"/>
      <c r="P10" s="52"/>
      <c r="Q10" s="2"/>
      <c r="R10" s="2"/>
      <c r="S10" s="2"/>
      <c r="T10" s="2"/>
    </row>
    <row r="11" spans="1:20" ht="11.4" customHeight="1" x14ac:dyDescent="0.25">
      <c r="A11" s="32" t="s">
        <v>7</v>
      </c>
      <c r="B11" s="32" t="s">
        <v>14</v>
      </c>
      <c r="C11" s="33">
        <v>30.2165508270263</v>
      </c>
      <c r="E11" s="10" t="s">
        <v>15</v>
      </c>
      <c r="F11" s="11">
        <v>33.853075027465799</v>
      </c>
      <c r="G11" s="11">
        <v>33.036821365356403</v>
      </c>
      <c r="H11" s="11">
        <v>34.129100799560497</v>
      </c>
      <c r="I11" s="16">
        <v>36.815280914306598</v>
      </c>
      <c r="J11" s="11">
        <v>37.118776321411097</v>
      </c>
      <c r="K11" s="16">
        <v>37.139976501464801</v>
      </c>
      <c r="L11" s="17"/>
      <c r="M11" s="17"/>
      <c r="N11" s="2"/>
      <c r="O11" s="53" t="s">
        <v>455</v>
      </c>
      <c r="P11" s="52"/>
      <c r="Q11" s="2"/>
      <c r="R11" s="2"/>
      <c r="S11" s="2"/>
      <c r="T11" s="2"/>
    </row>
    <row r="12" spans="1:20" ht="11.4" customHeight="1" x14ac:dyDescent="0.25">
      <c r="A12" s="32" t="s">
        <v>7</v>
      </c>
      <c r="B12" s="32" t="s">
        <v>14</v>
      </c>
      <c r="C12" s="33">
        <v>30.5057983398437</v>
      </c>
      <c r="E12" s="1" t="s">
        <v>15</v>
      </c>
      <c r="F12" s="13">
        <v>33.306652069091697</v>
      </c>
      <c r="G12" s="13">
        <v>33.44331741333</v>
      </c>
      <c r="H12" s="13">
        <v>33.855720520019503</v>
      </c>
      <c r="I12" s="17">
        <v>37.692953109741197</v>
      </c>
      <c r="J12" s="13">
        <v>37.494125366210902</v>
      </c>
      <c r="K12" s="17">
        <v>36.962179183959897</v>
      </c>
      <c r="L12" s="17"/>
      <c r="M12" s="17"/>
      <c r="N12" s="2"/>
      <c r="O12" s="53" t="s">
        <v>425</v>
      </c>
      <c r="P12" s="52">
        <v>7.4999999999999997E-3</v>
      </c>
      <c r="Q12" s="2"/>
      <c r="R12" s="2"/>
      <c r="S12" s="2"/>
      <c r="T12" s="2"/>
    </row>
    <row r="13" spans="1:20" ht="11.4" customHeight="1" thickBot="1" x14ac:dyDescent="0.3">
      <c r="A13" s="32" t="s">
        <v>8</v>
      </c>
      <c r="B13" s="32" t="s">
        <v>14</v>
      </c>
      <c r="C13" s="33">
        <v>31.692956924438398</v>
      </c>
      <c r="E13" s="1" t="s">
        <v>15</v>
      </c>
      <c r="F13" s="15">
        <v>33.2402954101562</v>
      </c>
      <c r="G13" s="15">
        <v>33.716106414794901</v>
      </c>
      <c r="H13" s="15">
        <v>33.6325073242187</v>
      </c>
      <c r="I13" s="18">
        <v>37.3581895828247</v>
      </c>
      <c r="J13" s="15">
        <v>36.997541427612298</v>
      </c>
      <c r="K13" s="18">
        <v>37.112827301025298</v>
      </c>
      <c r="L13" s="17"/>
      <c r="M13" s="17"/>
      <c r="N13" s="2"/>
      <c r="O13" s="53" t="s">
        <v>426</v>
      </c>
      <c r="P13" s="52" t="s">
        <v>427</v>
      </c>
      <c r="Q13" s="2"/>
      <c r="R13" s="2"/>
      <c r="S13" s="2"/>
      <c r="T13" s="2"/>
    </row>
    <row r="14" spans="1:20" ht="11.4" customHeight="1" x14ac:dyDescent="0.25">
      <c r="A14" s="32" t="s">
        <v>8</v>
      </c>
      <c r="B14" s="32" t="s">
        <v>14</v>
      </c>
      <c r="C14" s="33">
        <v>32.677381515502901</v>
      </c>
      <c r="E14" s="10"/>
      <c r="F14" s="11"/>
      <c r="G14" s="11"/>
      <c r="H14" s="11"/>
      <c r="I14" s="11"/>
      <c r="J14" s="11"/>
      <c r="K14" s="11"/>
      <c r="L14" s="13"/>
      <c r="M14" s="13"/>
      <c r="N14" s="2"/>
      <c r="O14" s="53" t="s">
        <v>428</v>
      </c>
      <c r="P14" s="52" t="s">
        <v>429</v>
      </c>
    </row>
    <row r="15" spans="1:20" x14ac:dyDescent="0.25">
      <c r="A15" s="32" t="s">
        <v>8</v>
      </c>
      <c r="B15" s="32" t="s">
        <v>14</v>
      </c>
      <c r="C15" s="33">
        <v>31.691766738891602</v>
      </c>
      <c r="E15" s="19"/>
      <c r="F15" s="17"/>
      <c r="G15" s="17"/>
      <c r="H15" s="17"/>
      <c r="I15" s="17"/>
      <c r="J15" s="17"/>
      <c r="K15" s="17"/>
      <c r="O15" s="53" t="s">
        <v>430</v>
      </c>
      <c r="P15" s="52" t="s">
        <v>431</v>
      </c>
    </row>
    <row r="16" spans="1:20" x14ac:dyDescent="0.25">
      <c r="A16" s="32" t="s">
        <v>10</v>
      </c>
      <c r="B16" s="32" t="s">
        <v>14</v>
      </c>
      <c r="C16" s="33">
        <v>32.082824325561504</v>
      </c>
      <c r="E16" s="19"/>
      <c r="F16" s="150"/>
      <c r="G16" s="150"/>
      <c r="H16" s="150"/>
      <c r="I16" s="150"/>
      <c r="J16" s="150"/>
      <c r="K16" s="150"/>
      <c r="O16" s="53" t="s">
        <v>432</v>
      </c>
      <c r="P16" s="52" t="s">
        <v>456</v>
      </c>
    </row>
    <row r="17" spans="1:16" ht="13.8" thickBot="1" x14ac:dyDescent="0.3">
      <c r="A17" s="32" t="s">
        <v>10</v>
      </c>
      <c r="B17" s="32" t="s">
        <v>14</v>
      </c>
      <c r="C17" s="33">
        <v>31.7565097808837</v>
      </c>
      <c r="E17" s="19"/>
      <c r="F17" s="5" t="s">
        <v>5</v>
      </c>
      <c r="G17" s="5" t="s">
        <v>6</v>
      </c>
      <c r="H17" s="5" t="s">
        <v>7</v>
      </c>
      <c r="I17" s="5" t="s">
        <v>9</v>
      </c>
      <c r="J17" s="5" t="s">
        <v>10</v>
      </c>
      <c r="K17" s="5" t="s">
        <v>11</v>
      </c>
      <c r="O17" s="53" t="s">
        <v>457</v>
      </c>
      <c r="P17" s="52">
        <v>3</v>
      </c>
    </row>
    <row r="18" spans="1:16" x14ac:dyDescent="0.25">
      <c r="A18" s="32" t="s">
        <v>10</v>
      </c>
      <c r="B18" s="32" t="s">
        <v>14</v>
      </c>
      <c r="C18" s="33">
        <v>32.584768295288001</v>
      </c>
      <c r="E18" s="1" t="s">
        <v>3</v>
      </c>
      <c r="F18" s="20">
        <f>AVERAGE(F9,F8,F10)</f>
        <v>30.4024957021077</v>
      </c>
      <c r="G18" s="20">
        <f>AVERAGE(G9,G8,G10)</f>
        <v>30.339764912923133</v>
      </c>
      <c r="H18" s="20">
        <f t="shared" ref="H18:K18" si="0">AVERAGE(H9,H8,H10)</f>
        <v>30.55697059631343</v>
      </c>
      <c r="I18" s="20">
        <f t="shared" si="0"/>
        <v>32.020701726277629</v>
      </c>
      <c r="J18" s="20">
        <f t="shared" si="0"/>
        <v>32.1413674672444</v>
      </c>
      <c r="K18" s="20">
        <f t="shared" si="0"/>
        <v>32.038539886474567</v>
      </c>
      <c r="O18" s="53"/>
      <c r="P18" s="52"/>
    </row>
    <row r="19" spans="1:16" x14ac:dyDescent="0.25">
      <c r="A19" s="32" t="s">
        <v>11</v>
      </c>
      <c r="B19" s="32" t="s">
        <v>14</v>
      </c>
      <c r="C19" s="33">
        <v>32.653764724731403</v>
      </c>
      <c r="E19" s="19"/>
      <c r="F19" s="19"/>
      <c r="G19" s="19"/>
      <c r="H19" s="19"/>
      <c r="I19" s="19"/>
      <c r="J19" s="19"/>
      <c r="K19" s="19"/>
      <c r="O19" s="53" t="s">
        <v>434</v>
      </c>
      <c r="P19" s="52"/>
    </row>
    <row r="20" spans="1:16" x14ac:dyDescent="0.25">
      <c r="A20" s="32" t="s">
        <v>11</v>
      </c>
      <c r="B20" s="32" t="s">
        <v>14</v>
      </c>
      <c r="C20" s="33">
        <v>31.6529541015625</v>
      </c>
      <c r="E20" s="19"/>
      <c r="F20" s="19"/>
      <c r="G20" s="19"/>
      <c r="H20" s="19"/>
      <c r="I20" s="19"/>
      <c r="J20" s="19"/>
      <c r="K20" s="19"/>
      <c r="O20" s="53" t="s">
        <v>458</v>
      </c>
      <c r="P20" s="52">
        <v>-0.74580000000000002</v>
      </c>
    </row>
    <row r="21" spans="1:16" x14ac:dyDescent="0.25">
      <c r="A21" s="32" t="s">
        <v>11</v>
      </c>
      <c r="B21" s="32" t="s">
        <v>14</v>
      </c>
      <c r="C21" s="33">
        <v>31.808900833129801</v>
      </c>
      <c r="E21" s="21"/>
      <c r="F21" s="29"/>
      <c r="G21" s="29"/>
      <c r="H21" s="29"/>
      <c r="I21" s="29"/>
      <c r="J21" s="29"/>
      <c r="K21" s="29"/>
      <c r="O21" s="53" t="s">
        <v>459</v>
      </c>
      <c r="P21" s="52">
        <v>0.1128</v>
      </c>
    </row>
    <row r="22" spans="1:16" x14ac:dyDescent="0.25">
      <c r="A22" s="32" t="s">
        <v>4</v>
      </c>
      <c r="B22" s="32" t="s">
        <v>452</v>
      </c>
      <c r="C22" s="33">
        <v>33.853075027465799</v>
      </c>
      <c r="E22" s="1" t="s">
        <v>16</v>
      </c>
      <c r="F22" s="20">
        <f t="shared" ref="F22:K22" si="1">AVERAGE(F11,F12,F13)</f>
        <v>33.466674168904568</v>
      </c>
      <c r="G22" s="20">
        <f t="shared" si="1"/>
        <v>33.398748397827099</v>
      </c>
      <c r="H22" s="20">
        <f t="shared" si="1"/>
        <v>33.872442881266231</v>
      </c>
      <c r="I22" s="20">
        <f t="shared" si="1"/>
        <v>37.288807868957498</v>
      </c>
      <c r="J22" s="20">
        <f t="shared" si="1"/>
        <v>37.203481038411432</v>
      </c>
      <c r="K22" s="20">
        <f t="shared" si="1"/>
        <v>37.071660995483334</v>
      </c>
      <c r="M22" s="37" t="s">
        <v>0</v>
      </c>
      <c r="N22" s="37" t="s">
        <v>1</v>
      </c>
      <c r="O22" s="53" t="s">
        <v>460</v>
      </c>
      <c r="P22" s="52">
        <v>6.5119999999999997E-2</v>
      </c>
    </row>
    <row r="23" spans="1:16" x14ac:dyDescent="0.25">
      <c r="A23" s="32" t="s">
        <v>4</v>
      </c>
      <c r="B23" s="32" t="s">
        <v>452</v>
      </c>
      <c r="C23" s="33">
        <v>33.306652069091697</v>
      </c>
      <c r="E23" s="1"/>
      <c r="F23" s="22">
        <f t="shared" ref="F23:K23" si="2">F22-F18</f>
        <v>3.0641784667968679</v>
      </c>
      <c r="G23" s="22">
        <f t="shared" si="2"/>
        <v>3.0589834849039654</v>
      </c>
      <c r="H23" s="22">
        <f t="shared" si="2"/>
        <v>3.3154722849528007</v>
      </c>
      <c r="I23" s="22">
        <f t="shared" si="2"/>
        <v>5.2681061426798692</v>
      </c>
      <c r="J23" s="22">
        <f t="shared" si="2"/>
        <v>5.062113571167032</v>
      </c>
      <c r="K23" s="22">
        <f t="shared" si="2"/>
        <v>5.0331211090087677</v>
      </c>
      <c r="M23" s="3">
        <v>1.0549450512186838</v>
      </c>
      <c r="N23" s="3">
        <v>0.22897153756135594</v>
      </c>
      <c r="O23" s="53" t="s">
        <v>439</v>
      </c>
      <c r="P23" s="52" t="s">
        <v>461</v>
      </c>
    </row>
    <row r="24" spans="1:16" x14ac:dyDescent="0.25">
      <c r="A24" s="32" t="s">
        <v>4</v>
      </c>
      <c r="B24" s="32" t="s">
        <v>452</v>
      </c>
      <c r="C24" s="33">
        <v>33.2402954101562</v>
      </c>
      <c r="D24" s="2"/>
      <c r="E24" s="1"/>
      <c r="F24" s="23">
        <f>AVERAGE(F23:H23)</f>
        <v>3.1462114122178781</v>
      </c>
      <c r="G24" s="22"/>
      <c r="H24" s="22"/>
      <c r="I24" s="22"/>
      <c r="J24" s="22"/>
      <c r="K24" s="22"/>
      <c r="L24" s="2"/>
      <c r="M24" s="3">
        <v>1.0587506368242301</v>
      </c>
      <c r="N24" s="3">
        <v>0.26411401260970596</v>
      </c>
      <c r="O24" s="53" t="s">
        <v>462</v>
      </c>
      <c r="P24" s="52">
        <v>0.98499999999999999</v>
      </c>
    </row>
    <row r="25" spans="1:16" x14ac:dyDescent="0.25">
      <c r="A25" s="32" t="s">
        <v>6</v>
      </c>
      <c r="B25" s="32" t="s">
        <v>452</v>
      </c>
      <c r="C25" s="33">
        <v>33.036821365356403</v>
      </c>
      <c r="D25" s="2"/>
      <c r="E25" s="1"/>
      <c r="F25" s="22">
        <f t="shared" ref="F25:K25" si="3">F23-$F$24</f>
        <v>-8.203294542101025E-2</v>
      </c>
      <c r="G25" s="22">
        <f t="shared" si="3"/>
        <v>-8.7227927313912712E-2</v>
      </c>
      <c r="H25" s="22">
        <f t="shared" si="3"/>
        <v>0.16926087273492252</v>
      </c>
      <c r="I25" s="22">
        <f t="shared" si="3"/>
        <v>2.1218947304619911</v>
      </c>
      <c r="J25" s="22">
        <f t="shared" si="3"/>
        <v>1.9159021589491538</v>
      </c>
      <c r="K25" s="22">
        <f t="shared" si="3"/>
        <v>1.8869096967908896</v>
      </c>
      <c r="L25" s="2"/>
      <c r="M25" s="3">
        <v>0.88630431195708625</v>
      </c>
      <c r="N25" s="3">
        <v>0.26947534967090991</v>
      </c>
      <c r="O25" s="53"/>
      <c r="P25" s="52"/>
    </row>
    <row r="26" spans="1:16" x14ac:dyDescent="0.25">
      <c r="A26" s="32" t="s">
        <v>6</v>
      </c>
      <c r="B26" s="32" t="s">
        <v>452</v>
      </c>
      <c r="C26" s="33">
        <v>33.44331741333</v>
      </c>
      <c r="D26" s="2"/>
      <c r="E26" s="1"/>
      <c r="F26" s="25">
        <f t="shared" ref="F26:K26" si="4">POWER(2,-F25)</f>
        <v>1.0585085667279555</v>
      </c>
      <c r="G26" s="25">
        <f t="shared" si="4"/>
        <v>1.062327007281076</v>
      </c>
      <c r="H26" s="25">
        <f t="shared" si="4"/>
        <v>0.88929817325625515</v>
      </c>
      <c r="I26" s="25">
        <f t="shared" si="4"/>
        <v>0.22974498412555289</v>
      </c>
      <c r="J26" s="25">
        <f t="shared" si="4"/>
        <v>0.26500616749404177</v>
      </c>
      <c r="K26" s="25">
        <f t="shared" si="4"/>
        <v>0.27038561470017314</v>
      </c>
      <c r="O26" s="53" t="s">
        <v>463</v>
      </c>
      <c r="P26" s="52"/>
    </row>
    <row r="27" spans="1:16" x14ac:dyDescent="0.25">
      <c r="A27" s="32" t="s">
        <v>6</v>
      </c>
      <c r="B27" s="32" t="s">
        <v>452</v>
      </c>
      <c r="C27" s="33">
        <v>33.716106414794901</v>
      </c>
      <c r="D27" s="2"/>
      <c r="F27" s="22">
        <f>AVERAGE(F26:H26)</f>
        <v>1.0033779157550955</v>
      </c>
      <c r="G27" s="22"/>
      <c r="H27" s="22"/>
      <c r="I27" s="22"/>
      <c r="J27" s="22"/>
      <c r="K27" s="22"/>
      <c r="L27" s="3" t="s">
        <v>474</v>
      </c>
      <c r="M27" s="36">
        <v>1.0000000000000002</v>
      </c>
      <c r="N27" s="36">
        <v>0.25418696661399059</v>
      </c>
      <c r="O27" s="53" t="s">
        <v>464</v>
      </c>
      <c r="P27" s="52">
        <v>-0.58630000000000004</v>
      </c>
    </row>
    <row r="28" spans="1:16" x14ac:dyDescent="0.25">
      <c r="A28" s="32" t="s">
        <v>7</v>
      </c>
      <c r="B28" s="32" t="s">
        <v>452</v>
      </c>
      <c r="C28" s="33">
        <v>34.129100799560497</v>
      </c>
      <c r="D28" s="2"/>
      <c r="F28" s="23">
        <f t="shared" ref="F28:K28" si="5">F26/$F$27</f>
        <v>1.0549450512186838</v>
      </c>
      <c r="G28" s="23">
        <f t="shared" si="5"/>
        <v>1.0587506368242301</v>
      </c>
      <c r="H28" s="23">
        <f t="shared" si="5"/>
        <v>0.88630431195708625</v>
      </c>
      <c r="I28" s="23">
        <f t="shared" si="5"/>
        <v>0.22897153756135594</v>
      </c>
      <c r="J28" s="23">
        <f t="shared" si="5"/>
        <v>0.26411401260970596</v>
      </c>
      <c r="K28" s="23">
        <f t="shared" si="5"/>
        <v>0.26947534967090991</v>
      </c>
      <c r="L28" s="3" t="s">
        <v>475</v>
      </c>
      <c r="M28" s="3">
        <v>4.6424736533959426E-2</v>
      </c>
      <c r="N28" s="3">
        <v>1.0371428493727897E-2</v>
      </c>
      <c r="O28" s="53" t="s">
        <v>465</v>
      </c>
      <c r="P28" s="52">
        <v>0.30059999999999998</v>
      </c>
    </row>
    <row r="29" spans="1:16" x14ac:dyDescent="0.25">
      <c r="A29" s="32" t="s">
        <v>7</v>
      </c>
      <c r="B29" s="32" t="s">
        <v>452</v>
      </c>
      <c r="C29" s="33">
        <v>33.855720520019503</v>
      </c>
      <c r="D29" s="2"/>
      <c r="E29" s="2"/>
      <c r="F29" s="2"/>
      <c r="J29" s="2"/>
      <c r="K29" s="2"/>
      <c r="L29" s="2"/>
      <c r="M29" s="2"/>
      <c r="N29" s="2"/>
      <c r="O29" s="53" t="s">
        <v>426</v>
      </c>
      <c r="P29" s="52" t="s">
        <v>445</v>
      </c>
    </row>
    <row r="30" spans="1:16" x14ac:dyDescent="0.25">
      <c r="A30" s="32" t="s">
        <v>7</v>
      </c>
      <c r="B30" s="32" t="s">
        <v>452</v>
      </c>
      <c r="C30" s="33">
        <v>33.6325073242187</v>
      </c>
      <c r="J30" s="2"/>
      <c r="K30" s="2"/>
      <c r="L30" s="2"/>
      <c r="M30" s="2"/>
      <c r="N30" s="2"/>
      <c r="O30" s="53" t="s">
        <v>466</v>
      </c>
      <c r="P30" s="52" t="s">
        <v>446</v>
      </c>
    </row>
    <row r="31" spans="1:16" x14ac:dyDescent="0.25">
      <c r="A31" s="32" t="s">
        <v>8</v>
      </c>
      <c r="B31" s="32" t="s">
        <v>452</v>
      </c>
      <c r="C31" s="33">
        <v>36.815280914306598</v>
      </c>
      <c r="J31" s="2"/>
      <c r="K31" s="2"/>
      <c r="L31" s="2"/>
      <c r="M31" s="2"/>
      <c r="N31" s="2"/>
      <c r="O31" s="53" t="s">
        <v>449</v>
      </c>
      <c r="P31" s="52">
        <v>3</v>
      </c>
    </row>
    <row r="32" spans="1:16" x14ac:dyDescent="0.25">
      <c r="A32" s="32" t="s">
        <v>8</v>
      </c>
      <c r="B32" s="32" t="s">
        <v>452</v>
      </c>
      <c r="C32" s="33">
        <v>37.692953109741197</v>
      </c>
      <c r="J32" s="2"/>
      <c r="K32" s="2"/>
      <c r="L32" s="2"/>
      <c r="M32" s="2"/>
      <c r="N32" s="2"/>
    </row>
    <row r="33" spans="1:15" x14ac:dyDescent="0.25">
      <c r="A33" s="32" t="s">
        <v>8</v>
      </c>
      <c r="B33" s="32" t="s">
        <v>452</v>
      </c>
      <c r="C33" s="33">
        <v>37.3581895828247</v>
      </c>
      <c r="J33" s="2"/>
      <c r="K33" s="2"/>
      <c r="L33" s="2"/>
      <c r="M33" s="2"/>
      <c r="N33" s="2"/>
    </row>
    <row r="34" spans="1:15" x14ac:dyDescent="0.25">
      <c r="A34" s="32" t="s">
        <v>10</v>
      </c>
      <c r="B34" s="32" t="s">
        <v>452</v>
      </c>
      <c r="C34" s="33">
        <v>37.118776321411097</v>
      </c>
      <c r="G34" s="37" t="s">
        <v>0</v>
      </c>
      <c r="H34" s="37" t="s">
        <v>1</v>
      </c>
      <c r="I34" s="2"/>
      <c r="J34" s="2"/>
      <c r="K34" s="2"/>
      <c r="L34" s="2"/>
      <c r="M34" s="2"/>
      <c r="N34" s="2"/>
    </row>
    <row r="35" spans="1:15" ht="11.4" customHeight="1" x14ac:dyDescent="0.25">
      <c r="A35" s="32" t="s">
        <v>10</v>
      </c>
      <c r="B35" s="32" t="s">
        <v>452</v>
      </c>
      <c r="C35" s="33">
        <v>37.494125366210902</v>
      </c>
      <c r="G35" s="3">
        <v>1.0549450512186838</v>
      </c>
      <c r="H35" s="3">
        <v>0.22897153756135594</v>
      </c>
      <c r="I35" s="2"/>
      <c r="J35" s="2"/>
      <c r="K35" s="2"/>
      <c r="L35" s="2"/>
      <c r="M35" s="2"/>
      <c r="N35" s="2"/>
    </row>
    <row r="36" spans="1:15" x14ac:dyDescent="0.25">
      <c r="A36" s="32" t="s">
        <v>10</v>
      </c>
      <c r="B36" s="32" t="s">
        <v>452</v>
      </c>
      <c r="C36" s="33">
        <v>36.997541427612298</v>
      </c>
      <c r="F36" s="2"/>
      <c r="G36" s="3">
        <v>1.0587506368242301</v>
      </c>
      <c r="H36" s="3">
        <v>0.26411401260970596</v>
      </c>
      <c r="I36" s="2"/>
      <c r="J36" s="2"/>
      <c r="K36" s="2"/>
      <c r="L36" s="2"/>
      <c r="M36" s="2"/>
      <c r="N36" s="2"/>
    </row>
    <row r="37" spans="1:15" x14ac:dyDescent="0.25">
      <c r="A37" s="32" t="s">
        <v>11</v>
      </c>
      <c r="B37" s="32" t="s">
        <v>452</v>
      </c>
      <c r="C37" s="33">
        <v>37.139976501464801</v>
      </c>
      <c r="F37" s="2"/>
      <c r="G37" s="3">
        <v>0.88630431195708625</v>
      </c>
      <c r="H37" s="3">
        <v>0.26947534967090991</v>
      </c>
      <c r="I37" s="2"/>
      <c r="J37" s="2"/>
      <c r="K37" s="2"/>
      <c r="L37" s="2"/>
      <c r="M37" s="2"/>
      <c r="N37" s="2"/>
    </row>
    <row r="38" spans="1:15" ht="14.4" customHeight="1" x14ac:dyDescent="0.25">
      <c r="A38" s="32" t="s">
        <v>11</v>
      </c>
      <c r="B38" s="32" t="s">
        <v>452</v>
      </c>
      <c r="C38" s="33">
        <v>36.962179183959897</v>
      </c>
      <c r="N38" s="2"/>
    </row>
    <row r="39" spans="1:15" x14ac:dyDescent="0.25">
      <c r="A39" s="32" t="s">
        <v>11</v>
      </c>
      <c r="B39" s="32" t="s">
        <v>452</v>
      </c>
      <c r="C39" s="33">
        <v>37.112827301025298</v>
      </c>
      <c r="E39" s="26"/>
      <c r="F39" s="3" t="s">
        <v>17</v>
      </c>
      <c r="G39" s="36">
        <f>AVERAGE(F28:H28)</f>
        <v>1.0000000000000002</v>
      </c>
      <c r="H39" s="36">
        <f>AVERAGE(I28:K28)</f>
        <v>0.25418696661399059</v>
      </c>
      <c r="I39" s="27"/>
      <c r="J39" s="27"/>
      <c r="K39" s="27"/>
      <c r="L39" s="27"/>
      <c r="M39" s="27"/>
      <c r="N39" s="2"/>
    </row>
    <row r="40" spans="1:15" x14ac:dyDescent="0.25">
      <c r="A40" s="32"/>
      <c r="B40" s="32"/>
      <c r="C40" s="33"/>
      <c r="E40" s="28"/>
      <c r="F40" s="3" t="s">
        <v>18</v>
      </c>
      <c r="G40" s="3">
        <f>STDEVP(F28:H28)/SQRT(COUNT(F28:H28))</f>
        <v>4.6424736533959426E-2</v>
      </c>
      <c r="H40" s="3">
        <f>STDEVP(I28:K28)/SQRT(COUNT(I28:K28))</f>
        <v>1.0371428493727897E-2</v>
      </c>
      <c r="I40" s="26"/>
      <c r="J40" s="24"/>
      <c r="K40" s="26"/>
      <c r="L40" s="26"/>
      <c r="M40" s="26"/>
      <c r="N40" s="2"/>
    </row>
    <row r="41" spans="1:15" x14ac:dyDescent="0.25">
      <c r="C41" s="35"/>
      <c r="E41" s="28"/>
      <c r="H41" s="2"/>
      <c r="I41" s="26"/>
      <c r="J41" s="24"/>
      <c r="K41" s="26"/>
      <c r="L41" s="26"/>
      <c r="M41" s="26"/>
      <c r="N41" s="2"/>
    </row>
    <row r="42" spans="1:15" x14ac:dyDescent="0.25">
      <c r="C42" s="35"/>
      <c r="D42" s="26"/>
      <c r="E42" s="28"/>
      <c r="G42" s="2"/>
      <c r="H42" s="2"/>
      <c r="I42" s="26"/>
      <c r="J42" s="24"/>
      <c r="K42" s="26"/>
      <c r="L42" s="26"/>
      <c r="M42" s="26"/>
      <c r="N42" s="2"/>
    </row>
    <row r="43" spans="1:15" x14ac:dyDescent="0.25">
      <c r="C43" s="35"/>
      <c r="D43" s="26"/>
      <c r="E43" s="28"/>
      <c r="I43" s="26"/>
      <c r="J43" s="24"/>
      <c r="K43" s="26"/>
      <c r="L43" s="26"/>
      <c r="M43" s="26"/>
      <c r="N43" s="2"/>
    </row>
    <row r="44" spans="1:15" x14ac:dyDescent="0.25">
      <c r="C44" s="35"/>
      <c r="D44" s="26"/>
      <c r="E44" s="28"/>
      <c r="F44" s="28"/>
      <c r="G44" s="28"/>
      <c r="H44" s="28"/>
      <c r="I44" s="26"/>
      <c r="J44" s="24"/>
      <c r="K44" s="26"/>
      <c r="L44" s="26"/>
      <c r="M44" s="26"/>
      <c r="N44" s="2"/>
      <c r="O44" s="2"/>
    </row>
    <row r="45" spans="1:15" x14ac:dyDescent="0.25">
      <c r="C45" s="35"/>
      <c r="D45" s="7"/>
      <c r="E45" s="30"/>
      <c r="F45" s="30"/>
      <c r="G45" s="30"/>
      <c r="H45" s="30"/>
      <c r="I45" s="7"/>
      <c r="J45" s="12"/>
      <c r="K45" s="7"/>
      <c r="L45" s="7"/>
      <c r="M45" s="7"/>
      <c r="N45" s="2"/>
      <c r="O45" s="2"/>
    </row>
    <row r="46" spans="1:15" x14ac:dyDescent="0.25">
      <c r="C46" s="35"/>
      <c r="N46" s="2"/>
      <c r="O46" s="2"/>
    </row>
    <row r="47" spans="1:15" x14ac:dyDescent="0.25">
      <c r="C47" s="3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C48" s="35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3:15" x14ac:dyDescent="0.25">
      <c r="C49" s="35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3:15" x14ac:dyDescent="0.25">
      <c r="C50" s="3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3:15" x14ac:dyDescent="0.25">
      <c r="C51" s="3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3:15" x14ac:dyDescent="0.25">
      <c r="C52" s="35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3:15" x14ac:dyDescent="0.25">
      <c r="C53" s="35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3:15" x14ac:dyDescent="0.25">
      <c r="C54" s="35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3:15" x14ac:dyDescent="0.25">
      <c r="C55" s="3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3:15" x14ac:dyDescent="0.25">
      <c r="C56" s="35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3:15" x14ac:dyDescent="0.25">
      <c r="C57" s="3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3:15" x14ac:dyDescent="0.25">
      <c r="C58" s="3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3:15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3:15" x14ac:dyDescent="0.25"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3:15" x14ac:dyDescent="0.25"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3:15" x14ac:dyDescent="0.25"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3:15" x14ac:dyDescent="0.25"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3:15" x14ac:dyDescent="0.25"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4:15" x14ac:dyDescent="0.25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4:15" x14ac:dyDescent="0.25"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</sheetData>
  <mergeCells count="1">
    <mergeCell ref="F16:K16"/>
  </mergeCells>
  <phoneticPr fontId="1" type="noConversion"/>
  <pageMargins left="0.75" right="0.75" top="1" bottom="1" header="0.5" footer="0.5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F325-FA09-4F1E-88FB-31F232A3031E}">
  <dimension ref="B1:AG221"/>
  <sheetViews>
    <sheetView topLeftCell="V106" zoomScale="85" zoomScaleNormal="85" workbookViewId="0">
      <selection activeCell="W72" sqref="W72"/>
    </sheetView>
  </sheetViews>
  <sheetFormatPr defaultRowHeight="13.8" x14ac:dyDescent="0.25"/>
  <cols>
    <col min="1" max="1" width="8.88671875" style="63"/>
    <col min="2" max="2" width="11.77734375" style="70" customWidth="1"/>
    <col min="3" max="3" width="8.88671875" style="70"/>
    <col min="4" max="4" width="8.88671875" style="121"/>
    <col min="5" max="5" width="8.88671875" style="68"/>
    <col min="6" max="6" width="8.88671875" style="63"/>
    <col min="7" max="7" width="8.88671875" style="122"/>
    <col min="8" max="19" width="14.77734375" style="123" customWidth="1"/>
    <col min="20" max="20" width="14.33203125" style="79" customWidth="1"/>
    <col min="21" max="33" width="11.77734375" style="63" customWidth="1"/>
    <col min="34" max="16384" width="8.88671875" style="63"/>
  </cols>
  <sheetData>
    <row r="1" spans="2:33" ht="15.6" x14ac:dyDescent="0.3">
      <c r="B1" s="78" t="s">
        <v>865</v>
      </c>
    </row>
    <row r="2" spans="2:33" ht="15.6" x14ac:dyDescent="0.3">
      <c r="B2" s="78" t="s">
        <v>596</v>
      </c>
    </row>
    <row r="4" spans="2:33" ht="13.2" x14ac:dyDescent="0.25">
      <c r="G4" s="124"/>
      <c r="H4" s="165"/>
      <c r="I4" s="165"/>
      <c r="J4" s="165"/>
      <c r="K4" s="165"/>
      <c r="L4" s="165"/>
      <c r="M4" s="165"/>
      <c r="N4" s="166"/>
      <c r="O4" s="166"/>
      <c r="P4" s="166"/>
      <c r="Q4" s="166"/>
      <c r="R4" s="166"/>
      <c r="S4" s="166"/>
    </row>
    <row r="5" spans="2:33" ht="29.4" thickBot="1" x14ac:dyDescent="0.3">
      <c r="D5" s="121" t="s">
        <v>597</v>
      </c>
      <c r="G5" s="125" t="s">
        <v>599</v>
      </c>
      <c r="H5" s="126" t="s">
        <v>850</v>
      </c>
      <c r="I5" s="126" t="s">
        <v>851</v>
      </c>
      <c r="J5" s="126" t="s">
        <v>852</v>
      </c>
      <c r="K5" s="126" t="s">
        <v>853</v>
      </c>
      <c r="L5" s="126" t="s">
        <v>854</v>
      </c>
      <c r="M5" s="126" t="s">
        <v>855</v>
      </c>
      <c r="N5" s="126" t="s">
        <v>856</v>
      </c>
      <c r="O5" s="126" t="s">
        <v>857</v>
      </c>
      <c r="P5" s="126" t="s">
        <v>858</v>
      </c>
      <c r="Q5" s="126" t="s">
        <v>859</v>
      </c>
      <c r="R5" s="126" t="s">
        <v>860</v>
      </c>
      <c r="S5" s="126" t="s">
        <v>861</v>
      </c>
    </row>
    <row r="6" spans="2:33" x14ac:dyDescent="0.25">
      <c r="B6" s="70" t="s">
        <v>491</v>
      </c>
      <c r="C6" s="70" t="s">
        <v>598</v>
      </c>
      <c r="D6" s="127">
        <v>29.267278671264648</v>
      </c>
      <c r="G6" s="84" t="s">
        <v>14</v>
      </c>
      <c r="H6" s="128">
        <v>29.697425842285156</v>
      </c>
      <c r="I6" s="128">
        <v>29.479452133178711</v>
      </c>
      <c r="J6" s="128">
        <v>29.677949905395501</v>
      </c>
      <c r="K6" s="128">
        <v>27.586297988891602</v>
      </c>
      <c r="L6" s="128">
        <v>27.567159652709961</v>
      </c>
      <c r="M6" s="128">
        <v>27.438388824462891</v>
      </c>
      <c r="N6" s="128">
        <v>27.002519607543945</v>
      </c>
      <c r="O6" s="128">
        <v>27.391960144042969</v>
      </c>
      <c r="P6" s="128">
        <v>27.457330703735352</v>
      </c>
      <c r="Q6" s="128">
        <v>26.893756866455078</v>
      </c>
      <c r="R6" s="128">
        <v>26.947505950927734</v>
      </c>
      <c r="S6" s="128">
        <v>26.983371734619141</v>
      </c>
    </row>
    <row r="7" spans="2:33" ht="29.4" thickBot="1" x14ac:dyDescent="0.3">
      <c r="B7" s="70" t="s">
        <v>491</v>
      </c>
      <c r="C7" s="70" t="s">
        <v>598</v>
      </c>
      <c r="D7" s="127">
        <v>29.241835777927001</v>
      </c>
      <c r="G7" s="84"/>
      <c r="H7" s="128">
        <v>29.706145035125001</v>
      </c>
      <c r="I7" s="128">
        <v>29.426174354149001</v>
      </c>
      <c r="J7" s="128">
        <v>29.722303305191001</v>
      </c>
      <c r="K7" s="73">
        <v>27.577669158991</v>
      </c>
      <c r="L7" s="73">
        <v>27.516163917374001</v>
      </c>
      <c r="M7" s="73">
        <v>27.466033779339</v>
      </c>
      <c r="N7" s="73">
        <v>27.115346777595999</v>
      </c>
      <c r="O7" s="73">
        <v>27.404171549408002</v>
      </c>
      <c r="P7" s="73">
        <v>27.466485725262</v>
      </c>
      <c r="Q7" s="73">
        <v>26.947978351785</v>
      </c>
      <c r="R7" s="73">
        <v>26.962412311297999</v>
      </c>
      <c r="S7" s="73">
        <v>26.968585724013</v>
      </c>
      <c r="X7" s="126" t="s">
        <v>850</v>
      </c>
      <c r="Y7" s="126" t="s">
        <v>853</v>
      </c>
      <c r="Z7" s="126" t="s">
        <v>856</v>
      </c>
      <c r="AA7" s="126" t="s">
        <v>859</v>
      </c>
    </row>
    <row r="8" spans="2:33" ht="14.4" thickBot="1" x14ac:dyDescent="0.3">
      <c r="B8" s="70" t="s">
        <v>491</v>
      </c>
      <c r="C8" s="70" t="s">
        <v>598</v>
      </c>
      <c r="D8" s="127">
        <v>29.296776390773999</v>
      </c>
      <c r="G8" s="86"/>
      <c r="H8" s="128">
        <v>29.790388587037999</v>
      </c>
      <c r="I8" s="128">
        <v>29.419410802912999</v>
      </c>
      <c r="J8" s="128">
        <v>29.652626636703999</v>
      </c>
      <c r="K8" s="73">
        <v>27.557444281361001</v>
      </c>
      <c r="L8" s="73">
        <v>27.542930259733001</v>
      </c>
      <c r="M8" s="73">
        <v>27.475979603104001</v>
      </c>
      <c r="N8" s="73">
        <v>27.018332161069001</v>
      </c>
      <c r="O8" s="73">
        <v>27.387059543658001</v>
      </c>
      <c r="P8" s="73">
        <v>27.462447394282002</v>
      </c>
      <c r="Q8" s="73">
        <v>26.955747225256999</v>
      </c>
      <c r="R8" s="73">
        <v>26.939852909711998</v>
      </c>
      <c r="S8" s="73">
        <v>26.91667539002</v>
      </c>
    </row>
    <row r="9" spans="2:33" ht="29.4" thickBot="1" x14ac:dyDescent="0.3">
      <c r="B9" s="70" t="s">
        <v>352</v>
      </c>
      <c r="C9" s="70" t="s">
        <v>598</v>
      </c>
      <c r="D9" s="127">
        <v>29.10099983215332</v>
      </c>
      <c r="G9" s="84" t="s">
        <v>598</v>
      </c>
      <c r="H9" s="129">
        <v>29.267278671264648</v>
      </c>
      <c r="I9" s="129">
        <v>29.10099983215332</v>
      </c>
      <c r="J9" s="129">
        <v>29.648197174072266</v>
      </c>
      <c r="K9" s="129">
        <v>27.964862823486328</v>
      </c>
      <c r="L9" s="129">
        <v>27.803823471069336</v>
      </c>
      <c r="M9" s="129">
        <v>27.925167083740234</v>
      </c>
      <c r="N9" s="129">
        <v>27.657812118530273</v>
      </c>
      <c r="O9" s="129">
        <v>27.870077133178711</v>
      </c>
      <c r="P9" s="129">
        <v>27.886674880981445</v>
      </c>
      <c r="Q9" s="129">
        <v>27.709012985229492</v>
      </c>
      <c r="R9" s="129">
        <v>27.642845153808594</v>
      </c>
      <c r="S9" s="129">
        <v>28.002164840698242</v>
      </c>
      <c r="U9" s="70"/>
      <c r="V9" s="126" t="s">
        <v>850</v>
      </c>
      <c r="W9" s="126" t="s">
        <v>851</v>
      </c>
      <c r="X9" s="126" t="s">
        <v>852</v>
      </c>
      <c r="Y9" s="126" t="s">
        <v>853</v>
      </c>
      <c r="Z9" s="126" t="s">
        <v>854</v>
      </c>
      <c r="AA9" s="126" t="s">
        <v>855</v>
      </c>
      <c r="AB9" s="126" t="s">
        <v>856</v>
      </c>
      <c r="AC9" s="126" t="s">
        <v>857</v>
      </c>
      <c r="AD9" s="126" t="s">
        <v>858</v>
      </c>
      <c r="AE9" s="126" t="s">
        <v>983</v>
      </c>
      <c r="AF9" s="126" t="s">
        <v>984</v>
      </c>
      <c r="AG9" s="126" t="s">
        <v>985</v>
      </c>
    </row>
    <row r="10" spans="2:33" x14ac:dyDescent="0.25">
      <c r="B10" s="70" t="s">
        <v>352</v>
      </c>
      <c r="C10" s="70" t="s">
        <v>598</v>
      </c>
      <c r="D10" s="127">
        <v>29.278850958410001</v>
      </c>
      <c r="G10" s="124"/>
      <c r="H10" s="128">
        <v>29.241835777927001</v>
      </c>
      <c r="I10" s="128">
        <v>29.278850958410001</v>
      </c>
      <c r="J10" s="128">
        <v>29.129556312436002</v>
      </c>
      <c r="K10" s="73">
        <v>27.804273352936001</v>
      </c>
      <c r="L10" s="73">
        <v>27.949284565256999</v>
      </c>
      <c r="M10" s="73">
        <v>27.909836645319</v>
      </c>
      <c r="N10" s="73">
        <v>27.782610047687001</v>
      </c>
      <c r="O10" s="73">
        <v>27.646985086381999</v>
      </c>
      <c r="P10" s="73">
        <v>27.621461628424001</v>
      </c>
      <c r="Q10" s="73">
        <v>27.714935237077</v>
      </c>
      <c r="R10" s="73">
        <v>27.627694887404001</v>
      </c>
      <c r="S10" s="73">
        <v>28.141232121973999</v>
      </c>
      <c r="U10" s="70" t="s">
        <v>598</v>
      </c>
      <c r="V10" s="70">
        <v>1.1797599907833418</v>
      </c>
      <c r="W10" s="70">
        <v>0.89835285047321611</v>
      </c>
      <c r="X10" s="70">
        <v>0.92188715874344218</v>
      </c>
      <c r="Y10" s="70">
        <v>0.69716534473397085</v>
      </c>
      <c r="Z10" s="70">
        <v>0.6655332586024858</v>
      </c>
      <c r="AA10" s="70">
        <v>0.61601192093836277</v>
      </c>
      <c r="AB10" s="70">
        <v>0.52594438537050214</v>
      </c>
      <c r="AC10" s="70">
        <v>0.6453141026549023</v>
      </c>
      <c r="AD10" s="70">
        <v>0.68735834580057709</v>
      </c>
      <c r="AE10" s="70">
        <v>0.49749190426687329</v>
      </c>
      <c r="AF10" s="70">
        <v>0.52933823363805788</v>
      </c>
      <c r="AG10" s="70">
        <v>0.38727443936844369</v>
      </c>
    </row>
    <row r="11" spans="2:33" ht="14.4" thickBot="1" x14ac:dyDescent="0.3">
      <c r="B11" s="70" t="s">
        <v>352</v>
      </c>
      <c r="C11" s="70" t="s">
        <v>598</v>
      </c>
      <c r="D11" s="127">
        <v>29.736535694627001</v>
      </c>
      <c r="G11" s="130"/>
      <c r="H11" s="128">
        <v>29.296776390773999</v>
      </c>
      <c r="I11" s="128">
        <v>29.736535694627001</v>
      </c>
      <c r="J11" s="128">
        <v>29.954551671762999</v>
      </c>
      <c r="K11" s="73">
        <v>27.840968510180002</v>
      </c>
      <c r="L11" s="73">
        <v>27.962809329965001</v>
      </c>
      <c r="M11" s="73">
        <v>27.969719495142002</v>
      </c>
      <c r="N11" s="73">
        <v>27.804241446513</v>
      </c>
      <c r="O11" s="73">
        <v>27.889320181456998</v>
      </c>
      <c r="P11" s="73">
        <v>27.828135861637001</v>
      </c>
      <c r="Q11" s="73">
        <v>27.722710902086</v>
      </c>
      <c r="R11" s="73">
        <v>27.659857370806002</v>
      </c>
      <c r="S11" s="73">
        <v>28.158362858964001</v>
      </c>
      <c r="U11" s="70" t="s">
        <v>605</v>
      </c>
      <c r="V11" s="87" t="s">
        <v>606</v>
      </c>
      <c r="W11" s="70"/>
      <c r="X11" s="87" t="s">
        <v>704</v>
      </c>
      <c r="Y11" s="70"/>
      <c r="Z11" s="87" t="s">
        <v>866</v>
      </c>
      <c r="AA11" s="70"/>
      <c r="AB11" s="87" t="s">
        <v>705</v>
      </c>
      <c r="AC11" s="70"/>
      <c r="AD11" s="87" t="s">
        <v>706</v>
      </c>
      <c r="AE11" s="70"/>
      <c r="AF11" s="70"/>
      <c r="AG11" s="70"/>
    </row>
    <row r="12" spans="2:33" ht="15.6" x14ac:dyDescent="0.25">
      <c r="B12" s="70" t="s">
        <v>347</v>
      </c>
      <c r="C12" s="70" t="s">
        <v>598</v>
      </c>
      <c r="D12" s="127">
        <v>29.648197174072266</v>
      </c>
      <c r="G12" s="84" t="s">
        <v>607</v>
      </c>
      <c r="H12" s="131">
        <v>24.003101348876953</v>
      </c>
      <c r="I12" s="131">
        <v>23.96452522277832</v>
      </c>
      <c r="J12" s="131">
        <v>24.280733108520508</v>
      </c>
      <c r="K12" s="131">
        <v>23.960826873779297</v>
      </c>
      <c r="L12" s="131">
        <v>23.940546035766602</v>
      </c>
      <c r="M12" s="131">
        <v>23.885656356811523</v>
      </c>
      <c r="N12" s="131">
        <v>23.974136352539063</v>
      </c>
      <c r="O12" s="131">
        <v>23.963901519775391</v>
      </c>
      <c r="P12" s="131">
        <v>23.97465705871582</v>
      </c>
      <c r="Q12" s="131">
        <v>23.852802276611328</v>
      </c>
      <c r="R12" s="131">
        <v>23.86054801940918</v>
      </c>
      <c r="S12" s="131">
        <v>23.944402694702148</v>
      </c>
      <c r="U12" s="70"/>
      <c r="V12" s="53" t="s">
        <v>419</v>
      </c>
      <c r="W12" s="52" t="s">
        <v>971</v>
      </c>
      <c r="X12" s="53" t="s">
        <v>684</v>
      </c>
      <c r="Y12" s="52" t="s">
        <v>977</v>
      </c>
      <c r="Z12" s="53" t="s">
        <v>710</v>
      </c>
      <c r="AA12" s="52" t="s">
        <v>986</v>
      </c>
      <c r="AB12" s="53" t="s">
        <v>710</v>
      </c>
      <c r="AC12" s="52" t="s">
        <v>986</v>
      </c>
      <c r="AD12" s="53" t="s">
        <v>710</v>
      </c>
      <c r="AE12" s="52" t="s">
        <v>986</v>
      </c>
      <c r="AF12" s="70"/>
      <c r="AG12" s="70"/>
    </row>
    <row r="13" spans="2:33" x14ac:dyDescent="0.25">
      <c r="B13" s="70" t="s">
        <v>347</v>
      </c>
      <c r="C13" s="70" t="s">
        <v>598</v>
      </c>
      <c r="D13" s="127">
        <v>29.129556312436002</v>
      </c>
      <c r="G13" s="124"/>
      <c r="H13" s="128">
        <v>23.966353229401001</v>
      </c>
      <c r="I13" s="128">
        <v>23.909579765621</v>
      </c>
      <c r="J13" s="73">
        <v>24.232998896600002</v>
      </c>
      <c r="K13" s="73">
        <v>24.159708648845999</v>
      </c>
      <c r="L13" s="73">
        <v>23.952785524445002</v>
      </c>
      <c r="M13" s="73">
        <v>23.896537791364</v>
      </c>
      <c r="N13" s="73">
        <v>23.987984131912</v>
      </c>
      <c r="O13" s="73">
        <v>23.864484006396999</v>
      </c>
      <c r="P13" s="73">
        <v>23.985275424421999</v>
      </c>
      <c r="Q13" s="73">
        <v>23.929939243147</v>
      </c>
      <c r="R13" s="73">
        <v>23.888073488151999</v>
      </c>
      <c r="S13" s="73">
        <v>23.966258753155</v>
      </c>
      <c r="U13" s="70"/>
      <c r="V13" s="53" t="s">
        <v>421</v>
      </c>
      <c r="W13" s="52" t="s">
        <v>421</v>
      </c>
      <c r="X13" s="53" t="s">
        <v>421</v>
      </c>
      <c r="Y13" s="52" t="s">
        <v>421</v>
      </c>
      <c r="Z13" s="53" t="s">
        <v>421</v>
      </c>
      <c r="AA13" s="52" t="s">
        <v>421</v>
      </c>
      <c r="AB13" s="53" t="s">
        <v>421</v>
      </c>
      <c r="AC13" s="52" t="s">
        <v>421</v>
      </c>
      <c r="AD13" s="53" t="s">
        <v>421</v>
      </c>
      <c r="AE13" s="52" t="s">
        <v>421</v>
      </c>
      <c r="AF13" s="70"/>
      <c r="AG13" s="70"/>
    </row>
    <row r="14" spans="2:33" ht="16.2" thickBot="1" x14ac:dyDescent="0.3">
      <c r="B14" s="70" t="s">
        <v>347</v>
      </c>
      <c r="C14" s="70" t="s">
        <v>598</v>
      </c>
      <c r="D14" s="127">
        <v>29.954551671762999</v>
      </c>
      <c r="G14" s="130"/>
      <c r="H14" s="132">
        <v>23.978230697937001</v>
      </c>
      <c r="I14" s="132">
        <v>23.932296077042999</v>
      </c>
      <c r="J14" s="132">
        <v>24.233053183123999</v>
      </c>
      <c r="K14" s="132">
        <v>24.171667170888998</v>
      </c>
      <c r="L14" s="132">
        <v>23.950175467209998</v>
      </c>
      <c r="M14" s="132">
        <v>23.888726720451</v>
      </c>
      <c r="N14" s="132">
        <v>23.973150751430001</v>
      </c>
      <c r="O14" s="132">
        <v>23.853852455247001</v>
      </c>
      <c r="P14" s="132">
        <v>23.975570449096001</v>
      </c>
      <c r="Q14" s="132">
        <v>23.925652713390999</v>
      </c>
      <c r="R14" s="132">
        <v>23.913220937247001</v>
      </c>
      <c r="S14" s="132">
        <v>23.849152453226001</v>
      </c>
      <c r="U14" s="70"/>
      <c r="V14" s="53" t="s">
        <v>422</v>
      </c>
      <c r="W14" s="52" t="s">
        <v>972</v>
      </c>
      <c r="X14" s="53" t="s">
        <v>422</v>
      </c>
      <c r="Y14" s="52" t="s">
        <v>972</v>
      </c>
      <c r="Z14" s="53" t="s">
        <v>422</v>
      </c>
      <c r="AA14" s="52" t="s">
        <v>892</v>
      </c>
      <c r="AB14" s="53" t="s">
        <v>419</v>
      </c>
      <c r="AC14" s="52" t="s">
        <v>991</v>
      </c>
      <c r="AD14" s="53" t="s">
        <v>684</v>
      </c>
      <c r="AE14" s="52" t="s">
        <v>843</v>
      </c>
      <c r="AF14" s="70"/>
      <c r="AG14" s="70"/>
    </row>
    <row r="15" spans="2:33" x14ac:dyDescent="0.25">
      <c r="B15" s="70" t="s">
        <v>608</v>
      </c>
      <c r="C15" s="70" t="s">
        <v>598</v>
      </c>
      <c r="D15" s="127">
        <v>27.964862823486328</v>
      </c>
      <c r="G15" s="84" t="s">
        <v>609</v>
      </c>
      <c r="H15" s="128">
        <v>29.739429473876953</v>
      </c>
      <c r="I15" s="128">
        <v>29.739429473876953</v>
      </c>
      <c r="J15" s="128">
        <v>29.282623291015625</v>
      </c>
      <c r="K15" s="128">
        <v>26.794889450073242</v>
      </c>
      <c r="L15" s="128">
        <v>27.070606231689453</v>
      </c>
      <c r="M15" s="128">
        <v>26.777309417724609</v>
      </c>
      <c r="N15" s="128">
        <v>26.688920974731445</v>
      </c>
      <c r="O15" s="128">
        <v>26.907951354980401</v>
      </c>
      <c r="P15" s="128">
        <v>26.922515869140625</v>
      </c>
      <c r="Q15" s="128">
        <v>26.284694671630859</v>
      </c>
      <c r="R15" s="128">
        <v>26.348628997802734</v>
      </c>
      <c r="S15" s="128">
        <v>26.392877578735352</v>
      </c>
      <c r="U15" s="70"/>
      <c r="V15" s="53"/>
      <c r="W15" s="52"/>
      <c r="X15" s="53"/>
      <c r="Y15" s="52"/>
      <c r="Z15" s="53"/>
      <c r="AA15" s="52"/>
      <c r="AB15" s="53"/>
      <c r="AC15" s="52"/>
      <c r="AD15" s="53"/>
      <c r="AE15" s="52"/>
      <c r="AF15" s="70"/>
      <c r="AG15" s="70"/>
    </row>
    <row r="16" spans="2:33" x14ac:dyDescent="0.25">
      <c r="B16" s="70" t="s">
        <v>608</v>
      </c>
      <c r="C16" s="70" t="s">
        <v>598</v>
      </c>
      <c r="D16" s="127">
        <v>27.804273352936001</v>
      </c>
      <c r="G16" s="124"/>
      <c r="H16" s="128">
        <v>29.202121903476002</v>
      </c>
      <c r="I16" s="128">
        <v>29.441527413578001</v>
      </c>
      <c r="J16" s="128">
        <v>29.152742537559</v>
      </c>
      <c r="K16" s="73">
        <v>26.760467599731999</v>
      </c>
      <c r="L16" s="73">
        <v>27.128685045838999</v>
      </c>
      <c r="M16" s="73">
        <v>26.775748249389</v>
      </c>
      <c r="N16" s="73">
        <v>26.692494760153</v>
      </c>
      <c r="O16" s="73">
        <v>26.964256241584</v>
      </c>
      <c r="P16" s="73">
        <v>26.91147980189</v>
      </c>
      <c r="Q16" s="73">
        <v>26.306033608941998</v>
      </c>
      <c r="R16" s="73">
        <v>26.357303962313999</v>
      </c>
      <c r="S16" s="73">
        <v>26.360502666896998</v>
      </c>
      <c r="U16" s="70"/>
      <c r="V16" s="53" t="s">
        <v>424</v>
      </c>
      <c r="W16" s="52"/>
      <c r="X16" s="53" t="s">
        <v>424</v>
      </c>
      <c r="Y16" s="52"/>
      <c r="Z16" s="53" t="s">
        <v>424</v>
      </c>
      <c r="AA16" s="52"/>
      <c r="AB16" s="53" t="s">
        <v>424</v>
      </c>
      <c r="AC16" s="52"/>
      <c r="AD16" s="53" t="s">
        <v>424</v>
      </c>
      <c r="AE16" s="52"/>
      <c r="AF16" s="70"/>
      <c r="AG16" s="70"/>
    </row>
    <row r="17" spans="2:33" ht="14.4" thickBot="1" x14ac:dyDescent="0.3">
      <c r="B17" s="70" t="s">
        <v>608</v>
      </c>
      <c r="C17" s="70" t="s">
        <v>598</v>
      </c>
      <c r="D17" s="127">
        <v>27.840968510180002</v>
      </c>
      <c r="G17" s="130"/>
      <c r="H17" s="128">
        <v>29.871245301542999</v>
      </c>
      <c r="I17" s="128">
        <v>29.653966765614999</v>
      </c>
      <c r="J17" s="128">
        <v>29.923871173388999</v>
      </c>
      <c r="K17" s="73">
        <v>26.751479312983999</v>
      </c>
      <c r="L17" s="73">
        <v>27.105240215978998</v>
      </c>
      <c r="M17" s="73">
        <v>26.734512263298999</v>
      </c>
      <c r="N17" s="73">
        <v>26.664679370891999</v>
      </c>
      <c r="O17" s="73">
        <v>26.937866384589</v>
      </c>
      <c r="P17" s="73">
        <v>26.900029428220002</v>
      </c>
      <c r="Q17" s="73">
        <v>26.281001796790001</v>
      </c>
      <c r="R17" s="73">
        <v>26.313876200978999</v>
      </c>
      <c r="S17" s="73">
        <v>26.310231126323998</v>
      </c>
      <c r="U17" s="70"/>
      <c r="V17" s="53" t="s">
        <v>425</v>
      </c>
      <c r="W17" s="52">
        <v>1.09E-2</v>
      </c>
      <c r="X17" s="53" t="s">
        <v>425</v>
      </c>
      <c r="Y17" s="52">
        <v>2.0500000000000001E-2</v>
      </c>
      <c r="Z17" s="53" t="s">
        <v>425</v>
      </c>
      <c r="AA17" s="52">
        <v>6.1000000000000004E-3</v>
      </c>
      <c r="AB17" s="53" t="s">
        <v>425</v>
      </c>
      <c r="AC17" s="52">
        <v>1.8599999999999998E-2</v>
      </c>
      <c r="AD17" s="53" t="s">
        <v>425</v>
      </c>
      <c r="AE17" s="52">
        <v>4.2000000000000003E-2</v>
      </c>
      <c r="AF17" s="70"/>
      <c r="AG17" s="70"/>
    </row>
    <row r="18" spans="2:33" x14ac:dyDescent="0.25">
      <c r="B18" s="70" t="s">
        <v>602</v>
      </c>
      <c r="C18" s="70" t="s">
        <v>598</v>
      </c>
      <c r="D18" s="127">
        <v>27.803823471069336</v>
      </c>
      <c r="G18" s="84" t="s">
        <v>610</v>
      </c>
      <c r="H18" s="133">
        <v>34.592525482177734</v>
      </c>
      <c r="I18" s="129">
        <v>34.446079254150391</v>
      </c>
      <c r="J18" s="129">
        <v>34.272209167480469</v>
      </c>
      <c r="K18" s="129">
        <v>32.16412353515625</v>
      </c>
      <c r="L18" s="129">
        <v>32.278545379638672</v>
      </c>
      <c r="M18" s="129">
        <v>32.058467864990234</v>
      </c>
      <c r="N18" s="129">
        <v>31.832269668579102</v>
      </c>
      <c r="O18" s="129">
        <v>32.221828460693359</v>
      </c>
      <c r="P18" s="129">
        <v>32.143947601318359</v>
      </c>
      <c r="Q18" s="129">
        <v>31.677999496459961</v>
      </c>
      <c r="R18" s="129">
        <v>31.740274429321289</v>
      </c>
      <c r="S18" s="129">
        <v>32.007167816162109</v>
      </c>
      <c r="U18" s="70"/>
      <c r="V18" s="53" t="s">
        <v>426</v>
      </c>
      <c r="W18" s="52" t="s">
        <v>508</v>
      </c>
      <c r="X18" s="53" t="s">
        <v>426</v>
      </c>
      <c r="Y18" s="52" t="s">
        <v>508</v>
      </c>
      <c r="Z18" s="53" t="s">
        <v>426</v>
      </c>
      <c r="AA18" s="52" t="s">
        <v>427</v>
      </c>
      <c r="AB18" s="53" t="s">
        <v>426</v>
      </c>
      <c r="AC18" s="52" t="s">
        <v>508</v>
      </c>
      <c r="AD18" s="53" t="s">
        <v>426</v>
      </c>
      <c r="AE18" s="52" t="s">
        <v>508</v>
      </c>
      <c r="AF18" s="70"/>
      <c r="AG18" s="70"/>
    </row>
    <row r="19" spans="2:33" x14ac:dyDescent="0.25">
      <c r="B19" s="70" t="s">
        <v>602</v>
      </c>
      <c r="C19" s="70" t="s">
        <v>598</v>
      </c>
      <c r="D19" s="127">
        <v>27.949284565256999</v>
      </c>
      <c r="G19" s="134"/>
      <c r="H19" s="73">
        <v>34.587682945619001</v>
      </c>
      <c r="I19" s="73">
        <v>34.542362678533998</v>
      </c>
      <c r="J19" s="73">
        <v>34.279315409383003</v>
      </c>
      <c r="K19" s="73">
        <v>32.115105593860001</v>
      </c>
      <c r="L19" s="73">
        <v>32.280998283445001</v>
      </c>
      <c r="M19" s="73">
        <v>32.131499134001999</v>
      </c>
      <c r="N19" s="73">
        <v>31.879150625641</v>
      </c>
      <c r="O19" s="73">
        <v>32.236026962380002</v>
      </c>
      <c r="P19" s="73">
        <v>32.156418618383</v>
      </c>
      <c r="Q19" s="73">
        <v>31.676976643917001</v>
      </c>
      <c r="R19" s="73">
        <v>31.772411595689</v>
      </c>
      <c r="S19" s="73">
        <v>32.023455706573998</v>
      </c>
      <c r="U19" s="70"/>
      <c r="V19" s="53" t="s">
        <v>428</v>
      </c>
      <c r="W19" s="52" t="s">
        <v>429</v>
      </c>
      <c r="X19" s="53" t="s">
        <v>428</v>
      </c>
      <c r="Y19" s="52" t="s">
        <v>429</v>
      </c>
      <c r="Z19" s="53" t="s">
        <v>428</v>
      </c>
      <c r="AA19" s="52" t="s">
        <v>429</v>
      </c>
      <c r="AB19" s="53" t="s">
        <v>428</v>
      </c>
      <c r="AC19" s="52" t="s">
        <v>429</v>
      </c>
      <c r="AD19" s="53" t="s">
        <v>428</v>
      </c>
      <c r="AE19" s="52" t="s">
        <v>429</v>
      </c>
      <c r="AF19" s="70"/>
      <c r="AG19" s="70"/>
    </row>
    <row r="20" spans="2:33" ht="14.4" thickBot="1" x14ac:dyDescent="0.3">
      <c r="B20" s="70" t="s">
        <v>602</v>
      </c>
      <c r="C20" s="70" t="s">
        <v>598</v>
      </c>
      <c r="D20" s="127">
        <v>27.962809329965001</v>
      </c>
      <c r="G20" s="135"/>
      <c r="H20" s="73">
        <v>34.582496552713998</v>
      </c>
      <c r="I20" s="73">
        <v>34.532970114161003</v>
      </c>
      <c r="J20" s="73">
        <v>34.272825686182003</v>
      </c>
      <c r="K20" s="73">
        <v>32.192074724659001</v>
      </c>
      <c r="L20" s="73">
        <v>32.262279105963998</v>
      </c>
      <c r="M20" s="73">
        <v>32.168535976942003</v>
      </c>
      <c r="N20" s="73">
        <v>31.896283485691999</v>
      </c>
      <c r="O20" s="73">
        <v>32.179225048040003</v>
      </c>
      <c r="P20" s="73">
        <v>32.135139355908002</v>
      </c>
      <c r="Q20" s="73">
        <v>31.673815432893001</v>
      </c>
      <c r="R20" s="73">
        <v>31.765080682280999</v>
      </c>
      <c r="S20" s="73">
        <v>32.075281105281</v>
      </c>
      <c r="U20" s="70"/>
      <c r="V20" s="53" t="s">
        <v>430</v>
      </c>
      <c r="W20" s="52" t="s">
        <v>572</v>
      </c>
      <c r="X20" s="53" t="s">
        <v>430</v>
      </c>
      <c r="Y20" s="52" t="s">
        <v>431</v>
      </c>
      <c r="Z20" s="53" t="s">
        <v>430</v>
      </c>
      <c r="AA20" s="52" t="s">
        <v>431</v>
      </c>
      <c r="AB20" s="53" t="s">
        <v>430</v>
      </c>
      <c r="AC20" s="52" t="s">
        <v>431</v>
      </c>
      <c r="AD20" s="53" t="s">
        <v>430</v>
      </c>
      <c r="AE20" s="52" t="s">
        <v>572</v>
      </c>
      <c r="AF20" s="70"/>
      <c r="AG20" s="70"/>
    </row>
    <row r="21" spans="2:33" x14ac:dyDescent="0.25">
      <c r="B21" s="70" t="s">
        <v>603</v>
      </c>
      <c r="C21" s="70" t="s">
        <v>598</v>
      </c>
      <c r="D21" s="127">
        <v>27.925167083740234</v>
      </c>
      <c r="G21" s="84" t="s">
        <v>611</v>
      </c>
      <c r="H21" s="133">
        <v>27.201522827148438</v>
      </c>
      <c r="I21" s="129">
        <v>27.000894546508789</v>
      </c>
      <c r="J21" s="129">
        <v>27.703317642211914</v>
      </c>
      <c r="K21" s="129">
        <v>25.854284286499023</v>
      </c>
      <c r="L21" s="129">
        <v>26.052467346191406</v>
      </c>
      <c r="M21" s="129">
        <v>25.776891708374023</v>
      </c>
      <c r="N21" s="129">
        <v>25.701469421386719</v>
      </c>
      <c r="O21" s="129">
        <v>25.960302352905273</v>
      </c>
      <c r="P21" s="129">
        <v>25.708030700683594</v>
      </c>
      <c r="Q21" s="129">
        <v>24.57110595703125</v>
      </c>
      <c r="R21" s="129">
        <v>25.19401741027832</v>
      </c>
      <c r="S21" s="129">
        <v>24.979085922241211</v>
      </c>
      <c r="U21" s="70"/>
      <c r="V21" s="53" t="s">
        <v>432</v>
      </c>
      <c r="W21" s="52" t="s">
        <v>973</v>
      </c>
      <c r="X21" s="53" t="s">
        <v>432</v>
      </c>
      <c r="Y21" s="52" t="s">
        <v>978</v>
      </c>
      <c r="Z21" s="53" t="s">
        <v>432</v>
      </c>
      <c r="AA21" s="52" t="s">
        <v>987</v>
      </c>
      <c r="AB21" s="53" t="s">
        <v>432</v>
      </c>
      <c r="AC21" s="52" t="s">
        <v>992</v>
      </c>
      <c r="AD21" s="53" t="s">
        <v>432</v>
      </c>
      <c r="AE21" s="52" t="s">
        <v>996</v>
      </c>
      <c r="AF21" s="70"/>
      <c r="AG21" s="70"/>
    </row>
    <row r="22" spans="2:33" x14ac:dyDescent="0.25">
      <c r="B22" s="70" t="s">
        <v>603</v>
      </c>
      <c r="C22" s="70" t="s">
        <v>598</v>
      </c>
      <c r="D22" s="127">
        <v>27.909836645319</v>
      </c>
      <c r="G22" s="124"/>
      <c r="H22" s="128">
        <v>27.232761987633001</v>
      </c>
      <c r="I22" s="73">
        <v>27.006988636220001</v>
      </c>
      <c r="J22" s="73">
        <v>27.73476940135</v>
      </c>
      <c r="K22" s="73">
        <v>25.848919561294998</v>
      </c>
      <c r="L22" s="73">
        <v>26.052706775259001</v>
      </c>
      <c r="M22" s="73">
        <v>25.734896268010999</v>
      </c>
      <c r="N22" s="73">
        <v>25.638144548576001</v>
      </c>
      <c r="O22" s="73">
        <v>25.986842129667998</v>
      </c>
      <c r="P22" s="73">
        <v>25.721471538983</v>
      </c>
      <c r="Q22" s="73">
        <v>24.454896055306001</v>
      </c>
      <c r="R22" s="73">
        <v>25.133653960139</v>
      </c>
      <c r="S22" s="73">
        <v>24.993340693646999</v>
      </c>
      <c r="U22" s="70"/>
      <c r="V22" s="53"/>
      <c r="W22" s="52"/>
      <c r="X22" s="53"/>
      <c r="Y22" s="52"/>
      <c r="Z22" s="53"/>
      <c r="AA22" s="52"/>
      <c r="AB22" s="53"/>
      <c r="AC22" s="52"/>
      <c r="AD22" s="53"/>
      <c r="AE22" s="52"/>
      <c r="AF22" s="70"/>
      <c r="AG22" s="70"/>
    </row>
    <row r="23" spans="2:33" ht="14.4" thickBot="1" x14ac:dyDescent="0.3">
      <c r="B23" s="70" t="s">
        <v>603</v>
      </c>
      <c r="C23" s="70" t="s">
        <v>598</v>
      </c>
      <c r="D23" s="127">
        <v>27.969719495142002</v>
      </c>
      <c r="G23" s="130"/>
      <c r="H23" s="136">
        <v>27.171469287728002</v>
      </c>
      <c r="I23" s="136">
        <v>27.0006907220661</v>
      </c>
      <c r="J23" s="136">
        <v>27.725625244675999</v>
      </c>
      <c r="K23" s="136">
        <v>25.833810245222001</v>
      </c>
      <c r="L23" s="136">
        <v>26.051007009022001</v>
      </c>
      <c r="M23" s="136">
        <v>25.780678617141</v>
      </c>
      <c r="N23" s="136">
        <v>25.602837866542</v>
      </c>
      <c r="O23" s="136">
        <v>25.922776832922999</v>
      </c>
      <c r="P23" s="136">
        <v>25.700939325522999</v>
      </c>
      <c r="Q23" s="136">
        <v>24.504350291575001</v>
      </c>
      <c r="R23" s="136">
        <v>25.144930252582</v>
      </c>
      <c r="S23" s="136">
        <v>24.950456717285</v>
      </c>
      <c r="U23" s="70"/>
      <c r="V23" s="53" t="s">
        <v>434</v>
      </c>
      <c r="W23" s="52"/>
      <c r="X23" s="53" t="s">
        <v>434</v>
      </c>
      <c r="Y23" s="52"/>
      <c r="Z23" s="53" t="s">
        <v>434</v>
      </c>
      <c r="AA23" s="52"/>
      <c r="AB23" s="53" t="s">
        <v>434</v>
      </c>
      <c r="AC23" s="52"/>
      <c r="AD23" s="53" t="s">
        <v>434</v>
      </c>
      <c r="AE23" s="52"/>
      <c r="AF23" s="70"/>
      <c r="AG23" s="70"/>
    </row>
    <row r="24" spans="2:33" x14ac:dyDescent="0.25">
      <c r="B24" s="70" t="s">
        <v>867</v>
      </c>
      <c r="C24" s="70" t="s">
        <v>598</v>
      </c>
      <c r="D24" s="127">
        <v>27.657812118530273</v>
      </c>
      <c r="G24" s="137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U24" s="70"/>
      <c r="V24" s="53" t="s">
        <v>435</v>
      </c>
      <c r="W24" s="52">
        <v>1</v>
      </c>
      <c r="X24" s="53" t="s">
        <v>435</v>
      </c>
      <c r="Y24" s="52">
        <v>1</v>
      </c>
      <c r="Z24" s="53" t="s">
        <v>435</v>
      </c>
      <c r="AA24" s="52">
        <v>1</v>
      </c>
      <c r="AB24" s="53" t="s">
        <v>436</v>
      </c>
      <c r="AC24" s="52">
        <v>0.65959999999999996</v>
      </c>
      <c r="AD24" s="53" t="s">
        <v>687</v>
      </c>
      <c r="AE24" s="52">
        <v>0.61950000000000005</v>
      </c>
      <c r="AF24" s="70"/>
      <c r="AG24" s="70"/>
    </row>
    <row r="25" spans="2:33" x14ac:dyDescent="0.25">
      <c r="B25" s="70" t="s">
        <v>867</v>
      </c>
      <c r="C25" s="70" t="s">
        <v>598</v>
      </c>
      <c r="D25" s="127">
        <v>27.782610047687001</v>
      </c>
      <c r="G25" s="13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U25" s="70"/>
      <c r="V25" s="53" t="s">
        <v>436</v>
      </c>
      <c r="W25" s="52">
        <v>0.65959999999999996</v>
      </c>
      <c r="X25" s="53" t="s">
        <v>687</v>
      </c>
      <c r="Y25" s="52">
        <v>0.61950000000000005</v>
      </c>
      <c r="Z25" s="53" t="s">
        <v>714</v>
      </c>
      <c r="AA25" s="52">
        <v>0.47139999999999999</v>
      </c>
      <c r="AB25" s="53" t="s">
        <v>714</v>
      </c>
      <c r="AC25" s="52">
        <v>0.47139999999999999</v>
      </c>
      <c r="AD25" s="53" t="s">
        <v>714</v>
      </c>
      <c r="AE25" s="52">
        <v>0.47139999999999999</v>
      </c>
      <c r="AF25" s="70"/>
      <c r="AG25" s="70"/>
    </row>
    <row r="26" spans="2:33" ht="29.4" thickBot="1" x14ac:dyDescent="0.3">
      <c r="B26" s="70" t="s">
        <v>867</v>
      </c>
      <c r="C26" s="70" t="s">
        <v>598</v>
      </c>
      <c r="D26" s="127">
        <v>27.804241446513</v>
      </c>
      <c r="G26" s="139"/>
      <c r="H26" s="126" t="s">
        <v>850</v>
      </c>
      <c r="I26" s="126" t="s">
        <v>851</v>
      </c>
      <c r="J26" s="126" t="s">
        <v>852</v>
      </c>
      <c r="K26" s="126" t="s">
        <v>853</v>
      </c>
      <c r="L26" s="126" t="s">
        <v>854</v>
      </c>
      <c r="M26" s="126" t="s">
        <v>855</v>
      </c>
      <c r="N26" s="126" t="s">
        <v>856</v>
      </c>
      <c r="O26" s="126" t="s">
        <v>857</v>
      </c>
      <c r="P26" s="126" t="s">
        <v>858</v>
      </c>
      <c r="Q26" s="126" t="s">
        <v>859</v>
      </c>
      <c r="R26" s="126" t="s">
        <v>860</v>
      </c>
      <c r="S26" s="126" t="s">
        <v>861</v>
      </c>
      <c r="U26" s="70"/>
      <c r="V26" s="53" t="s">
        <v>437</v>
      </c>
      <c r="W26" s="52" t="s">
        <v>974</v>
      </c>
      <c r="X26" s="53" t="s">
        <v>688</v>
      </c>
      <c r="Y26" s="52" t="s">
        <v>979</v>
      </c>
      <c r="Z26" s="53" t="s">
        <v>982</v>
      </c>
      <c r="AA26" s="52" t="s">
        <v>988</v>
      </c>
      <c r="AB26" s="53" t="s">
        <v>715</v>
      </c>
      <c r="AC26" s="52" t="s">
        <v>993</v>
      </c>
      <c r="AD26" s="53" t="s">
        <v>721</v>
      </c>
      <c r="AE26" s="52" t="s">
        <v>997</v>
      </c>
      <c r="AF26" s="70"/>
      <c r="AG26" s="70"/>
    </row>
    <row r="27" spans="2:33" x14ac:dyDescent="0.25">
      <c r="B27" s="70" t="s">
        <v>868</v>
      </c>
      <c r="C27" s="70" t="s">
        <v>598</v>
      </c>
      <c r="D27" s="127">
        <v>27.870077133178711</v>
      </c>
      <c r="G27" s="84" t="s">
        <v>14</v>
      </c>
      <c r="H27" s="140">
        <f>AVERAGE(H6,H7,H8)</f>
        <v>29.731319821482717</v>
      </c>
      <c r="I27" s="140">
        <f t="shared" ref="I27:S27" si="0">AVERAGE(I6,I7,I8)</f>
        <v>29.441679096746906</v>
      </c>
      <c r="J27" s="140">
        <f t="shared" si="0"/>
        <v>29.684293282430165</v>
      </c>
      <c r="K27" s="140">
        <f t="shared" si="0"/>
        <v>27.573803809747869</v>
      </c>
      <c r="L27" s="140">
        <f t="shared" si="0"/>
        <v>27.542084609938986</v>
      </c>
      <c r="M27" s="140">
        <f t="shared" si="0"/>
        <v>27.460134068968632</v>
      </c>
      <c r="N27" s="140">
        <f t="shared" si="0"/>
        <v>27.04539951540298</v>
      </c>
      <c r="O27" s="140">
        <f t="shared" si="0"/>
        <v>27.394397079036324</v>
      </c>
      <c r="P27" s="140">
        <f t="shared" si="0"/>
        <v>27.46208794109312</v>
      </c>
      <c r="Q27" s="140">
        <f t="shared" si="0"/>
        <v>26.932494147832358</v>
      </c>
      <c r="R27" s="140">
        <f t="shared" si="0"/>
        <v>26.949923723979243</v>
      </c>
      <c r="S27" s="140">
        <f t="shared" si="0"/>
        <v>26.956210949550712</v>
      </c>
      <c r="U27" s="70"/>
      <c r="V27" s="53" t="s">
        <v>439</v>
      </c>
      <c r="W27" s="52" t="s">
        <v>975</v>
      </c>
      <c r="X27" s="53" t="s">
        <v>439</v>
      </c>
      <c r="Y27" s="52" t="s">
        <v>980</v>
      </c>
      <c r="Z27" s="53" t="s">
        <v>439</v>
      </c>
      <c r="AA27" s="52" t="s">
        <v>989</v>
      </c>
      <c r="AB27" s="53" t="s">
        <v>439</v>
      </c>
      <c r="AC27" s="52" t="s">
        <v>994</v>
      </c>
      <c r="AD27" s="53" t="s">
        <v>439</v>
      </c>
      <c r="AE27" s="52" t="s">
        <v>998</v>
      </c>
      <c r="AF27" s="70"/>
      <c r="AG27" s="70"/>
    </row>
    <row r="28" spans="2:33" x14ac:dyDescent="0.25">
      <c r="B28" s="70" t="s">
        <v>868</v>
      </c>
      <c r="C28" s="70" t="s">
        <v>598</v>
      </c>
      <c r="D28" s="127">
        <v>27.646985086381999</v>
      </c>
      <c r="G28" s="137"/>
      <c r="H28" s="141"/>
      <c r="I28" s="141"/>
      <c r="J28" s="141"/>
      <c r="K28" s="140"/>
      <c r="L28" s="140"/>
      <c r="M28" s="140"/>
      <c r="N28" s="140"/>
      <c r="O28" s="140"/>
      <c r="P28" s="140"/>
      <c r="Q28" s="140"/>
      <c r="R28" s="140"/>
      <c r="S28" s="140"/>
      <c r="U28" s="70"/>
      <c r="V28" s="53" t="s">
        <v>441</v>
      </c>
      <c r="W28" s="52">
        <v>0.76939999999999997</v>
      </c>
      <c r="X28" s="53" t="s">
        <v>441</v>
      </c>
      <c r="Y28" s="52">
        <v>0.77569999999999995</v>
      </c>
      <c r="Z28" s="53" t="s">
        <v>441</v>
      </c>
      <c r="AA28" s="52">
        <v>0.875</v>
      </c>
      <c r="AB28" s="53" t="s">
        <v>441</v>
      </c>
      <c r="AC28" s="52">
        <v>0.78610000000000002</v>
      </c>
      <c r="AD28" s="53" t="s">
        <v>441</v>
      </c>
      <c r="AE28" s="52">
        <v>0.56710000000000005</v>
      </c>
      <c r="AF28" s="70"/>
      <c r="AG28" s="70"/>
    </row>
    <row r="29" spans="2:33" x14ac:dyDescent="0.25">
      <c r="B29" s="70" t="s">
        <v>868</v>
      </c>
      <c r="C29" s="70" t="s">
        <v>598</v>
      </c>
      <c r="D29" s="127">
        <v>27.889320181456998</v>
      </c>
      <c r="G29" s="137"/>
      <c r="H29" s="141"/>
      <c r="I29" s="141"/>
      <c r="J29" s="141"/>
      <c r="K29" s="140"/>
      <c r="L29" s="140"/>
      <c r="M29" s="140"/>
      <c r="N29" s="140"/>
      <c r="O29" s="140"/>
      <c r="P29" s="140"/>
      <c r="Q29" s="140"/>
      <c r="R29" s="140"/>
      <c r="S29" s="140"/>
      <c r="U29" s="70"/>
      <c r="V29" s="53"/>
      <c r="W29" s="52"/>
      <c r="X29" s="53"/>
      <c r="Y29" s="52"/>
      <c r="Z29" s="53"/>
      <c r="AA29" s="52"/>
      <c r="AB29" s="53"/>
      <c r="AC29" s="52"/>
      <c r="AD29" s="53"/>
      <c r="AE29" s="52"/>
      <c r="AF29" s="70"/>
      <c r="AG29" s="70"/>
    </row>
    <row r="30" spans="2:33" x14ac:dyDescent="0.25">
      <c r="B30" s="70" t="s">
        <v>869</v>
      </c>
      <c r="C30" s="70" t="s">
        <v>598</v>
      </c>
      <c r="D30" s="127">
        <v>27.886674880981445</v>
      </c>
      <c r="G30" s="84" t="s">
        <v>598</v>
      </c>
      <c r="H30" s="140">
        <f t="shared" ref="H30:S30" si="1">AVERAGE(H9,H10,H11)</f>
        <v>29.268630279988553</v>
      </c>
      <c r="I30" s="140">
        <f t="shared" si="1"/>
        <v>29.372128828396779</v>
      </c>
      <c r="J30" s="140">
        <f t="shared" si="1"/>
        <v>29.577435052757085</v>
      </c>
      <c r="K30" s="140">
        <f t="shared" si="1"/>
        <v>27.870034895534108</v>
      </c>
      <c r="L30" s="140">
        <f t="shared" si="1"/>
        <v>27.90530578876378</v>
      </c>
      <c r="M30" s="140">
        <f t="shared" si="1"/>
        <v>27.934907741400412</v>
      </c>
      <c r="N30" s="140">
        <f t="shared" si="1"/>
        <v>27.748221204243425</v>
      </c>
      <c r="O30" s="140">
        <f t="shared" si="1"/>
        <v>27.802127467005903</v>
      </c>
      <c r="P30" s="140">
        <f t="shared" si="1"/>
        <v>27.778757457014148</v>
      </c>
      <c r="Q30" s="140">
        <f t="shared" si="1"/>
        <v>27.715553041464165</v>
      </c>
      <c r="R30" s="140">
        <f t="shared" si="1"/>
        <v>27.643465804006201</v>
      </c>
      <c r="S30" s="140">
        <f t="shared" si="1"/>
        <v>28.10058660721208</v>
      </c>
      <c r="U30" s="70"/>
      <c r="V30" s="53" t="s">
        <v>442</v>
      </c>
      <c r="W30" s="52"/>
      <c r="X30" s="53" t="s">
        <v>442</v>
      </c>
      <c r="Y30" s="52"/>
      <c r="Z30" s="53" t="s">
        <v>442</v>
      </c>
      <c r="AA30" s="52"/>
      <c r="AB30" s="53" t="s">
        <v>442</v>
      </c>
      <c r="AC30" s="52"/>
      <c r="AD30" s="53" t="s">
        <v>442</v>
      </c>
      <c r="AE30" s="52"/>
      <c r="AF30" s="70"/>
      <c r="AG30" s="70"/>
    </row>
    <row r="31" spans="2:33" x14ac:dyDescent="0.25">
      <c r="B31" s="70" t="s">
        <v>869</v>
      </c>
      <c r="C31" s="70" t="s">
        <v>598</v>
      </c>
      <c r="D31" s="127">
        <v>27.621461628424001</v>
      </c>
      <c r="G31" s="134"/>
      <c r="H31" s="140">
        <f t="shared" ref="H31:S31" si="2">H30-H27</f>
        <v>-0.4626895414941643</v>
      </c>
      <c r="I31" s="140">
        <f t="shared" si="2"/>
        <v>-6.9550268350127453E-2</v>
      </c>
      <c r="J31" s="140">
        <f t="shared" si="2"/>
        <v>-0.10685822967307956</v>
      </c>
      <c r="K31" s="140">
        <f t="shared" si="2"/>
        <v>0.29623108578623913</v>
      </c>
      <c r="L31" s="140">
        <f t="shared" si="2"/>
        <v>0.36322117882479432</v>
      </c>
      <c r="M31" s="140">
        <f t="shared" si="2"/>
        <v>0.47477367243178037</v>
      </c>
      <c r="N31" s="140">
        <f t="shared" si="2"/>
        <v>0.70282168884044438</v>
      </c>
      <c r="O31" s="140">
        <f t="shared" si="2"/>
        <v>0.40773038796957906</v>
      </c>
      <c r="P31" s="140">
        <f t="shared" si="2"/>
        <v>0.31666951592102777</v>
      </c>
      <c r="Q31" s="140">
        <f t="shared" si="2"/>
        <v>0.78305889363180725</v>
      </c>
      <c r="R31" s="140">
        <f t="shared" si="2"/>
        <v>0.69354208002695827</v>
      </c>
      <c r="S31" s="140">
        <f t="shared" si="2"/>
        <v>1.1443756576613673</v>
      </c>
      <c r="U31" s="70"/>
      <c r="V31" s="53" t="s">
        <v>443</v>
      </c>
      <c r="W31" s="52" t="s">
        <v>976</v>
      </c>
      <c r="X31" s="53" t="s">
        <v>443</v>
      </c>
      <c r="Y31" s="52" t="s">
        <v>981</v>
      </c>
      <c r="Z31" s="53" t="s">
        <v>443</v>
      </c>
      <c r="AA31" s="52" t="s">
        <v>990</v>
      </c>
      <c r="AB31" s="53" t="s">
        <v>443</v>
      </c>
      <c r="AC31" s="52" t="s">
        <v>995</v>
      </c>
      <c r="AD31" s="53" t="s">
        <v>443</v>
      </c>
      <c r="AE31" s="52" t="s">
        <v>999</v>
      </c>
      <c r="AF31" s="70"/>
      <c r="AG31" s="70"/>
    </row>
    <row r="32" spans="2:33" x14ac:dyDescent="0.25">
      <c r="B32" s="70" t="s">
        <v>869</v>
      </c>
      <c r="C32" s="70" t="s">
        <v>598</v>
      </c>
      <c r="D32" s="127">
        <v>27.828135861637001</v>
      </c>
      <c r="G32" s="134"/>
      <c r="H32" s="142">
        <f>AVERAGE(H31:J31)</f>
        <v>-0.21303267983912377</v>
      </c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U32" s="70"/>
      <c r="V32" s="53" t="s">
        <v>425</v>
      </c>
      <c r="W32" s="52">
        <v>0.1285</v>
      </c>
      <c r="X32" s="53" t="s">
        <v>425</v>
      </c>
      <c r="Y32" s="52">
        <v>0.44679999999999997</v>
      </c>
      <c r="Z32" s="53" t="s">
        <v>425</v>
      </c>
      <c r="AA32" s="52">
        <v>0.37130000000000002</v>
      </c>
      <c r="AB32" s="53" t="s">
        <v>425</v>
      </c>
      <c r="AC32" s="52">
        <v>0.46279999999999999</v>
      </c>
      <c r="AD32" s="53" t="s">
        <v>425</v>
      </c>
      <c r="AE32" s="52">
        <v>0.88429999999999997</v>
      </c>
      <c r="AF32" s="70"/>
      <c r="AG32" s="70"/>
    </row>
    <row r="33" spans="2:33" x14ac:dyDescent="0.25">
      <c r="B33" s="70" t="s">
        <v>870</v>
      </c>
      <c r="C33" s="70" t="s">
        <v>598</v>
      </c>
      <c r="D33" s="127">
        <v>27.709012985229492</v>
      </c>
      <c r="G33" s="134"/>
      <c r="H33" s="140">
        <f>H31-$H$32</f>
        <v>-0.24965686165504053</v>
      </c>
      <c r="I33" s="140">
        <f t="shared" ref="I33:S33" si="3">I31-$H$32</f>
        <v>0.14348241148899632</v>
      </c>
      <c r="J33" s="140">
        <f t="shared" si="3"/>
        <v>0.10617445016604421</v>
      </c>
      <c r="K33" s="140">
        <f t="shared" si="3"/>
        <v>0.50926376562536291</v>
      </c>
      <c r="L33" s="140">
        <f t="shared" si="3"/>
        <v>0.57625385866391809</v>
      </c>
      <c r="M33" s="140">
        <f t="shared" si="3"/>
        <v>0.68780635227090414</v>
      </c>
      <c r="N33" s="140">
        <f t="shared" si="3"/>
        <v>0.91585436867956815</v>
      </c>
      <c r="O33" s="140">
        <f t="shared" si="3"/>
        <v>0.62076306780870283</v>
      </c>
      <c r="P33" s="140">
        <f t="shared" si="3"/>
        <v>0.52970219576015154</v>
      </c>
      <c r="Q33" s="140">
        <f t="shared" si="3"/>
        <v>0.99609157347093102</v>
      </c>
      <c r="R33" s="140">
        <f t="shared" si="3"/>
        <v>0.90657475986608205</v>
      </c>
      <c r="S33" s="140">
        <f t="shared" si="3"/>
        <v>1.3574083375004911</v>
      </c>
      <c r="U33" s="70"/>
      <c r="V33" s="53" t="s">
        <v>426</v>
      </c>
      <c r="W33" s="52" t="s">
        <v>445</v>
      </c>
      <c r="X33" s="53" t="s">
        <v>426</v>
      </c>
      <c r="Y33" s="52" t="s">
        <v>445</v>
      </c>
      <c r="Z33" s="53" t="s">
        <v>426</v>
      </c>
      <c r="AA33" s="52" t="s">
        <v>445</v>
      </c>
      <c r="AB33" s="53" t="s">
        <v>426</v>
      </c>
      <c r="AC33" s="52" t="s">
        <v>445</v>
      </c>
      <c r="AD33" s="53" t="s">
        <v>426</v>
      </c>
      <c r="AE33" s="52" t="s">
        <v>445</v>
      </c>
      <c r="AF33" s="70"/>
      <c r="AG33" s="70"/>
    </row>
    <row r="34" spans="2:33" x14ac:dyDescent="0.25">
      <c r="B34" s="70" t="s">
        <v>870</v>
      </c>
      <c r="C34" s="70" t="s">
        <v>598</v>
      </c>
      <c r="D34" s="127">
        <v>27.714935237077</v>
      </c>
      <c r="H34" s="142">
        <f t="shared" ref="H34:S34" si="4">POWER(2,-H33)</f>
        <v>1.1889243012232025</v>
      </c>
      <c r="I34" s="142">
        <f t="shared" si="4"/>
        <v>0.90533120579174486</v>
      </c>
      <c r="J34" s="142">
        <f t="shared" si="4"/>
        <v>0.92904832726860676</v>
      </c>
      <c r="K34" s="142">
        <f t="shared" si="4"/>
        <v>0.7025808866212766</v>
      </c>
      <c r="L34" s="142">
        <f t="shared" si="4"/>
        <v>0.67070308419204117</v>
      </c>
      <c r="M34" s="142">
        <f t="shared" si="4"/>
        <v>0.62079706751244323</v>
      </c>
      <c r="N34" s="142">
        <f t="shared" si="4"/>
        <v>0.53002989230351549</v>
      </c>
      <c r="O34" s="142">
        <f t="shared" si="4"/>
        <v>0.65032686695793906</v>
      </c>
      <c r="P34" s="142">
        <f t="shared" si="4"/>
        <v>0.6926977074618953</v>
      </c>
      <c r="Q34" s="142">
        <f t="shared" si="4"/>
        <v>0.50135639389835496</v>
      </c>
      <c r="R34" s="142">
        <f t="shared" si="4"/>
        <v>0.53345010379694136</v>
      </c>
      <c r="S34" s="142">
        <f t="shared" si="4"/>
        <v>0.39028276582087651</v>
      </c>
      <c r="U34" s="70"/>
      <c r="V34" s="53" t="s">
        <v>428</v>
      </c>
      <c r="W34" s="52" t="s">
        <v>446</v>
      </c>
      <c r="X34" s="53" t="s">
        <v>428</v>
      </c>
      <c r="Y34" s="52" t="s">
        <v>446</v>
      </c>
      <c r="Z34" s="53" t="s">
        <v>428</v>
      </c>
      <c r="AA34" s="52" t="s">
        <v>446</v>
      </c>
      <c r="AB34" s="53" t="s">
        <v>428</v>
      </c>
      <c r="AC34" s="52" t="s">
        <v>446</v>
      </c>
      <c r="AD34" s="53" t="s">
        <v>428</v>
      </c>
      <c r="AE34" s="52" t="s">
        <v>446</v>
      </c>
      <c r="AF34" s="70"/>
      <c r="AG34" s="70"/>
    </row>
    <row r="35" spans="2:33" x14ac:dyDescent="0.25">
      <c r="B35" s="70" t="s">
        <v>870</v>
      </c>
      <c r="C35" s="70" t="s">
        <v>598</v>
      </c>
      <c r="D35" s="127">
        <v>27.722710902086</v>
      </c>
      <c r="H35" s="140">
        <f>AVERAGE(H34:J34)</f>
        <v>1.0077679447611847</v>
      </c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U35" s="70"/>
      <c r="V35" s="53"/>
      <c r="W35" s="52"/>
      <c r="X35" s="53"/>
      <c r="Y35" s="52"/>
      <c r="Z35" s="53"/>
      <c r="AA35" s="52"/>
      <c r="AB35" s="53"/>
      <c r="AC35" s="52"/>
      <c r="AD35" s="53"/>
      <c r="AE35" s="52"/>
      <c r="AF35" s="70"/>
      <c r="AG35" s="70"/>
    </row>
    <row r="36" spans="2:33" x14ac:dyDescent="0.25">
      <c r="B36" s="70" t="s">
        <v>871</v>
      </c>
      <c r="C36" s="70" t="s">
        <v>598</v>
      </c>
      <c r="D36" s="127">
        <v>27.642845153808594</v>
      </c>
      <c r="G36" s="134"/>
      <c r="H36" s="142">
        <f>H34/$H$35</f>
        <v>1.1797599907833418</v>
      </c>
      <c r="I36" s="142">
        <f t="shared" ref="I36:S36" si="5">I34/$H$35</f>
        <v>0.89835285047321611</v>
      </c>
      <c r="J36" s="142">
        <f t="shared" si="5"/>
        <v>0.92188715874344218</v>
      </c>
      <c r="K36" s="142">
        <f t="shared" si="5"/>
        <v>0.69716534473397085</v>
      </c>
      <c r="L36" s="142">
        <f t="shared" si="5"/>
        <v>0.6655332586024858</v>
      </c>
      <c r="M36" s="142">
        <f t="shared" si="5"/>
        <v>0.61601192093836277</v>
      </c>
      <c r="N36" s="142">
        <f t="shared" si="5"/>
        <v>0.52594438537050214</v>
      </c>
      <c r="O36" s="142">
        <f t="shared" si="5"/>
        <v>0.6453141026549023</v>
      </c>
      <c r="P36" s="142">
        <f t="shared" si="5"/>
        <v>0.68735834580057709</v>
      </c>
      <c r="Q36" s="142">
        <f t="shared" si="5"/>
        <v>0.49749190426687329</v>
      </c>
      <c r="R36" s="142">
        <f t="shared" si="5"/>
        <v>0.52933823363805788</v>
      </c>
      <c r="S36" s="142">
        <f t="shared" si="5"/>
        <v>0.38727443936844369</v>
      </c>
      <c r="U36" s="70"/>
      <c r="V36" s="53"/>
      <c r="W36" s="52"/>
      <c r="X36" s="70"/>
      <c r="Y36" s="70"/>
      <c r="Z36" s="70"/>
      <c r="AA36" s="70"/>
      <c r="AB36" s="70"/>
      <c r="AC36" s="70"/>
      <c r="AD36" s="70"/>
      <c r="AE36" s="70"/>
      <c r="AF36" s="70"/>
      <c r="AG36" s="70"/>
    </row>
    <row r="37" spans="2:33" x14ac:dyDescent="0.25">
      <c r="B37" s="70" t="s">
        <v>871</v>
      </c>
      <c r="C37" s="70" t="s">
        <v>598</v>
      </c>
      <c r="D37" s="127">
        <v>27.627694887404001</v>
      </c>
      <c r="G37" s="134" t="s">
        <v>587</v>
      </c>
      <c r="H37" s="164">
        <f>AVERAGE(H36:J36)</f>
        <v>1</v>
      </c>
      <c r="I37" s="164"/>
      <c r="J37" s="164"/>
      <c r="K37" s="164">
        <f>AVERAGE(K36:M36)</f>
        <v>0.65957017475827318</v>
      </c>
      <c r="L37" s="164"/>
      <c r="M37" s="164"/>
      <c r="N37" s="164">
        <f>AVERAGE(N36:P36)</f>
        <v>0.61953894460866055</v>
      </c>
      <c r="O37" s="164"/>
      <c r="P37" s="164"/>
      <c r="Q37" s="164">
        <f>AVERAGE(Q36:S36)</f>
        <v>0.47136819242445832</v>
      </c>
      <c r="R37" s="164"/>
      <c r="S37" s="164"/>
      <c r="U37" s="70" t="s">
        <v>607</v>
      </c>
      <c r="V37" s="70">
        <v>1.1320758425184514</v>
      </c>
      <c r="W37" s="70">
        <v>0.95688975626528816</v>
      </c>
      <c r="X37" s="70">
        <v>0.91103440121626078</v>
      </c>
      <c r="Y37" s="70">
        <v>0.23433030718054379</v>
      </c>
      <c r="Z37" s="70">
        <v>0.25427499204370185</v>
      </c>
      <c r="AA37" s="70">
        <v>0.25000687327726834</v>
      </c>
      <c r="AB37" s="70">
        <v>0.17643250939134109</v>
      </c>
      <c r="AC37" s="70">
        <v>0.2382470577627025</v>
      </c>
      <c r="AD37" s="70">
        <v>0.23550008971432482</v>
      </c>
      <c r="AE37" s="70">
        <v>0.17193183691339378</v>
      </c>
      <c r="AF37" s="70">
        <v>0.17590342269887146</v>
      </c>
      <c r="AG37" s="70">
        <v>0.17271742361319806</v>
      </c>
    </row>
    <row r="38" spans="2:33" x14ac:dyDescent="0.25">
      <c r="B38" s="70" t="s">
        <v>871</v>
      </c>
      <c r="C38" s="70" t="s">
        <v>598</v>
      </c>
      <c r="D38" s="127">
        <v>27.659857370806002</v>
      </c>
      <c r="G38" s="134" t="s">
        <v>588</v>
      </c>
      <c r="H38" s="164">
        <f>STDEVP(H36:J36)/SQRT(COUNT(H36:J36))</f>
        <v>7.3596054591201387E-2</v>
      </c>
      <c r="I38" s="164"/>
      <c r="J38" s="164"/>
      <c r="K38" s="164">
        <f t="shared" ref="K38" si="6">STDEVP(K36:M36)/SQRT(COUNT(K36:M36))</f>
        <v>1.9282336909647677E-2</v>
      </c>
      <c r="L38" s="164"/>
      <c r="M38" s="164"/>
      <c r="N38" s="164">
        <f t="shared" ref="N38" si="7">STDEVP(N36:P36)/SQRT(COUNT(N36:P36))</f>
        <v>3.9474001949699446E-2</v>
      </c>
      <c r="O38" s="164"/>
      <c r="P38" s="164"/>
      <c r="Q38" s="164">
        <f t="shared" ref="Q38" si="8">STDEVP(Q36:S36)/SQRT(COUNT(Q36:S36))</f>
        <v>3.5142145165942863E-2</v>
      </c>
      <c r="R38" s="164"/>
      <c r="S38" s="164"/>
      <c r="U38" s="70" t="s">
        <v>605</v>
      </c>
      <c r="V38" s="87" t="s">
        <v>606</v>
      </c>
      <c r="W38" s="70"/>
      <c r="X38" s="87" t="s">
        <v>704</v>
      </c>
      <c r="Y38" s="70"/>
      <c r="Z38" s="87" t="s">
        <v>866</v>
      </c>
      <c r="AA38" s="70"/>
      <c r="AB38" s="87" t="s">
        <v>705</v>
      </c>
      <c r="AC38" s="70"/>
      <c r="AD38" s="87" t="s">
        <v>706</v>
      </c>
      <c r="AE38" s="70"/>
      <c r="AF38" s="70"/>
      <c r="AG38" s="70"/>
    </row>
    <row r="39" spans="2:33" ht="15.6" x14ac:dyDescent="0.25">
      <c r="B39" s="70" t="s">
        <v>872</v>
      </c>
      <c r="C39" s="70" t="s">
        <v>598</v>
      </c>
      <c r="D39" s="127">
        <v>28.002164840698242</v>
      </c>
      <c r="G39" s="134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U39" s="70"/>
      <c r="V39" s="53" t="s">
        <v>419</v>
      </c>
      <c r="W39" s="52" t="s">
        <v>991</v>
      </c>
      <c r="X39" s="53" t="s">
        <v>684</v>
      </c>
      <c r="Y39" s="52" t="s">
        <v>843</v>
      </c>
      <c r="Z39" s="53" t="s">
        <v>710</v>
      </c>
      <c r="AA39" s="52" t="s">
        <v>986</v>
      </c>
      <c r="AB39" s="53" t="s">
        <v>710</v>
      </c>
      <c r="AC39" s="52" t="s">
        <v>986</v>
      </c>
      <c r="AD39" s="53" t="s">
        <v>710</v>
      </c>
      <c r="AE39" s="52" t="s">
        <v>986</v>
      </c>
      <c r="AF39" s="70"/>
      <c r="AG39" s="70"/>
    </row>
    <row r="40" spans="2:33" x14ac:dyDescent="0.25">
      <c r="B40" s="70" t="s">
        <v>872</v>
      </c>
      <c r="C40" s="70" t="s">
        <v>598</v>
      </c>
      <c r="D40" s="127">
        <v>28.141232121973999</v>
      </c>
      <c r="G40" s="84" t="s">
        <v>607</v>
      </c>
      <c r="H40" s="140">
        <f>AVERAGE(H12,H13,H14)</f>
        <v>23.982561758738317</v>
      </c>
      <c r="I40" s="140">
        <f t="shared" ref="I40:S40" si="9">AVERAGE(I12,I13,I14)</f>
        <v>23.935467021814105</v>
      </c>
      <c r="J40" s="140">
        <f t="shared" si="9"/>
        <v>24.248928396081499</v>
      </c>
      <c r="K40" s="140">
        <f t="shared" si="9"/>
        <v>24.097400897838099</v>
      </c>
      <c r="L40" s="140">
        <f t="shared" si="9"/>
        <v>23.947835675807202</v>
      </c>
      <c r="M40" s="140">
        <f t="shared" si="9"/>
        <v>23.890306956208843</v>
      </c>
      <c r="N40" s="140">
        <f t="shared" si="9"/>
        <v>23.978423745293686</v>
      </c>
      <c r="O40" s="140">
        <f t="shared" si="9"/>
        <v>23.894079327139796</v>
      </c>
      <c r="P40" s="140">
        <f t="shared" si="9"/>
        <v>23.978500977411272</v>
      </c>
      <c r="Q40" s="140">
        <f t="shared" si="9"/>
        <v>23.902798077716444</v>
      </c>
      <c r="R40" s="140">
        <f t="shared" si="9"/>
        <v>23.887280814936062</v>
      </c>
      <c r="S40" s="140">
        <f t="shared" si="9"/>
        <v>23.919937967027717</v>
      </c>
      <c r="U40" s="70"/>
      <c r="V40" s="53" t="s">
        <v>421</v>
      </c>
      <c r="W40" s="52" t="s">
        <v>421</v>
      </c>
      <c r="X40" s="53" t="s">
        <v>421</v>
      </c>
      <c r="Y40" s="52" t="s">
        <v>421</v>
      </c>
      <c r="Z40" s="53" t="s">
        <v>421</v>
      </c>
      <c r="AA40" s="52" t="s">
        <v>421</v>
      </c>
      <c r="AB40" s="53" t="s">
        <v>421</v>
      </c>
      <c r="AC40" s="52" t="s">
        <v>421</v>
      </c>
      <c r="AD40" s="53" t="s">
        <v>421</v>
      </c>
      <c r="AE40" s="52" t="s">
        <v>421</v>
      </c>
      <c r="AF40" s="70"/>
      <c r="AG40" s="70"/>
    </row>
    <row r="41" spans="2:33" ht="15.6" x14ac:dyDescent="0.25">
      <c r="B41" s="70" t="s">
        <v>872</v>
      </c>
      <c r="C41" s="70" t="s">
        <v>598</v>
      </c>
      <c r="D41" s="127">
        <v>28.158362858964001</v>
      </c>
      <c r="H41" s="140">
        <f t="shared" ref="H41:S41" si="10">H40-H27</f>
        <v>-5.7487580627444004</v>
      </c>
      <c r="I41" s="140">
        <f t="shared" si="10"/>
        <v>-5.506212074932801</v>
      </c>
      <c r="J41" s="140">
        <f t="shared" si="10"/>
        <v>-5.4353648863486654</v>
      </c>
      <c r="K41" s="140">
        <f t="shared" si="10"/>
        <v>-3.4764029119097692</v>
      </c>
      <c r="L41" s="140">
        <f t="shared" si="10"/>
        <v>-3.5942489341317838</v>
      </c>
      <c r="M41" s="140">
        <f t="shared" si="10"/>
        <v>-3.5698271127597891</v>
      </c>
      <c r="N41" s="140">
        <f t="shared" si="10"/>
        <v>-3.0669757701092948</v>
      </c>
      <c r="O41" s="140">
        <f t="shared" si="10"/>
        <v>-3.5003177518965281</v>
      </c>
      <c r="P41" s="140">
        <f t="shared" si="10"/>
        <v>-3.4835869636818479</v>
      </c>
      <c r="Q41" s="140">
        <f t="shared" si="10"/>
        <v>-3.0296960701159144</v>
      </c>
      <c r="R41" s="140">
        <f t="shared" si="10"/>
        <v>-3.0626429090431806</v>
      </c>
      <c r="S41" s="140">
        <f t="shared" si="10"/>
        <v>-3.0362729825229948</v>
      </c>
      <c r="U41" s="70"/>
      <c r="V41" s="53" t="s">
        <v>422</v>
      </c>
      <c r="W41" s="52" t="s">
        <v>892</v>
      </c>
      <c r="X41" s="53" t="s">
        <v>422</v>
      </c>
      <c r="Y41" s="52" t="s">
        <v>892</v>
      </c>
      <c r="Z41" s="53" t="s">
        <v>422</v>
      </c>
      <c r="AA41" s="52" t="s">
        <v>892</v>
      </c>
      <c r="AB41" s="53" t="s">
        <v>419</v>
      </c>
      <c r="AC41" s="52" t="s">
        <v>991</v>
      </c>
      <c r="AD41" s="53" t="s">
        <v>684</v>
      </c>
      <c r="AE41" s="52" t="s">
        <v>843</v>
      </c>
      <c r="AF41" s="70"/>
      <c r="AG41" s="70"/>
    </row>
    <row r="42" spans="2:33" x14ac:dyDescent="0.25">
      <c r="B42" s="70" t="s">
        <v>491</v>
      </c>
      <c r="C42" s="144" t="s">
        <v>607</v>
      </c>
      <c r="D42" s="145">
        <v>24.003101348876953</v>
      </c>
      <c r="H42" s="142">
        <f>AVERAGE(H41:J41)</f>
        <v>-5.563445008008622</v>
      </c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U42" s="70"/>
      <c r="V42" s="53"/>
      <c r="W42" s="52"/>
      <c r="X42" s="53"/>
      <c r="Y42" s="52"/>
      <c r="Z42" s="53"/>
      <c r="AA42" s="52"/>
      <c r="AB42" s="53"/>
      <c r="AC42" s="52"/>
      <c r="AD42" s="53"/>
      <c r="AE42" s="52"/>
      <c r="AF42" s="70"/>
      <c r="AG42" s="70"/>
    </row>
    <row r="43" spans="2:33" x14ac:dyDescent="0.25">
      <c r="B43" s="70" t="s">
        <v>491</v>
      </c>
      <c r="C43" s="144" t="s">
        <v>607</v>
      </c>
      <c r="D43" s="145">
        <v>23.966353229401001</v>
      </c>
      <c r="H43" s="140">
        <f>H41-$H$42</f>
        <v>-0.18531305473577842</v>
      </c>
      <c r="I43" s="140">
        <f t="shared" ref="I43:S43" si="11">I41-$H$42</f>
        <v>5.7232933075821002E-2</v>
      </c>
      <c r="J43" s="140">
        <f t="shared" si="11"/>
        <v>0.12808012165995653</v>
      </c>
      <c r="K43" s="140">
        <f t="shared" si="11"/>
        <v>2.0870420960988527</v>
      </c>
      <c r="L43" s="140">
        <f t="shared" si="11"/>
        <v>1.9691960738768381</v>
      </c>
      <c r="M43" s="140">
        <f t="shared" si="11"/>
        <v>1.9936178952488328</v>
      </c>
      <c r="N43" s="140">
        <f t="shared" si="11"/>
        <v>2.4964692378993272</v>
      </c>
      <c r="O43" s="140">
        <f t="shared" si="11"/>
        <v>2.0631272561120939</v>
      </c>
      <c r="P43" s="140">
        <f t="shared" si="11"/>
        <v>2.079858044326774</v>
      </c>
      <c r="Q43" s="140">
        <f t="shared" si="11"/>
        <v>2.5337489378927076</v>
      </c>
      <c r="R43" s="140">
        <f t="shared" si="11"/>
        <v>2.5008020989654414</v>
      </c>
      <c r="S43" s="140">
        <f t="shared" si="11"/>
        <v>2.5271720254856271</v>
      </c>
      <c r="U43" s="70"/>
      <c r="V43" s="53" t="s">
        <v>455</v>
      </c>
      <c r="W43" s="52"/>
      <c r="X43" s="53" t="s">
        <v>455</v>
      </c>
      <c r="Y43" s="52"/>
      <c r="Z43" s="53" t="s">
        <v>455</v>
      </c>
      <c r="AA43" s="52"/>
      <c r="AB43" s="53" t="s">
        <v>455</v>
      </c>
      <c r="AC43" s="52"/>
      <c r="AD43" s="53" t="s">
        <v>424</v>
      </c>
      <c r="AE43" s="52"/>
      <c r="AF43" s="70"/>
      <c r="AG43" s="70"/>
    </row>
    <row r="44" spans="2:33" x14ac:dyDescent="0.25">
      <c r="B44" s="70" t="s">
        <v>491</v>
      </c>
      <c r="C44" s="144" t="s">
        <v>607</v>
      </c>
      <c r="D44" s="145">
        <v>23.978230697937001</v>
      </c>
      <c r="H44" s="142">
        <f t="shared" ref="H44:S44" si="12">POWER(2,-H43)</f>
        <v>1.1370636813359729</v>
      </c>
      <c r="I44" s="142">
        <f t="shared" si="12"/>
        <v>0.96110573870315286</v>
      </c>
      <c r="J44" s="142">
        <f t="shared" si="12"/>
        <v>0.9150483484977211</v>
      </c>
      <c r="K44" s="142">
        <f t="shared" si="12"/>
        <v>0.23536274843437063</v>
      </c>
      <c r="L44" s="142">
        <f t="shared" si="12"/>
        <v>0.25539530804021587</v>
      </c>
      <c r="M44" s="142">
        <f t="shared" si="12"/>
        <v>0.25110838427180154</v>
      </c>
      <c r="N44" s="142">
        <f t="shared" si="12"/>
        <v>0.17720985741517767</v>
      </c>
      <c r="O44" s="142">
        <f t="shared" si="12"/>
        <v>0.23929675591739985</v>
      </c>
      <c r="P44" s="142">
        <f t="shared" si="12"/>
        <v>0.23653768493974164</v>
      </c>
      <c r="Q44" s="142">
        <f t="shared" si="12"/>
        <v>0.17268935532153915</v>
      </c>
      <c r="R44" s="142">
        <f t="shared" si="12"/>
        <v>0.17667843960756238</v>
      </c>
      <c r="S44" s="142">
        <f t="shared" si="12"/>
        <v>0.1734784032557313</v>
      </c>
      <c r="U44" s="70"/>
      <c r="V44" s="53" t="s">
        <v>425</v>
      </c>
      <c r="W44" s="52">
        <v>9.1999999999999998E-3</v>
      </c>
      <c r="X44" s="53" t="s">
        <v>425</v>
      </c>
      <c r="Y44" s="52">
        <v>6.1000000000000004E-3</v>
      </c>
      <c r="Z44" s="53" t="s">
        <v>425</v>
      </c>
      <c r="AA44" s="52">
        <v>6.7000000000000002E-3</v>
      </c>
      <c r="AB44" s="53" t="s">
        <v>425</v>
      </c>
      <c r="AC44" s="52">
        <v>5.0000000000000001E-3</v>
      </c>
      <c r="AD44" s="53" t="s">
        <v>425</v>
      </c>
      <c r="AE44" s="52">
        <v>4.9599999999999998E-2</v>
      </c>
      <c r="AF44" s="70"/>
      <c r="AG44" s="70"/>
    </row>
    <row r="45" spans="2:33" x14ac:dyDescent="0.25">
      <c r="B45" s="70" t="s">
        <v>352</v>
      </c>
      <c r="C45" s="144" t="s">
        <v>607</v>
      </c>
      <c r="D45" s="145">
        <v>23.96452522277832</v>
      </c>
      <c r="H45" s="140">
        <f>AVERAGE(H44:J44)</f>
        <v>1.0044059228456155</v>
      </c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U45" s="70"/>
      <c r="V45" s="53" t="s">
        <v>426</v>
      </c>
      <c r="W45" s="52" t="s">
        <v>427</v>
      </c>
      <c r="X45" s="53" t="s">
        <v>426</v>
      </c>
      <c r="Y45" s="52" t="s">
        <v>427</v>
      </c>
      <c r="Z45" s="53" t="s">
        <v>426</v>
      </c>
      <c r="AA45" s="52" t="s">
        <v>427</v>
      </c>
      <c r="AB45" s="53" t="s">
        <v>426</v>
      </c>
      <c r="AC45" s="52" t="s">
        <v>427</v>
      </c>
      <c r="AD45" s="53" t="s">
        <v>426</v>
      </c>
      <c r="AE45" s="52" t="s">
        <v>508</v>
      </c>
      <c r="AF45" s="70"/>
      <c r="AG45" s="70"/>
    </row>
    <row r="46" spans="2:33" x14ac:dyDescent="0.25">
      <c r="B46" s="70" t="s">
        <v>352</v>
      </c>
      <c r="C46" s="144" t="s">
        <v>607</v>
      </c>
      <c r="D46" s="145">
        <v>23.909579765621</v>
      </c>
      <c r="H46" s="142">
        <f>H44/$H$45</f>
        <v>1.1320758425184514</v>
      </c>
      <c r="I46" s="142">
        <f t="shared" ref="I46:S46" si="13">I44/$H$45</f>
        <v>0.95688975626528816</v>
      </c>
      <c r="J46" s="142">
        <f t="shared" si="13"/>
        <v>0.91103440121626078</v>
      </c>
      <c r="K46" s="142">
        <f t="shared" si="13"/>
        <v>0.23433030718054379</v>
      </c>
      <c r="L46" s="142">
        <f t="shared" si="13"/>
        <v>0.25427499204370185</v>
      </c>
      <c r="M46" s="142">
        <f t="shared" si="13"/>
        <v>0.25000687327726834</v>
      </c>
      <c r="N46" s="142">
        <f t="shared" si="13"/>
        <v>0.17643250939134109</v>
      </c>
      <c r="O46" s="142">
        <f t="shared" si="13"/>
        <v>0.2382470577627025</v>
      </c>
      <c r="P46" s="142">
        <f t="shared" si="13"/>
        <v>0.23550008971432482</v>
      </c>
      <c r="Q46" s="142">
        <f t="shared" si="13"/>
        <v>0.17193183691339378</v>
      </c>
      <c r="R46" s="142">
        <f t="shared" si="13"/>
        <v>0.17590342269887146</v>
      </c>
      <c r="S46" s="142">
        <f t="shared" si="13"/>
        <v>0.17271742361319806</v>
      </c>
      <c r="U46" s="70"/>
      <c r="V46" s="53" t="s">
        <v>428</v>
      </c>
      <c r="W46" s="52" t="s">
        <v>429</v>
      </c>
      <c r="X46" s="53" t="s">
        <v>428</v>
      </c>
      <c r="Y46" s="52" t="s">
        <v>429</v>
      </c>
      <c r="Z46" s="53" t="s">
        <v>428</v>
      </c>
      <c r="AA46" s="52" t="s">
        <v>429</v>
      </c>
      <c r="AB46" s="53" t="s">
        <v>428</v>
      </c>
      <c r="AC46" s="52" t="s">
        <v>429</v>
      </c>
      <c r="AD46" s="53" t="s">
        <v>428</v>
      </c>
      <c r="AE46" s="52" t="s">
        <v>429</v>
      </c>
      <c r="AF46" s="70"/>
      <c r="AG46" s="70"/>
    </row>
    <row r="47" spans="2:33" ht="13.2" x14ac:dyDescent="0.25">
      <c r="B47" s="70" t="s">
        <v>352</v>
      </c>
      <c r="C47" s="144" t="s">
        <v>607</v>
      </c>
      <c r="D47" s="145">
        <v>23.932296077042999</v>
      </c>
      <c r="G47" s="134" t="s">
        <v>587</v>
      </c>
      <c r="H47" s="164">
        <f>AVERAGE(H46:J46)</f>
        <v>1</v>
      </c>
      <c r="I47" s="164"/>
      <c r="J47" s="164"/>
      <c r="K47" s="164">
        <f>AVERAGE(K46:M46)</f>
        <v>0.24620405750050467</v>
      </c>
      <c r="L47" s="164"/>
      <c r="M47" s="164"/>
      <c r="N47" s="164">
        <f>AVERAGE(N46:P46)</f>
        <v>0.21672655228945614</v>
      </c>
      <c r="O47" s="164"/>
      <c r="P47" s="164"/>
      <c r="Q47" s="164">
        <f>AVERAGE(Q46:S46)</f>
        <v>0.17351756107515445</v>
      </c>
      <c r="R47" s="164"/>
      <c r="S47" s="164"/>
      <c r="U47" s="70"/>
      <c r="V47" s="53" t="s">
        <v>430</v>
      </c>
      <c r="W47" s="52" t="s">
        <v>431</v>
      </c>
      <c r="X47" s="53" t="s">
        <v>430</v>
      </c>
      <c r="Y47" s="52" t="s">
        <v>572</v>
      </c>
      <c r="Z47" s="53" t="s">
        <v>430</v>
      </c>
      <c r="AA47" s="52" t="s">
        <v>431</v>
      </c>
      <c r="AB47" s="53" t="s">
        <v>430</v>
      </c>
      <c r="AC47" s="52" t="s">
        <v>431</v>
      </c>
      <c r="AD47" s="53" t="s">
        <v>430</v>
      </c>
      <c r="AE47" s="52" t="s">
        <v>572</v>
      </c>
      <c r="AF47" s="70"/>
      <c r="AG47" s="70"/>
    </row>
    <row r="48" spans="2:33" ht="13.2" x14ac:dyDescent="0.25">
      <c r="B48" s="70" t="s">
        <v>347</v>
      </c>
      <c r="C48" s="144" t="s">
        <v>607</v>
      </c>
      <c r="D48" s="145">
        <v>24.280733108520508</v>
      </c>
      <c r="G48" s="134" t="s">
        <v>588</v>
      </c>
      <c r="H48" s="164">
        <f>STDEVP(H46:J46)/SQRT(COUNT(H46:J46))</f>
        <v>5.499232174563029E-2</v>
      </c>
      <c r="I48" s="164"/>
      <c r="J48" s="164"/>
      <c r="K48" s="164">
        <f t="shared" ref="K48" si="14">STDEVP(K46:M46)/SQRT(COUNT(K46:M46))</f>
        <v>4.9507276557575891E-3</v>
      </c>
      <c r="L48" s="164"/>
      <c r="M48" s="164"/>
      <c r="N48" s="164">
        <f t="shared" ref="N48" si="15">STDEVP(N46:P46)/SQRT(COUNT(N46:P46))</f>
        <v>1.6462711253490112E-2</v>
      </c>
      <c r="O48" s="164"/>
      <c r="P48" s="164"/>
      <c r="Q48" s="164">
        <f t="shared" ref="Q48" si="16">STDEVP(Q46:S46)/SQRT(COUNT(Q46:S46))</f>
        <v>9.9146786594104348E-4</v>
      </c>
      <c r="R48" s="164"/>
      <c r="S48" s="164"/>
      <c r="U48" s="70"/>
      <c r="V48" s="53" t="s">
        <v>432</v>
      </c>
      <c r="W48" s="52" t="s">
        <v>1000</v>
      </c>
      <c r="X48" s="53" t="s">
        <v>432</v>
      </c>
      <c r="Y48" s="52" t="s">
        <v>1002</v>
      </c>
      <c r="Z48" s="53" t="s">
        <v>432</v>
      </c>
      <c r="AA48" s="52" t="s">
        <v>1004</v>
      </c>
      <c r="AB48" s="53" t="s">
        <v>432</v>
      </c>
      <c r="AC48" s="52" t="s">
        <v>1006</v>
      </c>
      <c r="AD48" s="53" t="s">
        <v>432</v>
      </c>
      <c r="AE48" s="52" t="s">
        <v>1008</v>
      </c>
      <c r="AF48" s="70"/>
      <c r="AG48" s="70"/>
    </row>
    <row r="49" spans="2:33" x14ac:dyDescent="0.25">
      <c r="B49" s="70" t="s">
        <v>347</v>
      </c>
      <c r="C49" s="144" t="s">
        <v>607</v>
      </c>
      <c r="D49" s="145">
        <v>24.232998896600002</v>
      </c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U49" s="70"/>
      <c r="V49" s="53"/>
      <c r="W49" s="52"/>
      <c r="X49" s="53"/>
      <c r="Y49" s="52"/>
      <c r="Z49" s="53"/>
      <c r="AA49" s="52"/>
      <c r="AB49" s="53"/>
      <c r="AC49" s="52"/>
      <c r="AD49" s="53"/>
      <c r="AE49" s="52"/>
      <c r="AF49" s="70"/>
      <c r="AG49" s="70"/>
    </row>
    <row r="50" spans="2:33" ht="13.2" x14ac:dyDescent="0.25">
      <c r="B50" s="70" t="s">
        <v>347</v>
      </c>
      <c r="C50" s="144" t="s">
        <v>607</v>
      </c>
      <c r="D50" s="145">
        <v>24.233053183123999</v>
      </c>
      <c r="G50" s="84" t="s">
        <v>609</v>
      </c>
      <c r="H50" s="140">
        <f>AVERAGE(H15,H16,H17)</f>
        <v>29.604265559631983</v>
      </c>
      <c r="I50" s="140">
        <f t="shared" ref="I50:S50" si="17">AVERAGE(I15,I16,I17)</f>
        <v>29.611641217689982</v>
      </c>
      <c r="J50" s="140">
        <f t="shared" si="17"/>
        <v>29.45307900065454</v>
      </c>
      <c r="K50" s="140">
        <f t="shared" si="17"/>
        <v>26.768945454263079</v>
      </c>
      <c r="L50" s="140">
        <f t="shared" si="17"/>
        <v>27.101510497835818</v>
      </c>
      <c r="M50" s="140">
        <f t="shared" si="17"/>
        <v>26.762523310137535</v>
      </c>
      <c r="N50" s="140">
        <f t="shared" si="17"/>
        <v>26.682031701925482</v>
      </c>
      <c r="O50" s="140">
        <f t="shared" si="17"/>
        <v>26.936691327051136</v>
      </c>
      <c r="P50" s="140">
        <f t="shared" si="17"/>
        <v>26.91134169975021</v>
      </c>
      <c r="Q50" s="140">
        <f t="shared" si="17"/>
        <v>26.290576692454284</v>
      </c>
      <c r="R50" s="140">
        <f t="shared" si="17"/>
        <v>26.339936387031912</v>
      </c>
      <c r="S50" s="140">
        <f t="shared" si="17"/>
        <v>26.354537123985448</v>
      </c>
      <c r="U50" s="70"/>
      <c r="V50" s="53" t="s">
        <v>434</v>
      </c>
      <c r="W50" s="52"/>
      <c r="X50" s="53" t="s">
        <v>434</v>
      </c>
      <c r="Y50" s="52"/>
      <c r="Z50" s="53" t="s">
        <v>434</v>
      </c>
      <c r="AA50" s="52"/>
      <c r="AB50" s="53" t="s">
        <v>434</v>
      </c>
      <c r="AC50" s="52"/>
      <c r="AD50" s="53" t="s">
        <v>434</v>
      </c>
      <c r="AE50" s="52"/>
      <c r="AF50" s="70"/>
      <c r="AG50" s="70"/>
    </row>
    <row r="51" spans="2:33" ht="13.2" x14ac:dyDescent="0.25">
      <c r="B51" s="70" t="s">
        <v>608</v>
      </c>
      <c r="C51" s="144" t="s">
        <v>607</v>
      </c>
      <c r="D51" s="145">
        <v>23.960826873779297</v>
      </c>
      <c r="G51" s="124"/>
      <c r="H51" s="140">
        <f t="shared" ref="H51:S51" si="18">H50-H27</f>
        <v>-0.12705426185073421</v>
      </c>
      <c r="I51" s="140">
        <f t="shared" si="18"/>
        <v>0.16996212094307594</v>
      </c>
      <c r="J51" s="140">
        <f t="shared" si="18"/>
        <v>-0.23121428177562464</v>
      </c>
      <c r="K51" s="140">
        <f t="shared" si="18"/>
        <v>-0.80485835548478946</v>
      </c>
      <c r="L51" s="140">
        <f t="shared" si="18"/>
        <v>-0.44057411210316744</v>
      </c>
      <c r="M51" s="140">
        <f t="shared" si="18"/>
        <v>-0.69761075883109669</v>
      </c>
      <c r="N51" s="140">
        <f t="shared" si="18"/>
        <v>-0.36336781347749891</v>
      </c>
      <c r="O51" s="140">
        <f t="shared" si="18"/>
        <v>-0.4577057519851877</v>
      </c>
      <c r="P51" s="140">
        <f t="shared" si="18"/>
        <v>-0.55074624134291028</v>
      </c>
      <c r="Q51" s="140">
        <f t="shared" si="18"/>
        <v>-0.64191745537807421</v>
      </c>
      <c r="R51" s="140">
        <f t="shared" si="18"/>
        <v>-0.60998733694733076</v>
      </c>
      <c r="S51" s="140">
        <f t="shared" si="18"/>
        <v>-0.60167382556526405</v>
      </c>
      <c r="U51" s="70"/>
      <c r="V51" s="53" t="s">
        <v>458</v>
      </c>
      <c r="W51" s="52">
        <v>-0.75380000000000003</v>
      </c>
      <c r="X51" s="53" t="s">
        <v>458</v>
      </c>
      <c r="Y51" s="52">
        <v>-0.7833</v>
      </c>
      <c r="Z51" s="53" t="s">
        <v>458</v>
      </c>
      <c r="AA51" s="52">
        <v>-0.82650000000000001</v>
      </c>
      <c r="AB51" s="53" t="s">
        <v>458</v>
      </c>
      <c r="AC51" s="52">
        <v>-7.2690000000000005E-2</v>
      </c>
      <c r="AD51" s="53" t="s">
        <v>687</v>
      </c>
      <c r="AE51" s="52">
        <v>0.2167</v>
      </c>
      <c r="AF51" s="70"/>
      <c r="AG51" s="70"/>
    </row>
    <row r="52" spans="2:33" x14ac:dyDescent="0.25">
      <c r="B52" s="70" t="s">
        <v>608</v>
      </c>
      <c r="C52" s="144" t="s">
        <v>607</v>
      </c>
      <c r="D52" s="145">
        <v>24.159708648845999</v>
      </c>
      <c r="H52" s="142">
        <f>AVERAGE(H51:J51)</f>
        <v>-6.2768807561094306E-2</v>
      </c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U52" s="70"/>
      <c r="V52" s="53" t="s">
        <v>459</v>
      </c>
      <c r="W52" s="52">
        <v>0.12640000000000001</v>
      </c>
      <c r="X52" s="53" t="s">
        <v>459</v>
      </c>
      <c r="Y52" s="52">
        <v>0.15079999999999999</v>
      </c>
      <c r="Z52" s="53" t="s">
        <v>459</v>
      </c>
      <c r="AA52" s="52">
        <v>0.1177</v>
      </c>
      <c r="AB52" s="53" t="s">
        <v>459</v>
      </c>
      <c r="AC52" s="52">
        <v>8.9259999999999999E-3</v>
      </c>
      <c r="AD52" s="53" t="s">
        <v>714</v>
      </c>
      <c r="AE52" s="52">
        <v>0.17349999999999999</v>
      </c>
      <c r="AF52" s="70"/>
      <c r="AG52" s="70"/>
    </row>
    <row r="53" spans="2:33" ht="13.2" x14ac:dyDescent="0.25">
      <c r="B53" s="70" t="s">
        <v>608</v>
      </c>
      <c r="C53" s="144" t="s">
        <v>607</v>
      </c>
      <c r="D53" s="145">
        <v>24.171667170888998</v>
      </c>
      <c r="G53" s="124"/>
      <c r="H53" s="140">
        <f>H51-$H$52</f>
        <v>-6.4285454289639901E-2</v>
      </c>
      <c r="I53" s="140">
        <f t="shared" ref="I53:S53" si="19">I51-$H$52</f>
        <v>0.23273092850417026</v>
      </c>
      <c r="J53" s="140">
        <f t="shared" si="19"/>
        <v>-0.16844547421453032</v>
      </c>
      <c r="K53" s="140">
        <f t="shared" si="19"/>
        <v>-0.74208954792369519</v>
      </c>
      <c r="L53" s="140">
        <f t="shared" si="19"/>
        <v>-0.37780530454207312</v>
      </c>
      <c r="M53" s="140">
        <f t="shared" si="19"/>
        <v>-0.63484195127000242</v>
      </c>
      <c r="N53" s="140">
        <f t="shared" si="19"/>
        <v>-0.30059900591640459</v>
      </c>
      <c r="O53" s="140">
        <f t="shared" si="19"/>
        <v>-0.39493694442409338</v>
      </c>
      <c r="P53" s="140">
        <f t="shared" si="19"/>
        <v>-0.48797743378181596</v>
      </c>
      <c r="Q53" s="140">
        <f t="shared" si="19"/>
        <v>-0.57914864781697994</v>
      </c>
      <c r="R53" s="140">
        <f t="shared" si="19"/>
        <v>-0.5472185293862365</v>
      </c>
      <c r="S53" s="140">
        <f t="shared" si="19"/>
        <v>-0.53890501800416979</v>
      </c>
      <c r="U53" s="70"/>
      <c r="V53" s="53" t="s">
        <v>460</v>
      </c>
      <c r="W53" s="52">
        <v>7.2969999999999993E-2</v>
      </c>
      <c r="X53" s="53" t="s">
        <v>460</v>
      </c>
      <c r="Y53" s="52">
        <v>8.7080000000000005E-2</v>
      </c>
      <c r="Z53" s="53" t="s">
        <v>460</v>
      </c>
      <c r="AA53" s="52">
        <v>6.7960000000000007E-2</v>
      </c>
      <c r="AB53" s="53" t="s">
        <v>460</v>
      </c>
      <c r="AC53" s="52">
        <v>5.1529999999999996E-3</v>
      </c>
      <c r="AD53" s="53" t="s">
        <v>721</v>
      </c>
      <c r="AE53" s="52" t="s">
        <v>1009</v>
      </c>
      <c r="AF53" s="70"/>
      <c r="AG53" s="70"/>
    </row>
    <row r="54" spans="2:33" ht="13.2" x14ac:dyDescent="0.25">
      <c r="B54" s="70" t="s">
        <v>602</v>
      </c>
      <c r="C54" s="144" t="s">
        <v>607</v>
      </c>
      <c r="D54" s="145">
        <v>23.940546035766602</v>
      </c>
      <c r="G54" s="124"/>
      <c r="H54" s="142">
        <f t="shared" ref="H54:S54" si="20">POWER(2,-H53)</f>
        <v>1.0455669575378281</v>
      </c>
      <c r="I54" s="142">
        <f t="shared" si="20"/>
        <v>0.85102243562317548</v>
      </c>
      <c r="J54" s="142">
        <f t="shared" si="20"/>
        <v>1.1238468699935329</v>
      </c>
      <c r="K54" s="142">
        <f t="shared" si="20"/>
        <v>1.6725966144954814</v>
      </c>
      <c r="L54" s="142">
        <f t="shared" si="20"/>
        <v>1.2993636981033192</v>
      </c>
      <c r="M54" s="142">
        <f t="shared" si="20"/>
        <v>1.5527676333879687</v>
      </c>
      <c r="N54" s="142">
        <f t="shared" si="20"/>
        <v>1.231655689730313</v>
      </c>
      <c r="O54" s="142">
        <f t="shared" si="20"/>
        <v>1.3148852895278018</v>
      </c>
      <c r="P54" s="142">
        <f t="shared" si="20"/>
        <v>1.4024773133267008</v>
      </c>
      <c r="Q54" s="142">
        <f t="shared" si="20"/>
        <v>1.4939673798354567</v>
      </c>
      <c r="R54" s="142">
        <f t="shared" si="20"/>
        <v>1.4612657041236523</v>
      </c>
      <c r="S54" s="142">
        <f t="shared" si="20"/>
        <v>1.4528693945829156</v>
      </c>
      <c r="U54" s="70"/>
      <c r="V54" s="53" t="s">
        <v>439</v>
      </c>
      <c r="W54" s="52" t="s">
        <v>1001</v>
      </c>
      <c r="X54" s="53" t="s">
        <v>439</v>
      </c>
      <c r="Y54" s="52" t="s">
        <v>1003</v>
      </c>
      <c r="Z54" s="53" t="s">
        <v>439</v>
      </c>
      <c r="AA54" s="52" t="s">
        <v>1005</v>
      </c>
      <c r="AB54" s="53" t="s">
        <v>439</v>
      </c>
      <c r="AC54" s="52" t="s">
        <v>1007</v>
      </c>
      <c r="AD54" s="53" t="s">
        <v>439</v>
      </c>
      <c r="AE54" s="52" t="s">
        <v>1010</v>
      </c>
      <c r="AF54" s="70"/>
      <c r="AG54" s="70"/>
    </row>
    <row r="55" spans="2:33" x14ac:dyDescent="0.25">
      <c r="B55" s="70" t="s">
        <v>602</v>
      </c>
      <c r="C55" s="144" t="s">
        <v>607</v>
      </c>
      <c r="D55" s="145">
        <v>23.952785524445002</v>
      </c>
      <c r="H55" s="140">
        <f>AVERAGE(H54:J54)</f>
        <v>1.0068120877181788</v>
      </c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U55" s="70"/>
      <c r="V55" s="53" t="s">
        <v>462</v>
      </c>
      <c r="W55" s="52">
        <v>0.98160000000000003</v>
      </c>
      <c r="X55" s="53" t="s">
        <v>462</v>
      </c>
      <c r="Y55" s="52">
        <v>0.97589999999999999</v>
      </c>
      <c r="Z55" s="53" t="s">
        <v>462</v>
      </c>
      <c r="AA55" s="52">
        <v>0.98670000000000002</v>
      </c>
      <c r="AB55" s="53" t="s">
        <v>462</v>
      </c>
      <c r="AC55" s="52">
        <v>0.99</v>
      </c>
      <c r="AD55" s="53" t="s">
        <v>441</v>
      </c>
      <c r="AE55" s="52">
        <v>0.53359999999999996</v>
      </c>
      <c r="AF55" s="70"/>
      <c r="AG55" s="70"/>
    </row>
    <row r="56" spans="2:33" x14ac:dyDescent="0.25">
      <c r="B56" s="70" t="s">
        <v>602</v>
      </c>
      <c r="C56" s="144" t="s">
        <v>607</v>
      </c>
      <c r="D56" s="145">
        <v>23.950175467209998</v>
      </c>
      <c r="H56" s="142">
        <f>H54/$H$45</f>
        <v>1.0409804778685474</v>
      </c>
      <c r="I56" s="142">
        <f t="shared" ref="I56:S56" si="21">I54/$H$45</f>
        <v>0.8472893441449606</v>
      </c>
      <c r="J56" s="142">
        <f t="shared" si="21"/>
        <v>1.1189170079857009</v>
      </c>
      <c r="K56" s="142">
        <f t="shared" si="21"/>
        <v>1.6652596091396921</v>
      </c>
      <c r="L56" s="142">
        <f t="shared" si="21"/>
        <v>1.2936639147069635</v>
      </c>
      <c r="M56" s="142">
        <f t="shared" si="21"/>
        <v>1.5459562693425499</v>
      </c>
      <c r="N56" s="142">
        <f t="shared" si="21"/>
        <v>1.2262529140020091</v>
      </c>
      <c r="O56" s="142">
        <f t="shared" si="21"/>
        <v>1.3091174191830302</v>
      </c>
      <c r="P56" s="142">
        <f t="shared" si="21"/>
        <v>1.3963252121744725</v>
      </c>
      <c r="Q56" s="142">
        <f t="shared" si="21"/>
        <v>1.4874139487378255</v>
      </c>
      <c r="R56" s="142">
        <f t="shared" si="21"/>
        <v>1.4548557220607505</v>
      </c>
      <c r="S56" s="142">
        <f t="shared" si="21"/>
        <v>1.4464962437365398</v>
      </c>
      <c r="U56" s="70"/>
      <c r="V56" s="53"/>
      <c r="W56" s="52"/>
      <c r="X56" s="53"/>
      <c r="Y56" s="52"/>
      <c r="Z56" s="53"/>
      <c r="AA56" s="52"/>
      <c r="AB56" s="53"/>
      <c r="AC56" s="52"/>
      <c r="AD56" s="53"/>
      <c r="AE56" s="52"/>
      <c r="AF56" s="70"/>
      <c r="AG56" s="70"/>
    </row>
    <row r="57" spans="2:33" ht="13.2" x14ac:dyDescent="0.25">
      <c r="B57" s="70" t="s">
        <v>603</v>
      </c>
      <c r="C57" s="144" t="s">
        <v>607</v>
      </c>
      <c r="D57" s="145">
        <v>23.885656356811523</v>
      </c>
      <c r="G57" s="134" t="s">
        <v>587</v>
      </c>
      <c r="H57" s="164">
        <f>AVERAGE(H56:J56)</f>
        <v>1.0023956099997362</v>
      </c>
      <c r="I57" s="164"/>
      <c r="J57" s="164"/>
      <c r="K57" s="164">
        <f>AVERAGE(K56:M56)</f>
        <v>1.5016265977297352</v>
      </c>
      <c r="L57" s="164"/>
      <c r="M57" s="164"/>
      <c r="N57" s="164">
        <f>AVERAGE(N56:P56)</f>
        <v>1.3105651817865038</v>
      </c>
      <c r="O57" s="164"/>
      <c r="P57" s="164"/>
      <c r="Q57" s="164">
        <f>AVERAGE(Q56:S56)</f>
        <v>1.4629219715117054</v>
      </c>
      <c r="R57" s="164"/>
      <c r="S57" s="164"/>
      <c r="U57" s="70"/>
      <c r="V57" s="53" t="s">
        <v>463</v>
      </c>
      <c r="W57" s="52"/>
      <c r="X57" s="53" t="s">
        <v>463</v>
      </c>
      <c r="Y57" s="52"/>
      <c r="Z57" s="53" t="s">
        <v>463</v>
      </c>
      <c r="AA57" s="52"/>
      <c r="AB57" s="53" t="s">
        <v>463</v>
      </c>
      <c r="AC57" s="52"/>
      <c r="AD57" s="53" t="s">
        <v>442</v>
      </c>
      <c r="AE57" s="52"/>
      <c r="AF57" s="70"/>
      <c r="AG57" s="70"/>
    </row>
    <row r="58" spans="2:33" ht="13.2" x14ac:dyDescent="0.25">
      <c r="B58" s="70" t="s">
        <v>603</v>
      </c>
      <c r="C58" s="144" t="s">
        <v>607</v>
      </c>
      <c r="D58" s="145">
        <v>23.896537791364</v>
      </c>
      <c r="G58" s="134" t="s">
        <v>588</v>
      </c>
      <c r="H58" s="164">
        <f>STDEVP(H56:J56)/SQRT(COUNT(H56:J56))</f>
        <v>6.5932610313250109E-2</v>
      </c>
      <c r="I58" s="164"/>
      <c r="J58" s="164"/>
      <c r="K58" s="164">
        <f t="shared" ref="K58" si="22">STDEVP(K56:M56)/SQRT(COUNT(K56:M56))</f>
        <v>8.9436109870194722E-2</v>
      </c>
      <c r="L58" s="164"/>
      <c r="M58" s="164"/>
      <c r="N58" s="164">
        <f t="shared" ref="N58" si="23">STDEVP(N56:P56)/SQRT(COUNT(N56:P56))</f>
        <v>4.0090782159806701E-2</v>
      </c>
      <c r="O58" s="164"/>
      <c r="P58" s="164"/>
      <c r="Q58" s="164">
        <f t="shared" ref="Q58" si="24">STDEVP(Q56:S56)/SQRT(COUNT(Q56:S56))</f>
        <v>1.0191095577314655E-2</v>
      </c>
      <c r="R58" s="164"/>
      <c r="S58" s="164"/>
      <c r="U58" s="70"/>
      <c r="V58" s="53" t="s">
        <v>464</v>
      </c>
      <c r="W58" s="52">
        <v>-0.92010000000000003</v>
      </c>
      <c r="X58" s="53" t="s">
        <v>464</v>
      </c>
      <c r="Y58" s="52">
        <v>-0.97199999999999998</v>
      </c>
      <c r="Z58" s="53" t="s">
        <v>464</v>
      </c>
      <c r="AA58" s="52">
        <v>-0.49130000000000001</v>
      </c>
      <c r="AB58" s="53" t="s">
        <v>464</v>
      </c>
      <c r="AC58" s="52">
        <v>0.79320000000000002</v>
      </c>
      <c r="AD58" s="53" t="s">
        <v>443</v>
      </c>
      <c r="AE58" s="52" t="s">
        <v>1011</v>
      </c>
      <c r="AF58" s="70"/>
      <c r="AG58" s="70"/>
    </row>
    <row r="59" spans="2:33" x14ac:dyDescent="0.25">
      <c r="B59" s="70" t="s">
        <v>603</v>
      </c>
      <c r="C59" s="144" t="s">
        <v>607</v>
      </c>
      <c r="D59" s="145">
        <v>23.888726720451</v>
      </c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U59" s="70"/>
      <c r="V59" s="53" t="s">
        <v>465</v>
      </c>
      <c r="W59" s="52">
        <v>0.12809999999999999</v>
      </c>
      <c r="X59" s="53" t="s">
        <v>465</v>
      </c>
      <c r="Y59" s="52">
        <v>7.5499999999999998E-2</v>
      </c>
      <c r="Z59" s="53" t="s">
        <v>465</v>
      </c>
      <c r="AA59" s="52">
        <v>0.33650000000000002</v>
      </c>
      <c r="AB59" s="53" t="s">
        <v>465</v>
      </c>
      <c r="AC59" s="52">
        <v>0.2084</v>
      </c>
      <c r="AD59" s="53" t="s">
        <v>425</v>
      </c>
      <c r="AE59" s="52">
        <v>7.1999999999999998E-3</v>
      </c>
      <c r="AF59" s="70"/>
      <c r="AG59" s="70"/>
    </row>
    <row r="60" spans="2:33" ht="13.2" x14ac:dyDescent="0.25">
      <c r="B60" s="70" t="s">
        <v>867</v>
      </c>
      <c r="C60" s="144" t="s">
        <v>607</v>
      </c>
      <c r="D60" s="145">
        <v>23.974136352539063</v>
      </c>
      <c r="G60" s="84" t="s">
        <v>610</v>
      </c>
      <c r="H60" s="140">
        <f>AVERAGE(H18,H19,H20)</f>
        <v>34.587568326836909</v>
      </c>
      <c r="I60" s="140">
        <f t="shared" ref="I60:S60" si="25">AVERAGE(I18,I19,I20)</f>
        <v>34.507137348948469</v>
      </c>
      <c r="J60" s="140">
        <f t="shared" si="25"/>
        <v>34.274783421015158</v>
      </c>
      <c r="K60" s="140">
        <f t="shared" si="25"/>
        <v>32.157101284558415</v>
      </c>
      <c r="L60" s="140">
        <f t="shared" si="25"/>
        <v>32.273940923015893</v>
      </c>
      <c r="M60" s="140">
        <f t="shared" si="25"/>
        <v>32.119500991978079</v>
      </c>
      <c r="N60" s="140">
        <f t="shared" si="25"/>
        <v>31.869234593304032</v>
      </c>
      <c r="O60" s="140">
        <f t="shared" si="25"/>
        <v>32.212360157037786</v>
      </c>
      <c r="P60" s="140">
        <f t="shared" si="25"/>
        <v>32.145168525203125</v>
      </c>
      <c r="Q60" s="140">
        <f t="shared" si="25"/>
        <v>31.676263857756652</v>
      </c>
      <c r="R60" s="140">
        <f t="shared" si="25"/>
        <v>31.759255569097096</v>
      </c>
      <c r="S60" s="140">
        <f t="shared" si="25"/>
        <v>32.035301542672364</v>
      </c>
      <c r="U60" s="70"/>
      <c r="V60" s="53" t="s">
        <v>426</v>
      </c>
      <c r="W60" s="52" t="s">
        <v>445</v>
      </c>
      <c r="X60" s="53" t="s">
        <v>426</v>
      </c>
      <c r="Y60" s="52" t="s">
        <v>445</v>
      </c>
      <c r="Z60" s="53" t="s">
        <v>426</v>
      </c>
      <c r="AA60" s="52" t="s">
        <v>445</v>
      </c>
      <c r="AB60" s="53" t="s">
        <v>426</v>
      </c>
      <c r="AC60" s="52" t="s">
        <v>445</v>
      </c>
      <c r="AD60" s="53" t="s">
        <v>426</v>
      </c>
      <c r="AE60" s="52" t="s">
        <v>427</v>
      </c>
      <c r="AF60" s="70"/>
      <c r="AG60" s="70"/>
    </row>
    <row r="61" spans="2:33" x14ac:dyDescent="0.25">
      <c r="B61" s="70" t="s">
        <v>867</v>
      </c>
      <c r="C61" s="144" t="s">
        <v>607</v>
      </c>
      <c r="D61" s="145">
        <v>23.987984131912</v>
      </c>
      <c r="H61" s="140">
        <f t="shared" ref="H61:S61" si="26">H60-H27</f>
        <v>4.8562485053541913</v>
      </c>
      <c r="I61" s="140">
        <f t="shared" si="26"/>
        <v>5.0654582522015623</v>
      </c>
      <c r="J61" s="140">
        <f t="shared" si="26"/>
        <v>4.5904901385849932</v>
      </c>
      <c r="K61" s="140">
        <f t="shared" si="26"/>
        <v>4.5832974748105464</v>
      </c>
      <c r="L61" s="140">
        <f t="shared" si="26"/>
        <v>4.7318563130769071</v>
      </c>
      <c r="M61" s="140">
        <f t="shared" si="26"/>
        <v>4.659366923009447</v>
      </c>
      <c r="N61" s="140">
        <f t="shared" si="26"/>
        <v>4.8238350779010517</v>
      </c>
      <c r="O61" s="140">
        <f t="shared" si="26"/>
        <v>4.817963078001462</v>
      </c>
      <c r="P61" s="140">
        <f t="shared" si="26"/>
        <v>4.6830805841100052</v>
      </c>
      <c r="Q61" s="140">
        <f t="shared" si="26"/>
        <v>4.7437697099242939</v>
      </c>
      <c r="R61" s="140">
        <f t="shared" si="26"/>
        <v>4.8093318451178533</v>
      </c>
      <c r="S61" s="140">
        <f t="shared" si="26"/>
        <v>5.0790905931216521</v>
      </c>
      <c r="U61" s="70"/>
      <c r="V61" s="53" t="s">
        <v>466</v>
      </c>
      <c r="W61" s="52" t="s">
        <v>446</v>
      </c>
      <c r="X61" s="53" t="s">
        <v>466</v>
      </c>
      <c r="Y61" s="52" t="s">
        <v>446</v>
      </c>
      <c r="Z61" s="53" t="s">
        <v>466</v>
      </c>
      <c r="AA61" s="52" t="s">
        <v>446</v>
      </c>
      <c r="AB61" s="53" t="s">
        <v>466</v>
      </c>
      <c r="AC61" s="52" t="s">
        <v>446</v>
      </c>
      <c r="AD61" s="53" t="s">
        <v>428</v>
      </c>
      <c r="AE61" s="52" t="s">
        <v>429</v>
      </c>
      <c r="AF61" s="70"/>
      <c r="AG61" s="70"/>
    </row>
    <row r="62" spans="2:33" x14ac:dyDescent="0.25">
      <c r="B62" s="70" t="s">
        <v>867</v>
      </c>
      <c r="C62" s="144" t="s">
        <v>607</v>
      </c>
      <c r="D62" s="145">
        <v>23.973150751430001</v>
      </c>
      <c r="H62" s="142">
        <f>AVERAGE(H61:J61)</f>
        <v>4.8373989653802489</v>
      </c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U62" s="70"/>
      <c r="V62" s="53"/>
      <c r="W62" s="52"/>
      <c r="X62" s="70"/>
      <c r="Y62" s="70"/>
      <c r="Z62" s="70"/>
      <c r="AA62" s="70"/>
      <c r="AB62" s="70"/>
      <c r="AC62" s="70"/>
      <c r="AD62" s="70"/>
      <c r="AE62" s="70"/>
      <c r="AF62" s="70"/>
      <c r="AG62" s="70"/>
    </row>
    <row r="63" spans="2:33" ht="13.2" x14ac:dyDescent="0.25">
      <c r="B63" s="70" t="s">
        <v>868</v>
      </c>
      <c r="C63" s="144" t="s">
        <v>607</v>
      </c>
      <c r="D63" s="145">
        <v>23.963901519775391</v>
      </c>
      <c r="G63" s="134"/>
      <c r="H63" s="140">
        <f>H61-$H$62</f>
        <v>1.8849539973942342E-2</v>
      </c>
      <c r="I63" s="140">
        <f t="shared" ref="I63:S63" si="27">I61-$H$62</f>
        <v>0.22805928682131338</v>
      </c>
      <c r="J63" s="140">
        <f t="shared" si="27"/>
        <v>-0.24690882679525572</v>
      </c>
      <c r="K63" s="140">
        <f t="shared" si="27"/>
        <v>-0.25410149056970255</v>
      </c>
      <c r="L63" s="140">
        <f t="shared" si="27"/>
        <v>-0.10554265230334181</v>
      </c>
      <c r="M63" s="140">
        <f t="shared" si="27"/>
        <v>-0.17803204237080195</v>
      </c>
      <c r="N63" s="140">
        <f t="shared" si="27"/>
        <v>-1.3563887479197234E-2</v>
      </c>
      <c r="O63" s="140">
        <f t="shared" si="27"/>
        <v>-1.9435887378786987E-2</v>
      </c>
      <c r="P63" s="140">
        <f t="shared" si="27"/>
        <v>-0.15431838127024378</v>
      </c>
      <c r="Q63" s="140">
        <f t="shared" si="27"/>
        <v>-9.3629255455955018E-2</v>
      </c>
      <c r="R63" s="140">
        <f t="shared" si="27"/>
        <v>-2.8067120262395662E-2</v>
      </c>
      <c r="S63" s="140">
        <f t="shared" si="27"/>
        <v>0.24169162774140318</v>
      </c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</row>
    <row r="64" spans="2:33" ht="13.2" x14ac:dyDescent="0.25">
      <c r="B64" s="70" t="s">
        <v>868</v>
      </c>
      <c r="C64" s="144" t="s">
        <v>607</v>
      </c>
      <c r="D64" s="145">
        <v>23.864484006396999</v>
      </c>
      <c r="G64" s="134"/>
      <c r="H64" s="142">
        <f t="shared" ref="H64:S64" si="28">POWER(2,-H63)</f>
        <v>0.98701947771026066</v>
      </c>
      <c r="I64" s="142">
        <f t="shared" si="28"/>
        <v>0.85378262790606096</v>
      </c>
      <c r="J64" s="142">
        <f t="shared" si="28"/>
        <v>1.1866618024737996</v>
      </c>
      <c r="K64" s="142">
        <f t="shared" si="28"/>
        <v>1.1925927657790354</v>
      </c>
      <c r="L64" s="142">
        <f t="shared" si="28"/>
        <v>1.0758990007638838</v>
      </c>
      <c r="M64" s="142">
        <f t="shared" si="28"/>
        <v>1.1313395897085048</v>
      </c>
      <c r="N64" s="142">
        <f t="shared" si="28"/>
        <v>1.0094461058416897</v>
      </c>
      <c r="O64" s="142">
        <f t="shared" si="28"/>
        <v>1.0135630858806788</v>
      </c>
      <c r="P64" s="142">
        <f t="shared" si="28"/>
        <v>1.1128956929615819</v>
      </c>
      <c r="Q64" s="142">
        <f t="shared" si="28"/>
        <v>1.0670510914426588</v>
      </c>
      <c r="R64" s="142">
        <f t="shared" si="28"/>
        <v>1.0196451200892347</v>
      </c>
      <c r="S64" s="142">
        <f t="shared" si="28"/>
        <v>0.84575304554059538</v>
      </c>
      <c r="U64" s="70" t="s">
        <v>609</v>
      </c>
      <c r="V64" s="70">
        <v>1.0409804778685474</v>
      </c>
      <c r="W64" s="70">
        <v>0.8472893441449606</v>
      </c>
      <c r="X64" s="70">
        <v>1.1189170079857009</v>
      </c>
      <c r="Y64" s="70">
        <v>1.6652596091396921</v>
      </c>
      <c r="Z64" s="70">
        <v>1.2936639147069635</v>
      </c>
      <c r="AA64" s="70">
        <v>1.5459562693425499</v>
      </c>
      <c r="AB64" s="70">
        <v>1.2262529140020091</v>
      </c>
      <c r="AC64" s="70">
        <v>1.3091174191830302</v>
      </c>
      <c r="AD64" s="70">
        <v>1.3963252121744725</v>
      </c>
      <c r="AE64" s="70">
        <v>1.4874139487378255</v>
      </c>
      <c r="AF64" s="70">
        <v>1.4548557220607505</v>
      </c>
      <c r="AG64" s="70">
        <v>1.4464962437365398</v>
      </c>
    </row>
    <row r="65" spans="2:33" x14ac:dyDescent="0.25">
      <c r="B65" s="70" t="s">
        <v>868</v>
      </c>
      <c r="C65" s="144" t="s">
        <v>607</v>
      </c>
      <c r="D65" s="145">
        <v>23.853852455247001</v>
      </c>
      <c r="H65" s="140">
        <f>AVERAGE(H64:J64)</f>
        <v>1.0091546360300405</v>
      </c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U65" s="70" t="s">
        <v>605</v>
      </c>
      <c r="V65" s="87" t="s">
        <v>606</v>
      </c>
      <c r="W65" s="70"/>
      <c r="X65" s="87" t="s">
        <v>704</v>
      </c>
      <c r="Y65" s="70"/>
      <c r="Z65" s="87" t="s">
        <v>866</v>
      </c>
      <c r="AA65" s="70"/>
      <c r="AB65" s="87" t="s">
        <v>705</v>
      </c>
      <c r="AC65" s="70"/>
      <c r="AD65" s="87" t="s">
        <v>706</v>
      </c>
      <c r="AE65" s="70"/>
      <c r="AF65" s="70"/>
      <c r="AG65" s="70"/>
    </row>
    <row r="66" spans="2:33" ht="15.6" x14ac:dyDescent="0.25">
      <c r="B66" s="70" t="s">
        <v>869</v>
      </c>
      <c r="C66" s="144" t="s">
        <v>607</v>
      </c>
      <c r="D66" s="145">
        <v>23.97465705871582</v>
      </c>
      <c r="G66" s="124"/>
      <c r="H66" s="142">
        <f>H64/$H$65</f>
        <v>0.97806564273751107</v>
      </c>
      <c r="I66" s="142">
        <f t="shared" ref="I66:S66" si="29">I64/$H$65</f>
        <v>0.8460374628657461</v>
      </c>
      <c r="J66" s="142">
        <f t="shared" si="29"/>
        <v>1.1758968943967425</v>
      </c>
      <c r="K66" s="142">
        <f t="shared" si="29"/>
        <v>1.1817740544408839</v>
      </c>
      <c r="L66" s="142">
        <f t="shared" si="29"/>
        <v>1.0661388872932418</v>
      </c>
      <c r="M66" s="142">
        <f t="shared" si="29"/>
        <v>1.121076542004636</v>
      </c>
      <c r="N66" s="142">
        <f t="shared" si="29"/>
        <v>1.0002888257173308</v>
      </c>
      <c r="O66" s="142">
        <f t="shared" si="29"/>
        <v>1.0043684582057522</v>
      </c>
      <c r="P66" s="142">
        <f t="shared" si="29"/>
        <v>1.1027999607073629</v>
      </c>
      <c r="Q66" s="142">
        <f t="shared" si="29"/>
        <v>1.0573712425683142</v>
      </c>
      <c r="R66" s="142">
        <f t="shared" si="29"/>
        <v>1.0103953187000787</v>
      </c>
      <c r="S66" s="142">
        <f t="shared" si="29"/>
        <v>0.83808072157082081</v>
      </c>
      <c r="U66" s="70"/>
      <c r="V66" s="53" t="s">
        <v>419</v>
      </c>
      <c r="W66" s="52" t="s">
        <v>991</v>
      </c>
      <c r="X66" s="53" t="s">
        <v>684</v>
      </c>
      <c r="Y66" s="52" t="s">
        <v>843</v>
      </c>
      <c r="Z66" s="53" t="s">
        <v>710</v>
      </c>
      <c r="AA66" s="52" t="s">
        <v>986</v>
      </c>
      <c r="AB66" s="53" t="s">
        <v>710</v>
      </c>
      <c r="AC66" s="52" t="s">
        <v>986</v>
      </c>
      <c r="AD66" s="53" t="s">
        <v>710</v>
      </c>
      <c r="AE66" s="52" t="s">
        <v>986</v>
      </c>
      <c r="AF66" s="70"/>
      <c r="AG66" s="70"/>
    </row>
    <row r="67" spans="2:33" ht="13.2" x14ac:dyDescent="0.25">
      <c r="B67" s="70" t="s">
        <v>869</v>
      </c>
      <c r="C67" s="144" t="s">
        <v>607</v>
      </c>
      <c r="D67" s="145">
        <v>23.985275424421999</v>
      </c>
      <c r="G67" s="134" t="s">
        <v>587</v>
      </c>
      <c r="H67" s="164">
        <f>AVERAGE(H66:J66)</f>
        <v>1</v>
      </c>
      <c r="I67" s="164"/>
      <c r="J67" s="164"/>
      <c r="K67" s="164">
        <f>AVERAGE(K66:M66)</f>
        <v>1.1229964945795874</v>
      </c>
      <c r="L67" s="164"/>
      <c r="M67" s="164"/>
      <c r="N67" s="164">
        <f>AVERAGE(N66:P66)</f>
        <v>1.035819081543482</v>
      </c>
      <c r="O67" s="164"/>
      <c r="P67" s="164"/>
      <c r="Q67" s="164">
        <f>AVERAGE(Q66:S66)</f>
        <v>0.96861576094640467</v>
      </c>
      <c r="R67" s="164"/>
      <c r="S67" s="164"/>
      <c r="U67" s="70"/>
      <c r="V67" s="53" t="s">
        <v>421</v>
      </c>
      <c r="W67" s="52" t="s">
        <v>421</v>
      </c>
      <c r="X67" s="53" t="s">
        <v>421</v>
      </c>
      <c r="Y67" s="52" t="s">
        <v>421</v>
      </c>
      <c r="Z67" s="53" t="s">
        <v>421</v>
      </c>
      <c r="AA67" s="52" t="s">
        <v>421</v>
      </c>
      <c r="AB67" s="53" t="s">
        <v>421</v>
      </c>
      <c r="AC67" s="52" t="s">
        <v>421</v>
      </c>
      <c r="AD67" s="53" t="s">
        <v>421</v>
      </c>
      <c r="AE67" s="52" t="s">
        <v>421</v>
      </c>
      <c r="AF67" s="70"/>
      <c r="AG67" s="70"/>
    </row>
    <row r="68" spans="2:33" ht="15.6" x14ac:dyDescent="0.25">
      <c r="B68" s="70" t="s">
        <v>869</v>
      </c>
      <c r="C68" s="144" t="s">
        <v>607</v>
      </c>
      <c r="D68" s="145">
        <v>23.975570449096001</v>
      </c>
      <c r="G68" s="134" t="s">
        <v>588</v>
      </c>
      <c r="H68" s="164">
        <f>STDEVP(H66:J66)/SQRT(COUNT(H66:J66))</f>
        <v>7.8262589564273358E-2</v>
      </c>
      <c r="I68" s="164"/>
      <c r="J68" s="164"/>
      <c r="K68" s="164">
        <f t="shared" ref="K68" si="30">STDEVP(K66:M66)/SQRT(COUNT(K66:M66))</f>
        <v>2.7266738523676008E-2</v>
      </c>
      <c r="L68" s="164"/>
      <c r="M68" s="164"/>
      <c r="N68" s="164">
        <f t="shared" ref="N68" si="31">STDEVP(N66:P66)/SQRT(COUNT(N66:P66))</f>
        <v>2.7361731103800024E-2</v>
      </c>
      <c r="O68" s="164"/>
      <c r="P68" s="164"/>
      <c r="Q68" s="164">
        <f t="shared" ref="Q68" si="32">STDEVP(Q66:S66)/SQRT(COUNT(Q66:S66))</f>
        <v>5.442881535528251E-2</v>
      </c>
      <c r="R68" s="164"/>
      <c r="S68" s="164"/>
      <c r="U68" s="70"/>
      <c r="V68" s="53" t="s">
        <v>422</v>
      </c>
      <c r="W68" s="52" t="s">
        <v>892</v>
      </c>
      <c r="X68" s="53" t="s">
        <v>422</v>
      </c>
      <c r="Y68" s="52" t="s">
        <v>892</v>
      </c>
      <c r="Z68" s="53" t="s">
        <v>422</v>
      </c>
      <c r="AA68" s="52" t="s">
        <v>892</v>
      </c>
      <c r="AB68" s="53" t="s">
        <v>419</v>
      </c>
      <c r="AC68" s="52" t="s">
        <v>991</v>
      </c>
      <c r="AD68" s="53" t="s">
        <v>684</v>
      </c>
      <c r="AE68" s="52" t="s">
        <v>843</v>
      </c>
      <c r="AF68" s="70"/>
      <c r="AG68" s="70"/>
    </row>
    <row r="69" spans="2:33" ht="13.2" x14ac:dyDescent="0.25">
      <c r="B69" s="70" t="s">
        <v>870</v>
      </c>
      <c r="C69" s="144" t="s">
        <v>607</v>
      </c>
      <c r="D69" s="145">
        <v>23.852802276611328</v>
      </c>
      <c r="G69" s="124"/>
      <c r="H69" s="146"/>
      <c r="I69" s="146"/>
      <c r="J69" s="146"/>
      <c r="K69" s="146"/>
      <c r="L69" s="146"/>
      <c r="M69" s="146"/>
      <c r="N69" s="146"/>
      <c r="O69" s="146"/>
      <c r="P69" s="146"/>
      <c r="Q69" s="146"/>
      <c r="R69" s="146"/>
      <c r="S69" s="146"/>
      <c r="U69" s="70"/>
      <c r="V69" s="53"/>
      <c r="W69" s="52"/>
      <c r="X69" s="53"/>
      <c r="Y69" s="52"/>
      <c r="Z69" s="53"/>
      <c r="AA69" s="52"/>
      <c r="AB69" s="53"/>
      <c r="AC69" s="52"/>
      <c r="AD69" s="53"/>
      <c r="AE69" s="52"/>
      <c r="AF69" s="70"/>
      <c r="AG69" s="70"/>
    </row>
    <row r="70" spans="2:33" ht="13.2" x14ac:dyDescent="0.25">
      <c r="B70" s="70" t="s">
        <v>870</v>
      </c>
      <c r="C70" s="144" t="s">
        <v>607</v>
      </c>
      <c r="D70" s="145">
        <v>23.929939243147</v>
      </c>
      <c r="G70" s="84" t="s">
        <v>611</v>
      </c>
      <c r="H70" s="140">
        <f>AVERAGE(H22,H21,H23)</f>
        <v>27.201918034169811</v>
      </c>
      <c r="I70" s="140">
        <f t="shared" ref="I70:S70" si="33">AVERAGE(I22,I21,I23)</f>
        <v>27.002857968264962</v>
      </c>
      <c r="J70" s="140">
        <f t="shared" si="33"/>
        <v>27.721237429412639</v>
      </c>
      <c r="K70" s="140">
        <f t="shared" si="33"/>
        <v>25.845671364338674</v>
      </c>
      <c r="L70" s="140">
        <f t="shared" si="33"/>
        <v>26.052060376824134</v>
      </c>
      <c r="M70" s="140">
        <f t="shared" si="33"/>
        <v>25.764155531175344</v>
      </c>
      <c r="N70" s="140">
        <f t="shared" si="33"/>
        <v>25.647483945501573</v>
      </c>
      <c r="O70" s="140">
        <f t="shared" si="33"/>
        <v>25.956640438498756</v>
      </c>
      <c r="P70" s="140">
        <f t="shared" si="33"/>
        <v>25.71014718839653</v>
      </c>
      <c r="Q70" s="140">
        <f t="shared" si="33"/>
        <v>24.510117434637419</v>
      </c>
      <c r="R70" s="140">
        <f t="shared" si="33"/>
        <v>25.157533874333108</v>
      </c>
      <c r="S70" s="140">
        <f t="shared" si="33"/>
        <v>24.974294444391074</v>
      </c>
      <c r="U70" s="70"/>
      <c r="V70" s="53" t="s">
        <v>424</v>
      </c>
      <c r="W70" s="52"/>
      <c r="X70" s="53" t="s">
        <v>455</v>
      </c>
      <c r="Y70" s="52"/>
      <c r="Z70" s="53" t="s">
        <v>424</v>
      </c>
      <c r="AA70" s="52"/>
      <c r="AB70" s="53" t="s">
        <v>424</v>
      </c>
      <c r="AC70" s="52"/>
      <c r="AD70" s="53" t="s">
        <v>455</v>
      </c>
      <c r="AE70" s="52"/>
      <c r="AF70" s="70"/>
      <c r="AG70" s="70"/>
    </row>
    <row r="71" spans="2:33" x14ac:dyDescent="0.25">
      <c r="B71" s="70" t="s">
        <v>870</v>
      </c>
      <c r="C71" s="144" t="s">
        <v>607</v>
      </c>
      <c r="D71" s="145">
        <v>23.925652713390999</v>
      </c>
      <c r="H71" s="140">
        <f t="shared" ref="H71:S71" si="34">H70-H27</f>
        <v>-2.5294017873129064</v>
      </c>
      <c r="I71" s="140">
        <f t="shared" si="34"/>
        <v>-2.4388211284819441</v>
      </c>
      <c r="J71" s="140">
        <f t="shared" si="34"/>
        <v>-1.9630558530175257</v>
      </c>
      <c r="K71" s="140">
        <f t="shared" si="34"/>
        <v>-1.7281324454091944</v>
      </c>
      <c r="L71" s="140">
        <f t="shared" si="34"/>
        <v>-1.4900242331148519</v>
      </c>
      <c r="M71" s="140">
        <f t="shared" si="34"/>
        <v>-1.6959785377932874</v>
      </c>
      <c r="N71" s="140">
        <f t="shared" si="34"/>
        <v>-1.3979155699014072</v>
      </c>
      <c r="O71" s="140">
        <f t="shared" si="34"/>
        <v>-1.4377566405375681</v>
      </c>
      <c r="P71" s="140">
        <f t="shared" si="34"/>
        <v>-1.7519407526965907</v>
      </c>
      <c r="Q71" s="140">
        <f t="shared" si="34"/>
        <v>-2.4223767131949394</v>
      </c>
      <c r="R71" s="140">
        <f t="shared" si="34"/>
        <v>-1.7923898496461348</v>
      </c>
      <c r="S71" s="140">
        <f t="shared" si="34"/>
        <v>-1.9819165051596386</v>
      </c>
      <c r="U71" s="70"/>
      <c r="V71" s="53" t="s">
        <v>425</v>
      </c>
      <c r="W71" s="52">
        <v>1.0699999999999999E-2</v>
      </c>
      <c r="X71" s="53" t="s">
        <v>425</v>
      </c>
      <c r="Y71" s="52">
        <v>3.15E-2</v>
      </c>
      <c r="Z71" s="53" t="s">
        <v>425</v>
      </c>
      <c r="AA71" s="52">
        <v>2.3999999999999998E-3</v>
      </c>
      <c r="AB71" s="53" t="s">
        <v>425</v>
      </c>
      <c r="AC71" s="52">
        <v>0.74319999999999997</v>
      </c>
      <c r="AD71" s="53" t="s">
        <v>425</v>
      </c>
      <c r="AE71" s="52">
        <v>0.1298</v>
      </c>
      <c r="AF71" s="70"/>
      <c r="AG71" s="70"/>
    </row>
    <row r="72" spans="2:33" x14ac:dyDescent="0.25">
      <c r="B72" s="70" t="s">
        <v>871</v>
      </c>
      <c r="C72" s="144" t="s">
        <v>607</v>
      </c>
      <c r="D72" s="145">
        <v>23.86054801940918</v>
      </c>
      <c r="H72" s="142">
        <f>AVERAGE(H71:J71)</f>
        <v>-2.3104262562707922</v>
      </c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U72" s="70"/>
      <c r="V72" s="53" t="s">
        <v>426</v>
      </c>
      <c r="W72" s="52" t="s">
        <v>508</v>
      </c>
      <c r="X72" s="53" t="s">
        <v>426</v>
      </c>
      <c r="Y72" s="52" t="s">
        <v>508</v>
      </c>
      <c r="Z72" s="53" t="s">
        <v>426</v>
      </c>
      <c r="AA72" s="52" t="s">
        <v>427</v>
      </c>
      <c r="AB72" s="53" t="s">
        <v>426</v>
      </c>
      <c r="AC72" s="52" t="s">
        <v>445</v>
      </c>
      <c r="AD72" s="53" t="s">
        <v>426</v>
      </c>
      <c r="AE72" s="52" t="s">
        <v>445</v>
      </c>
      <c r="AF72" s="70"/>
      <c r="AG72" s="70"/>
    </row>
    <row r="73" spans="2:33" x14ac:dyDescent="0.25">
      <c r="B73" s="70" t="s">
        <v>871</v>
      </c>
      <c r="C73" s="144" t="s">
        <v>607</v>
      </c>
      <c r="D73" s="145">
        <v>23.888073488151999</v>
      </c>
      <c r="H73" s="140">
        <f>H71-$H$72</f>
        <v>-0.2189755310421142</v>
      </c>
      <c r="I73" s="140">
        <f t="shared" ref="I73:S73" si="35">I71-$H$72</f>
        <v>-0.12839487221115187</v>
      </c>
      <c r="J73" s="140">
        <f t="shared" si="35"/>
        <v>0.34737040325326651</v>
      </c>
      <c r="K73" s="140">
        <f t="shared" si="35"/>
        <v>0.58229381086159782</v>
      </c>
      <c r="L73" s="140">
        <f t="shared" si="35"/>
        <v>0.82040202315594035</v>
      </c>
      <c r="M73" s="140">
        <f t="shared" si="35"/>
        <v>0.61444771847750479</v>
      </c>
      <c r="N73" s="140">
        <f t="shared" si="35"/>
        <v>0.91251068636938504</v>
      </c>
      <c r="O73" s="140">
        <f t="shared" si="35"/>
        <v>0.8726696157332241</v>
      </c>
      <c r="P73" s="140">
        <f t="shared" si="35"/>
        <v>0.55848550357420157</v>
      </c>
      <c r="Q73" s="140">
        <f t="shared" si="35"/>
        <v>-0.11195045692414718</v>
      </c>
      <c r="R73" s="140">
        <f t="shared" si="35"/>
        <v>0.51803640662465744</v>
      </c>
      <c r="S73" s="140">
        <f t="shared" si="35"/>
        <v>0.32850975111115366</v>
      </c>
      <c r="U73" s="70"/>
      <c r="V73" s="53" t="s">
        <v>428</v>
      </c>
      <c r="W73" s="52" t="s">
        <v>429</v>
      </c>
      <c r="X73" s="53" t="s">
        <v>428</v>
      </c>
      <c r="Y73" s="52" t="s">
        <v>429</v>
      </c>
      <c r="Z73" s="53" t="s">
        <v>428</v>
      </c>
      <c r="AA73" s="52" t="s">
        <v>429</v>
      </c>
      <c r="AB73" s="53" t="s">
        <v>428</v>
      </c>
      <c r="AC73" s="52" t="s">
        <v>446</v>
      </c>
      <c r="AD73" s="53" t="s">
        <v>428</v>
      </c>
      <c r="AE73" s="52" t="s">
        <v>446</v>
      </c>
      <c r="AF73" s="70"/>
      <c r="AG73" s="70"/>
    </row>
    <row r="74" spans="2:33" x14ac:dyDescent="0.25">
      <c r="B74" s="70" t="s">
        <v>871</v>
      </c>
      <c r="C74" s="144" t="s">
        <v>607</v>
      </c>
      <c r="D74" s="145">
        <v>23.913220937247001</v>
      </c>
      <c r="H74" s="142">
        <f t="shared" ref="H74:S74" si="36">POWER(2,-H73)</f>
        <v>1.1639067936897702</v>
      </c>
      <c r="I74" s="142">
        <f t="shared" si="36"/>
        <v>1.0930768782870497</v>
      </c>
      <c r="J74" s="142">
        <f t="shared" si="36"/>
        <v>0.78601546150144519</v>
      </c>
      <c r="K74" s="142">
        <f t="shared" si="36"/>
        <v>0.6679010045185646</v>
      </c>
      <c r="L74" s="142">
        <f t="shared" si="36"/>
        <v>0.56628411923742039</v>
      </c>
      <c r="M74" s="142">
        <f t="shared" si="36"/>
        <v>0.65317989103912066</v>
      </c>
      <c r="N74" s="142">
        <f t="shared" si="36"/>
        <v>0.53125974813155274</v>
      </c>
      <c r="O74" s="142">
        <f t="shared" si="36"/>
        <v>0.54613532623170269</v>
      </c>
      <c r="P74" s="142">
        <f t="shared" si="36"/>
        <v>0.67901459813910625</v>
      </c>
      <c r="Q74" s="142">
        <f t="shared" si="36"/>
        <v>1.0806882898709991</v>
      </c>
      <c r="R74" s="142">
        <f t="shared" si="36"/>
        <v>0.69832164376045247</v>
      </c>
      <c r="S74" s="142">
        <f t="shared" si="36"/>
        <v>0.79635866713449499</v>
      </c>
      <c r="U74" s="70"/>
      <c r="V74" s="53" t="s">
        <v>430</v>
      </c>
      <c r="W74" s="52" t="s">
        <v>572</v>
      </c>
      <c r="X74" s="53" t="s">
        <v>430</v>
      </c>
      <c r="Y74" s="52" t="s">
        <v>572</v>
      </c>
      <c r="Z74" s="53" t="s">
        <v>430</v>
      </c>
      <c r="AA74" s="52" t="s">
        <v>572</v>
      </c>
      <c r="AB74" s="53" t="s">
        <v>430</v>
      </c>
      <c r="AC74" s="52" t="s">
        <v>431</v>
      </c>
      <c r="AD74" s="53" t="s">
        <v>430</v>
      </c>
      <c r="AE74" s="52" t="s">
        <v>431</v>
      </c>
      <c r="AF74" s="70"/>
      <c r="AG74" s="70"/>
    </row>
    <row r="75" spans="2:33" x14ac:dyDescent="0.25">
      <c r="B75" s="70" t="s">
        <v>872</v>
      </c>
      <c r="C75" s="144" t="s">
        <v>607</v>
      </c>
      <c r="D75" s="145">
        <v>23.944402694702148</v>
      </c>
      <c r="H75" s="140">
        <f>AVERAGE(H74:J74)</f>
        <v>1.014333044492755</v>
      </c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U75" s="70"/>
      <c r="V75" s="53" t="s">
        <v>432</v>
      </c>
      <c r="W75" s="52" t="s">
        <v>1012</v>
      </c>
      <c r="X75" s="53" t="s">
        <v>432</v>
      </c>
      <c r="Y75" s="52" t="s">
        <v>1016</v>
      </c>
      <c r="Z75" s="53" t="s">
        <v>432</v>
      </c>
      <c r="AA75" s="52" t="s">
        <v>1018</v>
      </c>
      <c r="AB75" s="53" t="s">
        <v>432</v>
      </c>
      <c r="AC75" s="52" t="s">
        <v>1022</v>
      </c>
      <c r="AD75" s="53" t="s">
        <v>432</v>
      </c>
      <c r="AE75" s="52" t="s">
        <v>1026</v>
      </c>
      <c r="AF75" s="70"/>
      <c r="AG75" s="70"/>
    </row>
    <row r="76" spans="2:33" x14ac:dyDescent="0.25">
      <c r="B76" s="70" t="s">
        <v>872</v>
      </c>
      <c r="C76" s="144" t="s">
        <v>607</v>
      </c>
      <c r="D76" s="145">
        <v>23.966258753155</v>
      </c>
      <c r="H76" s="142">
        <f>H74/$H$75</f>
        <v>1.1474601956518273</v>
      </c>
      <c r="I76" s="142">
        <f t="shared" ref="I76:S76" si="37">I74/$H$75</f>
        <v>1.0776311431652832</v>
      </c>
      <c r="J76" s="142">
        <f t="shared" si="37"/>
        <v>0.7749086611828897</v>
      </c>
      <c r="K76" s="142">
        <f t="shared" si="37"/>
        <v>0.65846322186276285</v>
      </c>
      <c r="L76" s="142">
        <f t="shared" si="37"/>
        <v>0.55828223512190345</v>
      </c>
      <c r="M76" s="142">
        <f t="shared" si="37"/>
        <v>0.64395012524289907</v>
      </c>
      <c r="N76" s="142">
        <f t="shared" si="37"/>
        <v>0.52375277628584382</v>
      </c>
      <c r="O76" s="142">
        <f t="shared" si="37"/>
        <v>0.53841815486235356</v>
      </c>
      <c r="P76" s="142">
        <f t="shared" si="37"/>
        <v>0.66941977472366199</v>
      </c>
      <c r="Q76" s="142">
        <f t="shared" si="37"/>
        <v>1.0654176118371721</v>
      </c>
      <c r="R76" s="142">
        <f t="shared" si="37"/>
        <v>0.68845400191972184</v>
      </c>
      <c r="S76" s="142">
        <f t="shared" si="37"/>
        <v>0.7851057120324183</v>
      </c>
      <c r="U76" s="70"/>
      <c r="V76" s="53"/>
      <c r="W76" s="52"/>
      <c r="X76" s="53" t="s">
        <v>457</v>
      </c>
      <c r="Y76" s="52">
        <v>3</v>
      </c>
      <c r="Z76" s="53"/>
      <c r="AA76" s="52"/>
      <c r="AB76" s="53"/>
      <c r="AC76" s="52"/>
      <c r="AD76" s="53"/>
      <c r="AE76" s="52"/>
      <c r="AF76" s="70"/>
      <c r="AG76" s="70"/>
    </row>
    <row r="77" spans="2:33" ht="13.2" x14ac:dyDescent="0.25">
      <c r="B77" s="70" t="s">
        <v>872</v>
      </c>
      <c r="C77" s="144" t="s">
        <v>607</v>
      </c>
      <c r="D77" s="145">
        <v>23.849152453226001</v>
      </c>
      <c r="G77" s="134" t="s">
        <v>587</v>
      </c>
      <c r="H77" s="164">
        <f>AVERAGE(H76:J76)</f>
        <v>1</v>
      </c>
      <c r="I77" s="164"/>
      <c r="J77" s="164"/>
      <c r="K77" s="164">
        <f>AVERAGE(K76:M76)</f>
        <v>0.62023186074252179</v>
      </c>
      <c r="L77" s="164"/>
      <c r="M77" s="164"/>
      <c r="N77" s="164">
        <f>AVERAGE(N76:P76)</f>
        <v>0.57719690195728646</v>
      </c>
      <c r="O77" s="164"/>
      <c r="P77" s="164"/>
      <c r="Q77" s="164">
        <f>AVERAGE(Q76:S76)</f>
        <v>0.84632577526310404</v>
      </c>
      <c r="R77" s="164"/>
      <c r="S77" s="164"/>
      <c r="U77" s="70"/>
      <c r="V77" s="53" t="s">
        <v>434</v>
      </c>
      <c r="W77" s="52"/>
      <c r="X77" s="53"/>
      <c r="Y77" s="52"/>
      <c r="Z77" s="53" t="s">
        <v>434</v>
      </c>
      <c r="AA77" s="52"/>
      <c r="AB77" s="53" t="s">
        <v>434</v>
      </c>
      <c r="AC77" s="52"/>
      <c r="AD77" s="53" t="s">
        <v>434</v>
      </c>
      <c r="AE77" s="52"/>
      <c r="AF77" s="70"/>
      <c r="AG77" s="70"/>
    </row>
    <row r="78" spans="2:33" x14ac:dyDescent="0.25">
      <c r="B78" s="70" t="s">
        <v>491</v>
      </c>
      <c r="C78" s="70" t="s">
        <v>609</v>
      </c>
      <c r="D78" s="127">
        <v>29.739429473876953</v>
      </c>
      <c r="G78" s="134" t="s">
        <v>588</v>
      </c>
      <c r="H78" s="164">
        <f>STDEVP(H76:J76)/SQRT(COUNT(H76:J76))</f>
        <v>9.3355482194140069E-2</v>
      </c>
      <c r="I78" s="164"/>
      <c r="J78" s="164"/>
      <c r="K78" s="164">
        <f t="shared" ref="K78" si="38">STDEVP(K76:M76)/SQRT(COUNT(K76:M76))</f>
        <v>2.5521122316297818E-2</v>
      </c>
      <c r="L78" s="164"/>
      <c r="M78" s="164"/>
      <c r="N78" s="164">
        <f t="shared" ref="N78" si="39">STDEVP(N76:P76)/SQRT(COUNT(N76:P76))</f>
        <v>3.7808176741018384E-2</v>
      </c>
      <c r="O78" s="164"/>
      <c r="P78" s="164"/>
      <c r="Q78" s="164">
        <f t="shared" ref="Q78" si="40">STDEVP(Q76:S76)/SQRT(COUNT(Q76:S76))</f>
        <v>9.2299407614538032E-2</v>
      </c>
      <c r="R78" s="164"/>
      <c r="S78" s="164"/>
      <c r="U78" s="70"/>
      <c r="V78" s="53" t="s">
        <v>435</v>
      </c>
      <c r="W78" s="52">
        <v>1.002</v>
      </c>
      <c r="X78" s="53" t="s">
        <v>434</v>
      </c>
      <c r="Y78" s="52"/>
      <c r="Z78" s="53" t="s">
        <v>435</v>
      </c>
      <c r="AA78" s="52">
        <v>1.002</v>
      </c>
      <c r="AB78" s="53" t="s">
        <v>436</v>
      </c>
      <c r="AC78" s="52">
        <v>1.502</v>
      </c>
      <c r="AD78" s="53" t="s">
        <v>458</v>
      </c>
      <c r="AE78" s="52">
        <v>0.15240000000000001</v>
      </c>
      <c r="AF78" s="70"/>
      <c r="AG78" s="70"/>
    </row>
    <row r="79" spans="2:33" x14ac:dyDescent="0.25">
      <c r="B79" s="70" t="s">
        <v>491</v>
      </c>
      <c r="C79" s="70" t="s">
        <v>609</v>
      </c>
      <c r="D79" s="127">
        <v>29.202121903476002</v>
      </c>
      <c r="H79" s="147"/>
      <c r="I79" s="147"/>
      <c r="J79" s="147"/>
      <c r="K79" s="147"/>
      <c r="L79" s="147"/>
      <c r="M79" s="147"/>
      <c r="N79" s="147"/>
      <c r="Q79" s="147"/>
      <c r="U79" s="70"/>
      <c r="V79" s="53" t="s">
        <v>436</v>
      </c>
      <c r="W79" s="52">
        <v>1.502</v>
      </c>
      <c r="X79" s="53" t="s">
        <v>458</v>
      </c>
      <c r="Y79" s="52">
        <v>0.30819999999999997</v>
      </c>
      <c r="Z79" s="53" t="s">
        <v>714</v>
      </c>
      <c r="AA79" s="52">
        <v>1.4630000000000001</v>
      </c>
      <c r="AB79" s="53" t="s">
        <v>714</v>
      </c>
      <c r="AC79" s="52">
        <v>1.4630000000000001</v>
      </c>
      <c r="AD79" s="53" t="s">
        <v>459</v>
      </c>
      <c r="AE79" s="52">
        <v>0.1057</v>
      </c>
      <c r="AF79" s="70"/>
      <c r="AG79" s="70"/>
    </row>
    <row r="80" spans="2:33" x14ac:dyDescent="0.25">
      <c r="B80" s="70" t="s">
        <v>491</v>
      </c>
      <c r="C80" s="70" t="s">
        <v>609</v>
      </c>
      <c r="D80" s="127">
        <v>29.871245301542999</v>
      </c>
      <c r="H80" s="147"/>
      <c r="J80" s="147"/>
      <c r="K80" s="147"/>
      <c r="L80" s="147"/>
      <c r="M80" s="147"/>
      <c r="N80" s="147"/>
      <c r="P80" s="147"/>
      <c r="Q80" s="147"/>
      <c r="U80" s="70"/>
      <c r="V80" s="53" t="s">
        <v>437</v>
      </c>
      <c r="W80" s="52" t="s">
        <v>1013</v>
      </c>
      <c r="X80" s="53" t="s">
        <v>459</v>
      </c>
      <c r="Y80" s="52">
        <v>0.14080000000000001</v>
      </c>
      <c r="Z80" s="53" t="s">
        <v>982</v>
      </c>
      <c r="AA80" s="52" t="s">
        <v>1019</v>
      </c>
      <c r="AB80" s="53" t="s">
        <v>715</v>
      </c>
      <c r="AC80" s="52" t="s">
        <v>1023</v>
      </c>
      <c r="AD80" s="53" t="s">
        <v>460</v>
      </c>
      <c r="AE80" s="52">
        <v>6.0999999999999999E-2</v>
      </c>
      <c r="AF80" s="70"/>
      <c r="AG80" s="70"/>
    </row>
    <row r="81" spans="2:33" x14ac:dyDescent="0.25">
      <c r="B81" s="70" t="s">
        <v>352</v>
      </c>
      <c r="C81" s="70" t="s">
        <v>609</v>
      </c>
      <c r="D81" s="127">
        <v>29.739429473876953</v>
      </c>
      <c r="H81" s="147"/>
      <c r="J81" s="147"/>
      <c r="K81" s="147"/>
      <c r="L81" s="147"/>
      <c r="M81" s="147"/>
      <c r="N81" s="147"/>
      <c r="P81" s="147"/>
      <c r="Q81" s="147"/>
      <c r="U81" s="70"/>
      <c r="V81" s="53" t="s">
        <v>439</v>
      </c>
      <c r="W81" s="52" t="s">
        <v>1014</v>
      </c>
      <c r="X81" s="53" t="s">
        <v>460</v>
      </c>
      <c r="Y81" s="52">
        <v>8.1299999999999997E-2</v>
      </c>
      <c r="Z81" s="53" t="s">
        <v>439</v>
      </c>
      <c r="AA81" s="52" t="s">
        <v>1020</v>
      </c>
      <c r="AB81" s="53" t="s">
        <v>439</v>
      </c>
      <c r="AC81" s="52" t="s">
        <v>1024</v>
      </c>
      <c r="AD81" s="53" t="s">
        <v>439</v>
      </c>
      <c r="AE81" s="52" t="s">
        <v>1027</v>
      </c>
      <c r="AF81" s="70"/>
      <c r="AG81" s="70"/>
    </row>
    <row r="82" spans="2:33" x14ac:dyDescent="0.25">
      <c r="B82" s="70" t="s">
        <v>352</v>
      </c>
      <c r="C82" s="70" t="s">
        <v>609</v>
      </c>
      <c r="D82" s="127">
        <v>29.441527413578001</v>
      </c>
      <c r="H82" s="147"/>
      <c r="J82" s="147"/>
      <c r="K82" s="147"/>
      <c r="L82" s="147"/>
      <c r="M82" s="147"/>
      <c r="U82" s="70"/>
      <c r="V82" s="53" t="s">
        <v>441</v>
      </c>
      <c r="W82" s="52">
        <v>0.77090000000000003</v>
      </c>
      <c r="X82" s="53" t="s">
        <v>439</v>
      </c>
      <c r="Y82" s="52" t="s">
        <v>1017</v>
      </c>
      <c r="Z82" s="53" t="s">
        <v>441</v>
      </c>
      <c r="AA82" s="52">
        <v>0.88819999999999999</v>
      </c>
      <c r="AB82" s="53" t="s">
        <v>441</v>
      </c>
      <c r="AC82" s="52">
        <v>2.989E-2</v>
      </c>
      <c r="AD82" s="53" t="s">
        <v>462</v>
      </c>
      <c r="AE82" s="52">
        <v>0.75719999999999998</v>
      </c>
      <c r="AF82" s="70"/>
      <c r="AG82" s="70"/>
    </row>
    <row r="83" spans="2:33" x14ac:dyDescent="0.25">
      <c r="B83" s="70" t="s">
        <v>352</v>
      </c>
      <c r="C83" s="70" t="s">
        <v>609</v>
      </c>
      <c r="D83" s="127">
        <v>29.653966765614999</v>
      </c>
      <c r="H83" s="147"/>
      <c r="I83" s="147"/>
      <c r="J83" s="147"/>
      <c r="K83" s="147"/>
      <c r="L83" s="147"/>
      <c r="M83" s="147"/>
      <c r="U83" s="70"/>
      <c r="V83" s="53"/>
      <c r="W83" s="52"/>
      <c r="X83" s="53" t="s">
        <v>462</v>
      </c>
      <c r="Y83" s="52">
        <v>0.87780000000000002</v>
      </c>
      <c r="Z83" s="53"/>
      <c r="AA83" s="52"/>
      <c r="AB83" s="53"/>
      <c r="AC83" s="52"/>
      <c r="AD83" s="53"/>
      <c r="AE83" s="52"/>
      <c r="AF83" s="70"/>
      <c r="AG83" s="70"/>
    </row>
    <row r="84" spans="2:33" x14ac:dyDescent="0.25">
      <c r="B84" s="70" t="s">
        <v>347</v>
      </c>
      <c r="C84" s="70" t="s">
        <v>609</v>
      </c>
      <c r="D84" s="127">
        <v>29.282623291015625</v>
      </c>
      <c r="U84" s="70"/>
      <c r="V84" s="53" t="s">
        <v>442</v>
      </c>
      <c r="W84" s="52"/>
      <c r="X84" s="53"/>
      <c r="Y84" s="52"/>
      <c r="Z84" s="53" t="s">
        <v>442</v>
      </c>
      <c r="AA84" s="52"/>
      <c r="AB84" s="53" t="s">
        <v>442</v>
      </c>
      <c r="AC84" s="52"/>
      <c r="AD84" s="53" t="s">
        <v>463</v>
      </c>
      <c r="AE84" s="52"/>
      <c r="AF84" s="70"/>
      <c r="AG84" s="70"/>
    </row>
    <row r="85" spans="2:33" x14ac:dyDescent="0.25">
      <c r="B85" s="70" t="s">
        <v>347</v>
      </c>
      <c r="C85" s="70" t="s">
        <v>609</v>
      </c>
      <c r="D85" s="127">
        <v>29.152742537559</v>
      </c>
      <c r="U85" s="70"/>
      <c r="V85" s="53" t="s">
        <v>443</v>
      </c>
      <c r="W85" s="52" t="s">
        <v>1015</v>
      </c>
      <c r="X85" s="53" t="s">
        <v>463</v>
      </c>
      <c r="Y85" s="52"/>
      <c r="Z85" s="53" t="s">
        <v>443</v>
      </c>
      <c r="AA85" s="52" t="s">
        <v>1021</v>
      </c>
      <c r="AB85" s="53" t="s">
        <v>443</v>
      </c>
      <c r="AC85" s="52" t="s">
        <v>1025</v>
      </c>
      <c r="AD85" s="53" t="s">
        <v>464</v>
      </c>
      <c r="AE85" s="52">
        <v>-0.9415</v>
      </c>
      <c r="AF85" s="70"/>
      <c r="AG85" s="70"/>
    </row>
    <row r="86" spans="2:33" x14ac:dyDescent="0.25">
      <c r="B86" s="70" t="s">
        <v>347</v>
      </c>
      <c r="C86" s="70" t="s">
        <v>609</v>
      </c>
      <c r="D86" s="127">
        <v>29.923871173388999</v>
      </c>
      <c r="U86" s="70"/>
      <c r="V86" s="53" t="s">
        <v>425</v>
      </c>
      <c r="W86" s="52">
        <v>0.70420000000000005</v>
      </c>
      <c r="X86" s="53" t="s">
        <v>464</v>
      </c>
      <c r="Y86" s="52">
        <v>0.29270000000000002</v>
      </c>
      <c r="Z86" s="53" t="s">
        <v>425</v>
      </c>
      <c r="AA86" s="52">
        <v>4.6699999999999998E-2</v>
      </c>
      <c r="AB86" s="53" t="s">
        <v>425</v>
      </c>
      <c r="AC86" s="52">
        <v>2.5600000000000001E-2</v>
      </c>
      <c r="AD86" s="53" t="s">
        <v>465</v>
      </c>
      <c r="AE86" s="52">
        <v>0.1094</v>
      </c>
      <c r="AF86" s="70"/>
      <c r="AG86" s="70"/>
    </row>
    <row r="87" spans="2:33" x14ac:dyDescent="0.25">
      <c r="B87" s="70" t="s">
        <v>608</v>
      </c>
      <c r="C87" s="70" t="s">
        <v>609</v>
      </c>
      <c r="D87" s="127">
        <v>26.794889450073242</v>
      </c>
      <c r="U87" s="70"/>
      <c r="V87" s="53" t="s">
        <v>426</v>
      </c>
      <c r="W87" s="52" t="s">
        <v>445</v>
      </c>
      <c r="X87" s="53" t="s">
        <v>465</v>
      </c>
      <c r="Y87" s="52">
        <v>0.40539999999999998</v>
      </c>
      <c r="Z87" s="53" t="s">
        <v>426</v>
      </c>
      <c r="AA87" s="52" t="s">
        <v>508</v>
      </c>
      <c r="AB87" s="53" t="s">
        <v>426</v>
      </c>
      <c r="AC87" s="52" t="s">
        <v>508</v>
      </c>
      <c r="AD87" s="53" t="s">
        <v>426</v>
      </c>
      <c r="AE87" s="52" t="s">
        <v>445</v>
      </c>
      <c r="AF87" s="70"/>
      <c r="AG87" s="70"/>
    </row>
    <row r="88" spans="2:33" x14ac:dyDescent="0.25">
      <c r="B88" s="70" t="s">
        <v>608</v>
      </c>
      <c r="C88" s="70" t="s">
        <v>609</v>
      </c>
      <c r="D88" s="127">
        <v>26.760467599731999</v>
      </c>
      <c r="U88" s="70"/>
      <c r="V88" s="53" t="s">
        <v>428</v>
      </c>
      <c r="W88" s="52" t="s">
        <v>446</v>
      </c>
      <c r="X88" s="53" t="s">
        <v>426</v>
      </c>
      <c r="Y88" s="52" t="s">
        <v>445</v>
      </c>
      <c r="Z88" s="53" t="s">
        <v>428</v>
      </c>
      <c r="AA88" s="52" t="s">
        <v>429</v>
      </c>
      <c r="AB88" s="53" t="s">
        <v>428</v>
      </c>
      <c r="AC88" s="52" t="s">
        <v>429</v>
      </c>
      <c r="AD88" s="53" t="s">
        <v>466</v>
      </c>
      <c r="AE88" s="52" t="s">
        <v>446</v>
      </c>
      <c r="AF88" s="70"/>
      <c r="AG88" s="70"/>
    </row>
    <row r="89" spans="2:33" x14ac:dyDescent="0.25">
      <c r="B89" s="70" t="s">
        <v>608</v>
      </c>
      <c r="C89" s="70" t="s">
        <v>609</v>
      </c>
      <c r="D89" s="127">
        <v>26.751479312983999</v>
      </c>
      <c r="U89" s="70"/>
      <c r="V89" s="53"/>
      <c r="W89" s="52"/>
      <c r="X89" s="70"/>
      <c r="Y89" s="70"/>
      <c r="Z89" s="70"/>
      <c r="AA89" s="70"/>
      <c r="AB89" s="53"/>
      <c r="AC89" s="52"/>
      <c r="AF89" s="70"/>
      <c r="AG89" s="70"/>
    </row>
    <row r="90" spans="2:33" x14ac:dyDescent="0.25">
      <c r="B90" s="70" t="s">
        <v>602</v>
      </c>
      <c r="C90" s="70" t="s">
        <v>609</v>
      </c>
      <c r="D90" s="127">
        <v>27.070606231689453</v>
      </c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</row>
    <row r="91" spans="2:33" x14ac:dyDescent="0.25">
      <c r="B91" s="70" t="s">
        <v>602</v>
      </c>
      <c r="C91" s="70" t="s">
        <v>609</v>
      </c>
      <c r="D91" s="127">
        <v>27.128685045838999</v>
      </c>
      <c r="U91" s="70" t="s">
        <v>610</v>
      </c>
      <c r="V91" s="70">
        <v>0.97806564273751107</v>
      </c>
      <c r="W91" s="70">
        <v>0.8460374628657461</v>
      </c>
      <c r="X91" s="70">
        <v>1.1758968943967425</v>
      </c>
      <c r="Y91" s="70">
        <v>1.1817740544408839</v>
      </c>
      <c r="Z91" s="70">
        <v>1.0661388872932418</v>
      </c>
      <c r="AA91" s="70">
        <v>1.121076542004636</v>
      </c>
      <c r="AB91" s="70">
        <v>1.0002888257173308</v>
      </c>
      <c r="AC91" s="70">
        <v>1.0043684582057522</v>
      </c>
      <c r="AD91" s="70">
        <v>1.1027999607073629</v>
      </c>
      <c r="AE91" s="70">
        <v>1.0573712425683142</v>
      </c>
      <c r="AF91" s="70">
        <v>1.0103953187000787</v>
      </c>
      <c r="AG91" s="70">
        <v>0.83808072157082081</v>
      </c>
    </row>
    <row r="92" spans="2:33" x14ac:dyDescent="0.25">
      <c r="B92" s="70" t="s">
        <v>602</v>
      </c>
      <c r="C92" s="70" t="s">
        <v>609</v>
      </c>
      <c r="D92" s="127">
        <v>27.105240215978998</v>
      </c>
      <c r="U92" s="70" t="s">
        <v>605</v>
      </c>
      <c r="V92" s="87" t="s">
        <v>606</v>
      </c>
      <c r="W92" s="70"/>
      <c r="X92" s="87" t="s">
        <v>704</v>
      </c>
      <c r="Y92" s="70"/>
      <c r="Z92" s="87" t="s">
        <v>866</v>
      </c>
      <c r="AA92" s="70"/>
      <c r="AB92" s="87" t="s">
        <v>705</v>
      </c>
      <c r="AC92" s="70"/>
      <c r="AD92" s="87" t="s">
        <v>706</v>
      </c>
      <c r="AE92" s="70"/>
      <c r="AF92" s="70"/>
      <c r="AG92" s="70"/>
    </row>
    <row r="93" spans="2:33" ht="15.6" x14ac:dyDescent="0.25">
      <c r="B93" s="70" t="s">
        <v>603</v>
      </c>
      <c r="C93" s="70" t="s">
        <v>609</v>
      </c>
      <c r="D93" s="127">
        <v>26.777309417724609</v>
      </c>
      <c r="U93" s="70"/>
      <c r="V93" s="53" t="s">
        <v>419</v>
      </c>
      <c r="W93" s="52" t="s">
        <v>991</v>
      </c>
      <c r="X93" s="53" t="s">
        <v>684</v>
      </c>
      <c r="Y93" s="52" t="s">
        <v>843</v>
      </c>
      <c r="Z93" s="53" t="s">
        <v>710</v>
      </c>
      <c r="AA93" s="52" t="s">
        <v>986</v>
      </c>
      <c r="AB93" s="53" t="s">
        <v>710</v>
      </c>
      <c r="AC93" s="52" t="s">
        <v>986</v>
      </c>
      <c r="AD93" s="53" t="s">
        <v>710</v>
      </c>
      <c r="AE93" s="52" t="s">
        <v>986</v>
      </c>
      <c r="AF93" s="70"/>
      <c r="AG93" s="70"/>
    </row>
    <row r="94" spans="2:33" x14ac:dyDescent="0.25">
      <c r="B94" s="70" t="s">
        <v>603</v>
      </c>
      <c r="C94" s="70" t="s">
        <v>609</v>
      </c>
      <c r="D94" s="127">
        <v>26.775748249389</v>
      </c>
      <c r="U94" s="70"/>
      <c r="V94" s="53" t="s">
        <v>421</v>
      </c>
      <c r="W94" s="52" t="s">
        <v>421</v>
      </c>
      <c r="X94" s="53" t="s">
        <v>421</v>
      </c>
      <c r="Y94" s="52" t="s">
        <v>421</v>
      </c>
      <c r="Z94" s="53" t="s">
        <v>421</v>
      </c>
      <c r="AA94" s="52" t="s">
        <v>421</v>
      </c>
      <c r="AB94" s="53" t="s">
        <v>421</v>
      </c>
      <c r="AC94" s="52" t="s">
        <v>421</v>
      </c>
      <c r="AD94" s="53" t="s">
        <v>421</v>
      </c>
      <c r="AE94" s="52" t="s">
        <v>421</v>
      </c>
      <c r="AF94" s="70"/>
      <c r="AG94" s="70"/>
    </row>
    <row r="95" spans="2:33" ht="15.6" x14ac:dyDescent="0.25">
      <c r="B95" s="70" t="s">
        <v>603</v>
      </c>
      <c r="C95" s="70" t="s">
        <v>609</v>
      </c>
      <c r="D95" s="127">
        <v>26.734512263298999</v>
      </c>
      <c r="T95" s="148"/>
      <c r="U95" s="70"/>
      <c r="V95" s="53" t="s">
        <v>422</v>
      </c>
      <c r="W95" s="52" t="s">
        <v>892</v>
      </c>
      <c r="X95" s="53" t="s">
        <v>422</v>
      </c>
      <c r="Y95" s="52" t="s">
        <v>892</v>
      </c>
      <c r="Z95" s="53" t="s">
        <v>422</v>
      </c>
      <c r="AA95" s="52" t="s">
        <v>892</v>
      </c>
      <c r="AB95" s="53" t="s">
        <v>419</v>
      </c>
      <c r="AC95" s="52" t="s">
        <v>991</v>
      </c>
      <c r="AD95" s="53" t="s">
        <v>684</v>
      </c>
      <c r="AE95" s="52" t="s">
        <v>843</v>
      </c>
      <c r="AF95" s="70"/>
      <c r="AG95" s="70"/>
    </row>
    <row r="96" spans="2:33" x14ac:dyDescent="0.25">
      <c r="B96" s="70" t="s">
        <v>867</v>
      </c>
      <c r="C96" s="70" t="s">
        <v>609</v>
      </c>
      <c r="D96" s="127">
        <v>26.688920974731445</v>
      </c>
      <c r="T96" s="148"/>
      <c r="U96" s="70"/>
      <c r="V96" s="53"/>
      <c r="W96" s="52"/>
      <c r="X96" s="53"/>
      <c r="Y96" s="52"/>
      <c r="Z96" s="53"/>
      <c r="AA96" s="52"/>
      <c r="AB96" s="53"/>
      <c r="AC96" s="52"/>
      <c r="AD96" s="53"/>
      <c r="AE96" s="52"/>
      <c r="AF96" s="70"/>
      <c r="AG96" s="70"/>
    </row>
    <row r="97" spans="2:33" x14ac:dyDescent="0.25">
      <c r="B97" s="70" t="s">
        <v>867</v>
      </c>
      <c r="C97" s="70" t="s">
        <v>609</v>
      </c>
      <c r="D97" s="127">
        <v>26.692494760153</v>
      </c>
      <c r="T97" s="148"/>
      <c r="U97" s="70"/>
      <c r="V97" s="53" t="s">
        <v>424</v>
      </c>
      <c r="W97" s="52"/>
      <c r="X97" s="53" t="s">
        <v>424</v>
      </c>
      <c r="Y97" s="52"/>
      <c r="Z97" s="53" t="s">
        <v>424</v>
      </c>
      <c r="AA97" s="52"/>
      <c r="AB97" s="53" t="s">
        <v>424</v>
      </c>
      <c r="AC97" s="52"/>
      <c r="AD97" s="53" t="s">
        <v>424</v>
      </c>
      <c r="AE97" s="52"/>
      <c r="AF97" s="70"/>
      <c r="AG97" s="70"/>
    </row>
    <row r="98" spans="2:33" x14ac:dyDescent="0.25">
      <c r="B98" s="70" t="s">
        <v>867</v>
      </c>
      <c r="C98" s="70" t="s">
        <v>609</v>
      </c>
      <c r="D98" s="127">
        <v>26.664679370891999</v>
      </c>
      <c r="T98" s="148"/>
      <c r="U98" s="70"/>
      <c r="V98" s="53" t="s">
        <v>425</v>
      </c>
      <c r="W98" s="52">
        <v>0.14610000000000001</v>
      </c>
      <c r="X98" s="53" t="s">
        <v>425</v>
      </c>
      <c r="Y98" s="52">
        <v>0.371</v>
      </c>
      <c r="Z98" s="53" t="s">
        <v>425</v>
      </c>
      <c r="AA98" s="52">
        <v>0.4007</v>
      </c>
      <c r="AB98" s="53" t="s">
        <v>425</v>
      </c>
      <c r="AC98" s="52">
        <v>0.1072</v>
      </c>
      <c r="AD98" s="53" t="s">
        <v>425</v>
      </c>
      <c r="AE98" s="52">
        <v>0.41870000000000002</v>
      </c>
      <c r="AF98" s="70"/>
      <c r="AG98" s="70"/>
    </row>
    <row r="99" spans="2:33" x14ac:dyDescent="0.25">
      <c r="B99" s="70" t="s">
        <v>868</v>
      </c>
      <c r="C99" s="70" t="s">
        <v>609</v>
      </c>
      <c r="D99" s="127">
        <v>26.907951354980401</v>
      </c>
      <c r="T99" s="148"/>
      <c r="U99" s="70"/>
      <c r="V99" s="53" t="s">
        <v>426</v>
      </c>
      <c r="W99" s="52" t="s">
        <v>445</v>
      </c>
      <c r="X99" s="53" t="s">
        <v>426</v>
      </c>
      <c r="Y99" s="52" t="s">
        <v>445</v>
      </c>
      <c r="Z99" s="53" t="s">
        <v>426</v>
      </c>
      <c r="AA99" s="52" t="s">
        <v>445</v>
      </c>
      <c r="AB99" s="53" t="s">
        <v>426</v>
      </c>
      <c r="AC99" s="52" t="s">
        <v>445</v>
      </c>
      <c r="AD99" s="53" t="s">
        <v>426</v>
      </c>
      <c r="AE99" s="52" t="s">
        <v>445</v>
      </c>
      <c r="AF99" s="70"/>
      <c r="AG99" s="70"/>
    </row>
    <row r="100" spans="2:33" x14ac:dyDescent="0.25">
      <c r="B100" s="70" t="s">
        <v>868</v>
      </c>
      <c r="C100" s="70" t="s">
        <v>609</v>
      </c>
      <c r="D100" s="127">
        <v>26.964256241584</v>
      </c>
      <c r="T100" s="148"/>
      <c r="U100" s="70"/>
      <c r="V100" s="53" t="s">
        <v>428</v>
      </c>
      <c r="W100" s="52" t="s">
        <v>446</v>
      </c>
      <c r="X100" s="53" t="s">
        <v>428</v>
      </c>
      <c r="Y100" s="52" t="s">
        <v>446</v>
      </c>
      <c r="Z100" s="53" t="s">
        <v>428</v>
      </c>
      <c r="AA100" s="52" t="s">
        <v>446</v>
      </c>
      <c r="AB100" s="53" t="s">
        <v>428</v>
      </c>
      <c r="AC100" s="52" t="s">
        <v>446</v>
      </c>
      <c r="AD100" s="53" t="s">
        <v>428</v>
      </c>
      <c r="AE100" s="52" t="s">
        <v>446</v>
      </c>
      <c r="AF100" s="70"/>
      <c r="AG100" s="70"/>
    </row>
    <row r="101" spans="2:33" x14ac:dyDescent="0.25">
      <c r="B101" s="70" t="s">
        <v>868</v>
      </c>
      <c r="C101" s="70" t="s">
        <v>609</v>
      </c>
      <c r="D101" s="127">
        <v>26.937866384589</v>
      </c>
      <c r="T101" s="148"/>
      <c r="U101" s="70"/>
      <c r="V101" s="53" t="s">
        <v>430</v>
      </c>
      <c r="W101" s="52" t="s">
        <v>572</v>
      </c>
      <c r="X101" s="53" t="s">
        <v>430</v>
      </c>
      <c r="Y101" s="52" t="s">
        <v>572</v>
      </c>
      <c r="Z101" s="53" t="s">
        <v>430</v>
      </c>
      <c r="AA101" s="52" t="s">
        <v>572</v>
      </c>
      <c r="AB101" s="53" t="s">
        <v>430</v>
      </c>
      <c r="AC101" s="52" t="s">
        <v>431</v>
      </c>
      <c r="AD101" s="53" t="s">
        <v>430</v>
      </c>
      <c r="AE101" s="52" t="s">
        <v>431</v>
      </c>
      <c r="AF101" s="70"/>
      <c r="AG101" s="70"/>
    </row>
    <row r="102" spans="2:33" x14ac:dyDescent="0.25">
      <c r="B102" s="70" t="s">
        <v>869</v>
      </c>
      <c r="C102" s="70" t="s">
        <v>609</v>
      </c>
      <c r="D102" s="127">
        <v>26.922515869140625</v>
      </c>
      <c r="T102" s="148"/>
      <c r="U102" s="70"/>
      <c r="V102" s="53" t="s">
        <v>432</v>
      </c>
      <c r="W102" s="52" t="s">
        <v>1028</v>
      </c>
      <c r="X102" s="53" t="s">
        <v>432</v>
      </c>
      <c r="Y102" s="52" t="s">
        <v>1032</v>
      </c>
      <c r="Z102" s="53" t="s">
        <v>432</v>
      </c>
      <c r="AA102" s="52" t="s">
        <v>1036</v>
      </c>
      <c r="AB102" s="53" t="s">
        <v>432</v>
      </c>
      <c r="AC102" s="52" t="s">
        <v>1040</v>
      </c>
      <c r="AD102" s="53" t="s">
        <v>432</v>
      </c>
      <c r="AE102" s="52" t="s">
        <v>1044</v>
      </c>
      <c r="AF102" s="70"/>
      <c r="AG102" s="70"/>
    </row>
    <row r="103" spans="2:33" x14ac:dyDescent="0.25">
      <c r="B103" s="70" t="s">
        <v>869</v>
      </c>
      <c r="C103" s="70" t="s">
        <v>609</v>
      </c>
      <c r="D103" s="127">
        <v>26.91147980189</v>
      </c>
      <c r="T103" s="148"/>
      <c r="U103" s="70"/>
      <c r="V103" s="53"/>
      <c r="W103" s="52"/>
      <c r="X103" s="53"/>
      <c r="Y103" s="52"/>
      <c r="Z103" s="53"/>
      <c r="AA103" s="52"/>
      <c r="AB103" s="53"/>
      <c r="AC103" s="52"/>
      <c r="AD103" s="53"/>
      <c r="AE103" s="52"/>
      <c r="AF103" s="70"/>
      <c r="AG103" s="70"/>
    </row>
    <row r="104" spans="2:33" x14ac:dyDescent="0.25">
      <c r="B104" s="70" t="s">
        <v>869</v>
      </c>
      <c r="C104" s="70" t="s">
        <v>609</v>
      </c>
      <c r="D104" s="127">
        <v>26.900029428220002</v>
      </c>
      <c r="T104" s="148"/>
      <c r="U104" s="70"/>
      <c r="V104" s="53" t="s">
        <v>434</v>
      </c>
      <c r="W104" s="52"/>
      <c r="X104" s="53" t="s">
        <v>434</v>
      </c>
      <c r="Y104" s="52"/>
      <c r="Z104" s="53" t="s">
        <v>434</v>
      </c>
      <c r="AA104" s="52"/>
      <c r="AB104" s="53" t="s">
        <v>434</v>
      </c>
      <c r="AC104" s="52"/>
      <c r="AD104" s="53" t="s">
        <v>434</v>
      </c>
      <c r="AE104" s="52"/>
      <c r="AF104" s="70"/>
      <c r="AG104" s="70"/>
    </row>
    <row r="105" spans="2:33" x14ac:dyDescent="0.25">
      <c r="B105" s="70" t="s">
        <v>870</v>
      </c>
      <c r="C105" s="70" t="s">
        <v>609</v>
      </c>
      <c r="D105" s="127">
        <v>26.284694671630859</v>
      </c>
      <c r="T105" s="148"/>
      <c r="U105" s="70"/>
      <c r="V105" s="53" t="s">
        <v>435</v>
      </c>
      <c r="W105" s="52">
        <v>1</v>
      </c>
      <c r="X105" s="53" t="s">
        <v>435</v>
      </c>
      <c r="Y105" s="52">
        <v>1</v>
      </c>
      <c r="Z105" s="53" t="s">
        <v>435</v>
      </c>
      <c r="AA105" s="52">
        <v>1</v>
      </c>
      <c r="AB105" s="53" t="s">
        <v>436</v>
      </c>
      <c r="AC105" s="52">
        <v>1.123</v>
      </c>
      <c r="AD105" s="53" t="s">
        <v>687</v>
      </c>
      <c r="AE105" s="52">
        <v>1.036</v>
      </c>
      <c r="AF105" s="70"/>
      <c r="AG105" s="70"/>
    </row>
    <row r="106" spans="2:33" x14ac:dyDescent="0.25">
      <c r="B106" s="70" t="s">
        <v>870</v>
      </c>
      <c r="C106" s="70" t="s">
        <v>609</v>
      </c>
      <c r="D106" s="127">
        <v>26.306033608941998</v>
      </c>
      <c r="T106" s="148"/>
      <c r="U106" s="70"/>
      <c r="V106" s="53" t="s">
        <v>436</v>
      </c>
      <c r="W106" s="52">
        <v>1.123</v>
      </c>
      <c r="X106" s="53" t="s">
        <v>687</v>
      </c>
      <c r="Y106" s="52">
        <v>1.036</v>
      </c>
      <c r="Z106" s="53" t="s">
        <v>714</v>
      </c>
      <c r="AA106" s="52">
        <v>0.96860000000000002</v>
      </c>
      <c r="AB106" s="53" t="s">
        <v>714</v>
      </c>
      <c r="AC106" s="52">
        <v>0.96860000000000002</v>
      </c>
      <c r="AD106" s="53" t="s">
        <v>714</v>
      </c>
      <c r="AE106" s="52">
        <v>0.96860000000000002</v>
      </c>
      <c r="AF106" s="70"/>
      <c r="AG106" s="70"/>
    </row>
    <row r="107" spans="2:33" x14ac:dyDescent="0.25">
      <c r="B107" s="70" t="s">
        <v>870</v>
      </c>
      <c r="C107" s="70" t="s">
        <v>609</v>
      </c>
      <c r="D107" s="127">
        <v>26.281001796790001</v>
      </c>
      <c r="T107" s="148"/>
      <c r="U107" s="70"/>
      <c r="V107" s="53" t="s">
        <v>437</v>
      </c>
      <c r="W107" s="52" t="s">
        <v>1029</v>
      </c>
      <c r="X107" s="53" t="s">
        <v>688</v>
      </c>
      <c r="Y107" s="52" t="s">
        <v>1033</v>
      </c>
      <c r="Z107" s="53" t="s">
        <v>982</v>
      </c>
      <c r="AA107" s="52" t="s">
        <v>1037</v>
      </c>
      <c r="AB107" s="53" t="s">
        <v>715</v>
      </c>
      <c r="AC107" s="52" t="s">
        <v>1041</v>
      </c>
      <c r="AD107" s="53" t="s">
        <v>721</v>
      </c>
      <c r="AE107" s="52" t="s">
        <v>1045</v>
      </c>
      <c r="AF107" s="70"/>
      <c r="AG107" s="70"/>
    </row>
    <row r="108" spans="2:33" x14ac:dyDescent="0.25">
      <c r="B108" s="70" t="s">
        <v>871</v>
      </c>
      <c r="C108" s="70" t="s">
        <v>609</v>
      </c>
      <c r="D108" s="127">
        <v>26.348628997802734</v>
      </c>
      <c r="T108" s="148"/>
      <c r="U108" s="70"/>
      <c r="V108" s="53" t="s">
        <v>439</v>
      </c>
      <c r="W108" s="52" t="s">
        <v>1030</v>
      </c>
      <c r="X108" s="53" t="s">
        <v>439</v>
      </c>
      <c r="Y108" s="52" t="s">
        <v>1034</v>
      </c>
      <c r="Z108" s="53" t="s">
        <v>439</v>
      </c>
      <c r="AA108" s="52" t="s">
        <v>1038</v>
      </c>
      <c r="AB108" s="53" t="s">
        <v>439</v>
      </c>
      <c r="AC108" s="52" t="s">
        <v>1042</v>
      </c>
      <c r="AD108" s="53" t="s">
        <v>439</v>
      </c>
      <c r="AE108" s="52" t="s">
        <v>1046</v>
      </c>
      <c r="AF108" s="70"/>
      <c r="AG108" s="70"/>
    </row>
    <row r="109" spans="2:33" x14ac:dyDescent="0.25">
      <c r="B109" s="70" t="s">
        <v>871</v>
      </c>
      <c r="C109" s="70" t="s">
        <v>609</v>
      </c>
      <c r="D109" s="127">
        <v>26.357303962313999</v>
      </c>
      <c r="T109" s="148"/>
      <c r="U109" s="70"/>
      <c r="V109" s="53" t="s">
        <v>441</v>
      </c>
      <c r="W109" s="52">
        <v>0.26850000000000002</v>
      </c>
      <c r="X109" s="53" t="s">
        <v>441</v>
      </c>
      <c r="Y109" s="52">
        <v>3.0169999999999999E-2</v>
      </c>
      <c r="Z109" s="53" t="s">
        <v>441</v>
      </c>
      <c r="AA109" s="52">
        <v>1.7739999999999999E-2</v>
      </c>
      <c r="AB109" s="53" t="s">
        <v>441</v>
      </c>
      <c r="AC109" s="52">
        <v>0.51729999999999998</v>
      </c>
      <c r="AD109" s="53" t="s">
        <v>441</v>
      </c>
      <c r="AE109" s="52">
        <v>0.1686</v>
      </c>
      <c r="AF109" s="70"/>
      <c r="AG109" s="70"/>
    </row>
    <row r="110" spans="2:33" x14ac:dyDescent="0.25">
      <c r="B110" s="70" t="s">
        <v>871</v>
      </c>
      <c r="C110" s="70" t="s">
        <v>609</v>
      </c>
      <c r="D110" s="127">
        <v>26.313876200978999</v>
      </c>
      <c r="T110" s="148"/>
      <c r="U110" s="70"/>
      <c r="V110" s="53"/>
      <c r="W110" s="52"/>
      <c r="X110" s="53"/>
      <c r="Y110" s="52"/>
      <c r="Z110" s="53"/>
      <c r="AA110" s="52"/>
      <c r="AB110" s="53"/>
      <c r="AC110" s="52"/>
      <c r="AD110" s="53"/>
      <c r="AE110" s="52"/>
      <c r="AF110" s="70"/>
      <c r="AG110" s="70"/>
    </row>
    <row r="111" spans="2:33" x14ac:dyDescent="0.25">
      <c r="B111" s="70" t="s">
        <v>872</v>
      </c>
      <c r="C111" s="70" t="s">
        <v>609</v>
      </c>
      <c r="D111" s="127">
        <v>26.392877578735352</v>
      </c>
      <c r="T111" s="148"/>
      <c r="U111" s="70"/>
      <c r="V111" s="53" t="s">
        <v>442</v>
      </c>
      <c r="W111" s="52"/>
      <c r="X111" s="53" t="s">
        <v>442</v>
      </c>
      <c r="Y111" s="52"/>
      <c r="Z111" s="53" t="s">
        <v>442</v>
      </c>
      <c r="AA111" s="52"/>
      <c r="AB111" s="53" t="s">
        <v>442</v>
      </c>
      <c r="AC111" s="52"/>
      <c r="AD111" s="53" t="s">
        <v>442</v>
      </c>
      <c r="AE111" s="52"/>
      <c r="AF111" s="70"/>
      <c r="AG111" s="70"/>
    </row>
    <row r="112" spans="2:33" x14ac:dyDescent="0.25">
      <c r="B112" s="70" t="s">
        <v>872</v>
      </c>
      <c r="C112" s="70" t="s">
        <v>609</v>
      </c>
      <c r="D112" s="127">
        <v>26.360502666896998</v>
      </c>
      <c r="T112" s="148"/>
      <c r="U112" s="70"/>
      <c r="V112" s="53" t="s">
        <v>443</v>
      </c>
      <c r="W112" s="52" t="s">
        <v>1031</v>
      </c>
      <c r="X112" s="53" t="s">
        <v>443</v>
      </c>
      <c r="Y112" s="52" t="s">
        <v>1035</v>
      </c>
      <c r="Z112" s="53" t="s">
        <v>443</v>
      </c>
      <c r="AA112" s="52" t="s">
        <v>1039</v>
      </c>
      <c r="AB112" s="53" t="s">
        <v>443</v>
      </c>
      <c r="AC112" s="52" t="s">
        <v>1043</v>
      </c>
      <c r="AD112" s="53" t="s">
        <v>443</v>
      </c>
      <c r="AE112" s="52" t="s">
        <v>1047</v>
      </c>
      <c r="AF112" s="70"/>
      <c r="AG112" s="70"/>
    </row>
    <row r="113" spans="2:33" x14ac:dyDescent="0.25">
      <c r="B113" s="70" t="s">
        <v>872</v>
      </c>
      <c r="C113" s="70" t="s">
        <v>609</v>
      </c>
      <c r="D113" s="127">
        <v>26.310231126323998</v>
      </c>
      <c r="T113" s="148"/>
      <c r="U113" s="70"/>
      <c r="V113" s="53" t="s">
        <v>425</v>
      </c>
      <c r="W113" s="52">
        <v>0.2165</v>
      </c>
      <c r="X113" s="53" t="s">
        <v>425</v>
      </c>
      <c r="Y113" s="52">
        <v>0.21779999999999999</v>
      </c>
      <c r="Z113" s="53" t="s">
        <v>425</v>
      </c>
      <c r="AA113" s="52">
        <v>0.65200000000000002</v>
      </c>
      <c r="AB113" s="53" t="s">
        <v>425</v>
      </c>
      <c r="AC113" s="52">
        <v>0.4012</v>
      </c>
      <c r="AD113" s="53" t="s">
        <v>425</v>
      </c>
      <c r="AE113" s="52">
        <v>0.40350000000000003</v>
      </c>
      <c r="AF113" s="70"/>
      <c r="AG113" s="70"/>
    </row>
    <row r="114" spans="2:33" x14ac:dyDescent="0.25">
      <c r="B114" s="70" t="s">
        <v>491</v>
      </c>
      <c r="C114" s="70" t="s">
        <v>610</v>
      </c>
      <c r="D114" s="127">
        <v>34.592525482177734</v>
      </c>
      <c r="T114" s="148"/>
      <c r="U114" s="70"/>
      <c r="V114" s="53" t="s">
        <v>426</v>
      </c>
      <c r="W114" s="52" t="s">
        <v>445</v>
      </c>
      <c r="X114" s="53" t="s">
        <v>426</v>
      </c>
      <c r="Y114" s="52" t="s">
        <v>445</v>
      </c>
      <c r="Z114" s="53" t="s">
        <v>426</v>
      </c>
      <c r="AA114" s="52" t="s">
        <v>445</v>
      </c>
      <c r="AB114" s="53" t="s">
        <v>426</v>
      </c>
      <c r="AC114" s="52" t="s">
        <v>445</v>
      </c>
      <c r="AD114" s="53" t="s">
        <v>426</v>
      </c>
      <c r="AE114" s="52" t="s">
        <v>445</v>
      </c>
      <c r="AF114" s="70"/>
      <c r="AG114" s="70"/>
    </row>
    <row r="115" spans="2:33" x14ac:dyDescent="0.25">
      <c r="B115" s="70" t="s">
        <v>491</v>
      </c>
      <c r="C115" s="70" t="s">
        <v>610</v>
      </c>
      <c r="D115" s="127">
        <v>34.587682945619001</v>
      </c>
      <c r="T115" s="148"/>
      <c r="U115" s="70"/>
      <c r="V115" s="53" t="s">
        <v>428</v>
      </c>
      <c r="W115" s="52" t="s">
        <v>446</v>
      </c>
      <c r="X115" s="53" t="s">
        <v>428</v>
      </c>
      <c r="Y115" s="52" t="s">
        <v>446</v>
      </c>
      <c r="Z115" s="53" t="s">
        <v>428</v>
      </c>
      <c r="AA115" s="52" t="s">
        <v>446</v>
      </c>
      <c r="AB115" s="53" t="s">
        <v>428</v>
      </c>
      <c r="AC115" s="52" t="s">
        <v>446</v>
      </c>
      <c r="AD115" s="53" t="s">
        <v>428</v>
      </c>
      <c r="AE115" s="52" t="s">
        <v>446</v>
      </c>
      <c r="AF115" s="70"/>
      <c r="AG115" s="70"/>
    </row>
    <row r="116" spans="2:33" x14ac:dyDescent="0.25">
      <c r="B116" s="70" t="s">
        <v>491</v>
      </c>
      <c r="C116" s="70" t="s">
        <v>610</v>
      </c>
      <c r="D116" s="127">
        <v>34.582496552713998</v>
      </c>
      <c r="T116" s="148"/>
      <c r="U116" s="70"/>
      <c r="V116" s="53"/>
      <c r="W116" s="52"/>
      <c r="X116" s="70"/>
      <c r="Y116" s="70"/>
      <c r="Z116" s="70"/>
      <c r="AA116" s="70"/>
      <c r="AB116" s="53"/>
      <c r="AC116" s="52"/>
      <c r="AD116" s="53"/>
      <c r="AE116" s="52"/>
      <c r="AF116" s="70"/>
      <c r="AG116" s="70"/>
    </row>
    <row r="117" spans="2:33" x14ac:dyDescent="0.25">
      <c r="B117" s="70" t="s">
        <v>352</v>
      </c>
      <c r="C117" s="70" t="s">
        <v>610</v>
      </c>
      <c r="D117" s="127">
        <v>34.446079254150391</v>
      </c>
      <c r="T117" s="148"/>
    </row>
    <row r="118" spans="2:33" x14ac:dyDescent="0.25">
      <c r="B118" s="70" t="s">
        <v>352</v>
      </c>
      <c r="C118" s="70" t="s">
        <v>610</v>
      </c>
      <c r="D118" s="127">
        <v>34.542362678533998</v>
      </c>
      <c r="T118" s="148"/>
      <c r="U118" s="70" t="s">
        <v>611</v>
      </c>
      <c r="V118" s="70">
        <v>1.1474601956518273</v>
      </c>
      <c r="W118" s="70">
        <v>1.0776311431652832</v>
      </c>
      <c r="X118" s="70">
        <v>0.7749086611828897</v>
      </c>
      <c r="Y118" s="70">
        <v>0.65846322186276285</v>
      </c>
      <c r="Z118" s="70">
        <v>0.55828223512190345</v>
      </c>
      <c r="AA118" s="70">
        <v>0.64395012524289907</v>
      </c>
      <c r="AB118" s="70">
        <v>0.52375277628584382</v>
      </c>
      <c r="AC118" s="70">
        <v>0.53841815486235356</v>
      </c>
      <c r="AD118" s="70">
        <v>0.66941977472366199</v>
      </c>
      <c r="AE118" s="70">
        <v>1.0654176118371721</v>
      </c>
      <c r="AF118" s="70">
        <v>0.68845400191972184</v>
      </c>
      <c r="AG118" s="70">
        <v>0.7851057120324183</v>
      </c>
    </row>
    <row r="119" spans="2:33" x14ac:dyDescent="0.25">
      <c r="B119" s="70" t="s">
        <v>352</v>
      </c>
      <c r="C119" s="70" t="s">
        <v>610</v>
      </c>
      <c r="D119" s="127">
        <v>34.532970114161003</v>
      </c>
      <c r="T119" s="148"/>
      <c r="U119" s="70" t="s">
        <v>605</v>
      </c>
      <c r="V119" s="87" t="s">
        <v>606</v>
      </c>
      <c r="W119" s="70"/>
      <c r="X119" s="87" t="s">
        <v>704</v>
      </c>
      <c r="Y119" s="70"/>
      <c r="Z119" s="87" t="s">
        <v>866</v>
      </c>
      <c r="AA119" s="70"/>
      <c r="AB119" s="87" t="s">
        <v>705</v>
      </c>
      <c r="AC119" s="70"/>
      <c r="AD119" s="87" t="s">
        <v>706</v>
      </c>
      <c r="AE119" s="70"/>
      <c r="AF119" s="70"/>
      <c r="AG119" s="70"/>
    </row>
    <row r="120" spans="2:33" ht="15.6" x14ac:dyDescent="0.25">
      <c r="B120" s="70" t="s">
        <v>347</v>
      </c>
      <c r="C120" s="70" t="s">
        <v>610</v>
      </c>
      <c r="D120" s="127">
        <v>34.272209167480469</v>
      </c>
      <c r="T120" s="148"/>
      <c r="U120" s="70"/>
      <c r="V120" s="53" t="s">
        <v>419</v>
      </c>
      <c r="W120" s="52" t="s">
        <v>991</v>
      </c>
      <c r="X120" s="53" t="s">
        <v>684</v>
      </c>
      <c r="Y120" s="52" t="s">
        <v>843</v>
      </c>
      <c r="Z120" s="53" t="s">
        <v>710</v>
      </c>
      <c r="AA120" s="52" t="s">
        <v>986</v>
      </c>
      <c r="AB120" s="53" t="s">
        <v>710</v>
      </c>
      <c r="AC120" s="52" t="s">
        <v>986</v>
      </c>
      <c r="AD120" s="53" t="s">
        <v>710</v>
      </c>
      <c r="AE120" s="52" t="s">
        <v>986</v>
      </c>
      <c r="AF120" s="70"/>
      <c r="AG120" s="70"/>
    </row>
    <row r="121" spans="2:33" x14ac:dyDescent="0.25">
      <c r="B121" s="70" t="s">
        <v>347</v>
      </c>
      <c r="C121" s="70" t="s">
        <v>610</v>
      </c>
      <c r="D121" s="127">
        <v>34.279315409383003</v>
      </c>
      <c r="T121" s="148"/>
      <c r="U121" s="70"/>
      <c r="V121" s="53" t="s">
        <v>421</v>
      </c>
      <c r="W121" s="52" t="s">
        <v>421</v>
      </c>
      <c r="X121" s="53" t="s">
        <v>421</v>
      </c>
      <c r="Y121" s="52" t="s">
        <v>421</v>
      </c>
      <c r="Z121" s="53" t="s">
        <v>421</v>
      </c>
      <c r="AA121" s="52" t="s">
        <v>421</v>
      </c>
      <c r="AB121" s="53" t="s">
        <v>421</v>
      </c>
      <c r="AC121" s="52" t="s">
        <v>421</v>
      </c>
      <c r="AD121" s="53" t="s">
        <v>421</v>
      </c>
      <c r="AE121" s="52" t="s">
        <v>421</v>
      </c>
      <c r="AF121" s="70"/>
      <c r="AG121" s="70"/>
    </row>
    <row r="122" spans="2:33" ht="15.6" x14ac:dyDescent="0.25">
      <c r="B122" s="70" t="s">
        <v>347</v>
      </c>
      <c r="C122" s="70" t="s">
        <v>610</v>
      </c>
      <c r="D122" s="127">
        <v>34.272825686182003</v>
      </c>
      <c r="T122" s="148"/>
      <c r="U122" s="70"/>
      <c r="V122" s="53" t="s">
        <v>422</v>
      </c>
      <c r="W122" s="52" t="s">
        <v>892</v>
      </c>
      <c r="X122" s="53" t="s">
        <v>422</v>
      </c>
      <c r="Y122" s="52" t="s">
        <v>892</v>
      </c>
      <c r="Z122" s="53" t="s">
        <v>422</v>
      </c>
      <c r="AA122" s="52" t="s">
        <v>892</v>
      </c>
      <c r="AB122" s="53" t="s">
        <v>419</v>
      </c>
      <c r="AC122" s="52" t="s">
        <v>991</v>
      </c>
      <c r="AD122" s="53" t="s">
        <v>684</v>
      </c>
      <c r="AE122" s="52" t="s">
        <v>843</v>
      </c>
      <c r="AF122" s="70"/>
      <c r="AG122" s="70"/>
    </row>
    <row r="123" spans="2:33" x14ac:dyDescent="0.25">
      <c r="B123" s="70" t="s">
        <v>608</v>
      </c>
      <c r="C123" s="70" t="s">
        <v>610</v>
      </c>
      <c r="D123" s="127">
        <v>32.16412353515625</v>
      </c>
      <c r="T123" s="148"/>
      <c r="U123" s="70"/>
      <c r="V123" s="53"/>
      <c r="W123" s="52"/>
      <c r="X123" s="53"/>
      <c r="Y123" s="52"/>
      <c r="Z123" s="53"/>
      <c r="AA123" s="52"/>
      <c r="AB123" s="53"/>
      <c r="AC123" s="52"/>
      <c r="AD123" s="53"/>
      <c r="AE123" s="52"/>
      <c r="AF123" s="70"/>
      <c r="AG123" s="70"/>
    </row>
    <row r="124" spans="2:33" x14ac:dyDescent="0.25">
      <c r="B124" s="70" t="s">
        <v>608</v>
      </c>
      <c r="C124" s="70" t="s">
        <v>610</v>
      </c>
      <c r="D124" s="127">
        <v>32.115105593860001</v>
      </c>
      <c r="T124" s="148"/>
      <c r="U124" s="70"/>
      <c r="V124" s="53" t="s">
        <v>424</v>
      </c>
      <c r="W124" s="52"/>
      <c r="X124" s="53" t="s">
        <v>424</v>
      </c>
      <c r="Y124" s="52"/>
      <c r="Z124" s="53" t="s">
        <v>424</v>
      </c>
      <c r="AA124" s="52"/>
      <c r="AB124" s="53" t="s">
        <v>424</v>
      </c>
      <c r="AC124" s="52"/>
      <c r="AD124" s="53" t="s">
        <v>424</v>
      </c>
      <c r="AE124" s="52"/>
      <c r="AF124" s="70"/>
      <c r="AG124" s="70"/>
    </row>
    <row r="125" spans="2:33" x14ac:dyDescent="0.25">
      <c r="B125" s="70" t="s">
        <v>608</v>
      </c>
      <c r="C125" s="70" t="s">
        <v>610</v>
      </c>
      <c r="D125" s="127">
        <v>32.192074724659001</v>
      </c>
      <c r="T125" s="148"/>
      <c r="U125" s="70"/>
      <c r="V125" s="53" t="s">
        <v>425</v>
      </c>
      <c r="W125" s="52">
        <v>1.6400000000000001E-2</v>
      </c>
      <c r="X125" s="53" t="s">
        <v>425</v>
      </c>
      <c r="Y125" s="52">
        <v>1.3299999999999999E-2</v>
      </c>
      <c r="Z125" s="53" t="s">
        <v>425</v>
      </c>
      <c r="AA125" s="52">
        <v>0.19670000000000001</v>
      </c>
      <c r="AB125" s="53" t="s">
        <v>425</v>
      </c>
      <c r="AC125" s="52">
        <v>0.12609999999999999</v>
      </c>
      <c r="AD125" s="53" t="s">
        <v>425</v>
      </c>
      <c r="AE125" s="52">
        <v>9.2299999999999993E-2</v>
      </c>
      <c r="AF125" s="70"/>
      <c r="AG125" s="70"/>
    </row>
    <row r="126" spans="2:33" x14ac:dyDescent="0.25">
      <c r="B126" s="70" t="s">
        <v>602</v>
      </c>
      <c r="C126" s="70" t="s">
        <v>610</v>
      </c>
      <c r="D126" s="127">
        <v>32.278545379638672</v>
      </c>
      <c r="T126" s="148"/>
      <c r="U126" s="70"/>
      <c r="V126" s="53" t="s">
        <v>426</v>
      </c>
      <c r="W126" s="52" t="s">
        <v>508</v>
      </c>
      <c r="X126" s="53" t="s">
        <v>426</v>
      </c>
      <c r="Y126" s="52" t="s">
        <v>508</v>
      </c>
      <c r="Z126" s="53" t="s">
        <v>426</v>
      </c>
      <c r="AA126" s="52" t="s">
        <v>445</v>
      </c>
      <c r="AB126" s="53" t="s">
        <v>426</v>
      </c>
      <c r="AC126" s="52" t="s">
        <v>445</v>
      </c>
      <c r="AD126" s="53" t="s">
        <v>426</v>
      </c>
      <c r="AE126" s="52" t="s">
        <v>445</v>
      </c>
      <c r="AF126" s="70"/>
      <c r="AG126" s="70"/>
    </row>
    <row r="127" spans="2:33" x14ac:dyDescent="0.25">
      <c r="B127" s="70" t="s">
        <v>602</v>
      </c>
      <c r="C127" s="70" t="s">
        <v>610</v>
      </c>
      <c r="D127" s="127">
        <v>32.280998283445001</v>
      </c>
      <c r="T127" s="148"/>
      <c r="U127" s="70"/>
      <c r="V127" s="53" t="s">
        <v>428</v>
      </c>
      <c r="W127" s="52" t="s">
        <v>429</v>
      </c>
      <c r="X127" s="53" t="s">
        <v>428</v>
      </c>
      <c r="Y127" s="52" t="s">
        <v>429</v>
      </c>
      <c r="Z127" s="53" t="s">
        <v>428</v>
      </c>
      <c r="AA127" s="52" t="s">
        <v>446</v>
      </c>
      <c r="AB127" s="53" t="s">
        <v>428</v>
      </c>
      <c r="AC127" s="52" t="s">
        <v>446</v>
      </c>
      <c r="AD127" s="53" t="s">
        <v>428</v>
      </c>
      <c r="AE127" s="52" t="s">
        <v>446</v>
      </c>
      <c r="AF127" s="70"/>
      <c r="AG127" s="70"/>
    </row>
    <row r="128" spans="2:33" x14ac:dyDescent="0.25">
      <c r="B128" s="70" t="s">
        <v>602</v>
      </c>
      <c r="C128" s="70" t="s">
        <v>610</v>
      </c>
      <c r="D128" s="127">
        <v>32.262279105963998</v>
      </c>
      <c r="T128" s="148"/>
      <c r="U128" s="70"/>
      <c r="V128" s="53" t="s">
        <v>430</v>
      </c>
      <c r="W128" s="52" t="s">
        <v>572</v>
      </c>
      <c r="X128" s="53" t="s">
        <v>430</v>
      </c>
      <c r="Y128" s="52" t="s">
        <v>572</v>
      </c>
      <c r="Z128" s="53" t="s">
        <v>430</v>
      </c>
      <c r="AA128" s="52" t="s">
        <v>572</v>
      </c>
      <c r="AB128" s="53" t="s">
        <v>430</v>
      </c>
      <c r="AC128" s="52" t="s">
        <v>431</v>
      </c>
      <c r="AD128" s="53" t="s">
        <v>430</v>
      </c>
      <c r="AE128" s="52" t="s">
        <v>431</v>
      </c>
      <c r="AF128" s="70"/>
      <c r="AG128" s="70"/>
    </row>
    <row r="129" spans="2:33" x14ac:dyDescent="0.25">
      <c r="B129" s="70" t="s">
        <v>603</v>
      </c>
      <c r="C129" s="70" t="s">
        <v>610</v>
      </c>
      <c r="D129" s="127">
        <v>32.058467864990234</v>
      </c>
      <c r="T129" s="148"/>
      <c r="U129" s="70"/>
      <c r="V129" s="53" t="s">
        <v>432</v>
      </c>
      <c r="W129" s="52" t="s">
        <v>1048</v>
      </c>
      <c r="X129" s="53" t="s">
        <v>432</v>
      </c>
      <c r="Y129" s="52" t="s">
        <v>1067</v>
      </c>
      <c r="Z129" s="53" t="s">
        <v>432</v>
      </c>
      <c r="AA129" s="52" t="s">
        <v>1052</v>
      </c>
      <c r="AB129" s="53" t="s">
        <v>432</v>
      </c>
      <c r="AC129" s="52" t="s">
        <v>1056</v>
      </c>
      <c r="AD129" s="53" t="s">
        <v>432</v>
      </c>
      <c r="AE129" s="52" t="s">
        <v>1060</v>
      </c>
      <c r="AF129" s="70"/>
      <c r="AG129" s="70"/>
    </row>
    <row r="130" spans="2:33" x14ac:dyDescent="0.25">
      <c r="B130" s="70" t="s">
        <v>603</v>
      </c>
      <c r="C130" s="70" t="s">
        <v>610</v>
      </c>
      <c r="D130" s="127">
        <v>32.131499134001999</v>
      </c>
      <c r="T130" s="148"/>
      <c r="U130" s="70"/>
      <c r="V130" s="53"/>
      <c r="W130" s="52"/>
      <c r="X130" s="53"/>
      <c r="Y130" s="52"/>
      <c r="Z130" s="53"/>
      <c r="AA130" s="52"/>
      <c r="AB130" s="53"/>
      <c r="AC130" s="52"/>
      <c r="AD130" s="53"/>
      <c r="AE130" s="52"/>
      <c r="AF130" s="70"/>
      <c r="AG130" s="70"/>
    </row>
    <row r="131" spans="2:33" x14ac:dyDescent="0.25">
      <c r="B131" s="70" t="s">
        <v>603</v>
      </c>
      <c r="C131" s="70" t="s">
        <v>610</v>
      </c>
      <c r="D131" s="127">
        <v>32.168535976942003</v>
      </c>
      <c r="T131" s="148"/>
      <c r="U131" s="70"/>
      <c r="V131" s="53" t="s">
        <v>434</v>
      </c>
      <c r="W131" s="52"/>
      <c r="X131" s="53" t="s">
        <v>434</v>
      </c>
      <c r="Y131" s="52"/>
      <c r="Z131" s="53" t="s">
        <v>434</v>
      </c>
      <c r="AA131" s="52"/>
      <c r="AB131" s="53" t="s">
        <v>434</v>
      </c>
      <c r="AC131" s="52"/>
      <c r="AD131" s="53" t="s">
        <v>434</v>
      </c>
      <c r="AE131" s="52"/>
      <c r="AF131" s="70"/>
      <c r="AG131" s="70"/>
    </row>
    <row r="132" spans="2:33" x14ac:dyDescent="0.25">
      <c r="B132" s="70" t="s">
        <v>867</v>
      </c>
      <c r="C132" s="70" t="s">
        <v>610</v>
      </c>
      <c r="D132" s="127">
        <v>31.832269668579102</v>
      </c>
      <c r="T132" s="148"/>
      <c r="U132" s="70"/>
      <c r="V132" s="53" t="s">
        <v>435</v>
      </c>
      <c r="W132" s="52">
        <v>1</v>
      </c>
      <c r="X132" s="53" t="s">
        <v>435</v>
      </c>
      <c r="Y132" s="52">
        <v>1</v>
      </c>
      <c r="Z132" s="53" t="s">
        <v>435</v>
      </c>
      <c r="AA132" s="52">
        <v>1</v>
      </c>
      <c r="AB132" s="53" t="s">
        <v>436</v>
      </c>
      <c r="AC132" s="52">
        <v>0.62019999999999997</v>
      </c>
      <c r="AD132" s="53" t="s">
        <v>687</v>
      </c>
      <c r="AE132" s="52">
        <v>0.57720000000000005</v>
      </c>
      <c r="AF132" s="70"/>
      <c r="AG132" s="70"/>
    </row>
    <row r="133" spans="2:33" x14ac:dyDescent="0.25">
      <c r="B133" s="70" t="s">
        <v>867</v>
      </c>
      <c r="C133" s="70" t="s">
        <v>610</v>
      </c>
      <c r="D133" s="127">
        <v>31.879150625641</v>
      </c>
      <c r="T133" s="148"/>
      <c r="U133" s="70"/>
      <c r="V133" s="53" t="s">
        <v>436</v>
      </c>
      <c r="W133" s="52">
        <v>0.62019999999999997</v>
      </c>
      <c r="X133" s="53" t="s">
        <v>687</v>
      </c>
      <c r="Y133" s="52">
        <v>0.57720000000000005</v>
      </c>
      <c r="Z133" s="53" t="s">
        <v>714</v>
      </c>
      <c r="AA133" s="52">
        <v>0.84630000000000005</v>
      </c>
      <c r="AB133" s="53" t="s">
        <v>714</v>
      </c>
      <c r="AC133" s="52">
        <v>0.84630000000000005</v>
      </c>
      <c r="AD133" s="53" t="s">
        <v>714</v>
      </c>
      <c r="AE133" s="52">
        <v>0.84630000000000005</v>
      </c>
      <c r="AF133" s="70"/>
      <c r="AG133" s="70"/>
    </row>
    <row r="134" spans="2:33" x14ac:dyDescent="0.25">
      <c r="B134" s="70" t="s">
        <v>867</v>
      </c>
      <c r="C134" s="70" t="s">
        <v>610</v>
      </c>
      <c r="D134" s="127">
        <v>31.896283485691999</v>
      </c>
      <c r="T134" s="148"/>
      <c r="U134" s="70"/>
      <c r="V134" s="53" t="s">
        <v>437</v>
      </c>
      <c r="W134" s="52" t="s">
        <v>1049</v>
      </c>
      <c r="X134" s="53" t="s">
        <v>688</v>
      </c>
      <c r="Y134" s="52" t="s">
        <v>1068</v>
      </c>
      <c r="Z134" s="53" t="s">
        <v>982</v>
      </c>
      <c r="AA134" s="52" t="s">
        <v>1053</v>
      </c>
      <c r="AB134" s="53" t="s">
        <v>715</v>
      </c>
      <c r="AC134" s="52" t="s">
        <v>1057</v>
      </c>
      <c r="AD134" s="53" t="s">
        <v>721</v>
      </c>
      <c r="AE134" s="52" t="s">
        <v>1061</v>
      </c>
      <c r="AF134" s="70"/>
      <c r="AG134" s="70"/>
    </row>
    <row r="135" spans="2:33" x14ac:dyDescent="0.25">
      <c r="B135" s="70" t="s">
        <v>868</v>
      </c>
      <c r="C135" s="70" t="s">
        <v>610</v>
      </c>
      <c r="D135" s="127">
        <v>32.221828460693359</v>
      </c>
      <c r="T135" s="148"/>
      <c r="U135" s="70"/>
      <c r="V135" s="53" t="s">
        <v>439</v>
      </c>
      <c r="W135" s="52" t="s">
        <v>1050</v>
      </c>
      <c r="X135" s="53" t="s">
        <v>439</v>
      </c>
      <c r="Y135" s="52" t="s">
        <v>1069</v>
      </c>
      <c r="Z135" s="53" t="s">
        <v>439</v>
      </c>
      <c r="AA135" s="52" t="s">
        <v>1054</v>
      </c>
      <c r="AB135" s="53" t="s">
        <v>439</v>
      </c>
      <c r="AC135" s="52" t="s">
        <v>1058</v>
      </c>
      <c r="AD135" s="53" t="s">
        <v>439</v>
      </c>
      <c r="AE135" s="52" t="s">
        <v>1062</v>
      </c>
      <c r="AF135" s="70"/>
      <c r="AG135" s="70"/>
    </row>
    <row r="136" spans="2:33" x14ac:dyDescent="0.25">
      <c r="B136" s="70" t="s">
        <v>868</v>
      </c>
      <c r="C136" s="70" t="s">
        <v>610</v>
      </c>
      <c r="D136" s="127">
        <v>32.236026962380002</v>
      </c>
      <c r="T136" s="148"/>
      <c r="U136" s="70"/>
      <c r="V136" s="53" t="s">
        <v>441</v>
      </c>
      <c r="W136" s="52">
        <v>0.71960000000000002</v>
      </c>
      <c r="X136" s="53" t="s">
        <v>441</v>
      </c>
      <c r="Y136" s="52">
        <v>0.746</v>
      </c>
      <c r="Z136" s="53" t="s">
        <v>441</v>
      </c>
      <c r="AA136" s="52">
        <v>0.18590000000000001</v>
      </c>
      <c r="AB136" s="53" t="s">
        <v>441</v>
      </c>
      <c r="AC136" s="52">
        <v>0.48159999999999997</v>
      </c>
      <c r="AD136" s="53" t="s">
        <v>441</v>
      </c>
      <c r="AE136" s="52">
        <v>0.54820000000000002</v>
      </c>
      <c r="AF136" s="70"/>
      <c r="AG136" s="70"/>
    </row>
    <row r="137" spans="2:33" x14ac:dyDescent="0.25">
      <c r="B137" s="70" t="s">
        <v>868</v>
      </c>
      <c r="C137" s="70" t="s">
        <v>610</v>
      </c>
      <c r="D137" s="127">
        <v>32.179225048040003</v>
      </c>
      <c r="T137" s="148"/>
      <c r="U137" s="70"/>
      <c r="V137" s="53"/>
      <c r="W137" s="52"/>
      <c r="X137" s="53"/>
      <c r="Y137" s="52"/>
      <c r="Z137" s="53"/>
      <c r="AA137" s="52"/>
      <c r="AB137" s="53"/>
      <c r="AC137" s="52"/>
      <c r="AD137" s="53"/>
      <c r="AE137" s="52"/>
      <c r="AF137" s="70"/>
      <c r="AG137" s="70"/>
    </row>
    <row r="138" spans="2:33" x14ac:dyDescent="0.25">
      <c r="B138" s="70" t="s">
        <v>869</v>
      </c>
      <c r="C138" s="70" t="s">
        <v>610</v>
      </c>
      <c r="D138" s="127">
        <v>32.143947601318359</v>
      </c>
      <c r="T138" s="148"/>
      <c r="U138" s="70"/>
      <c r="V138" s="53" t="s">
        <v>442</v>
      </c>
      <c r="W138" s="52"/>
      <c r="X138" s="53" t="s">
        <v>442</v>
      </c>
      <c r="Y138" s="52"/>
      <c r="Z138" s="53" t="s">
        <v>442</v>
      </c>
      <c r="AA138" s="52"/>
      <c r="AB138" s="53" t="s">
        <v>442</v>
      </c>
      <c r="AC138" s="52"/>
      <c r="AD138" s="53" t="s">
        <v>442</v>
      </c>
      <c r="AE138" s="52"/>
      <c r="AF138" s="70"/>
      <c r="AG138" s="70"/>
    </row>
    <row r="139" spans="2:33" x14ac:dyDescent="0.25">
      <c r="B139" s="70" t="s">
        <v>869</v>
      </c>
      <c r="C139" s="70" t="s">
        <v>610</v>
      </c>
      <c r="D139" s="127">
        <v>32.156418618383</v>
      </c>
      <c r="T139" s="148"/>
      <c r="U139" s="70"/>
      <c r="V139" s="53" t="s">
        <v>443</v>
      </c>
      <c r="W139" s="52" t="s">
        <v>1051</v>
      </c>
      <c r="X139" s="53" t="s">
        <v>443</v>
      </c>
      <c r="Y139" s="52" t="s">
        <v>1070</v>
      </c>
      <c r="Z139" s="53" t="s">
        <v>443</v>
      </c>
      <c r="AA139" s="52" t="s">
        <v>1055</v>
      </c>
      <c r="AB139" s="53" t="s">
        <v>443</v>
      </c>
      <c r="AC139" s="52" t="s">
        <v>1059</v>
      </c>
      <c r="AD139" s="53" t="s">
        <v>443</v>
      </c>
      <c r="AE139" s="52" t="s">
        <v>1063</v>
      </c>
      <c r="AF139" s="70"/>
      <c r="AG139" s="70"/>
    </row>
    <row r="140" spans="2:33" x14ac:dyDescent="0.25">
      <c r="B140" s="70" t="s">
        <v>869</v>
      </c>
      <c r="C140" s="70" t="s">
        <v>610</v>
      </c>
      <c r="D140" s="127">
        <v>32.135139355908002</v>
      </c>
      <c r="T140" s="148"/>
      <c r="U140" s="70"/>
      <c r="V140" s="53" t="s">
        <v>425</v>
      </c>
      <c r="W140" s="52">
        <v>0.1391</v>
      </c>
      <c r="X140" s="53" t="s">
        <v>425</v>
      </c>
      <c r="Y140" s="52">
        <v>0.28179999999999999</v>
      </c>
      <c r="Z140" s="53" t="s">
        <v>425</v>
      </c>
      <c r="AA140" s="52">
        <v>0.98860000000000003</v>
      </c>
      <c r="AB140" s="53" t="s">
        <v>425</v>
      </c>
      <c r="AC140" s="52">
        <v>0.14199999999999999</v>
      </c>
      <c r="AD140" s="53" t="s">
        <v>425</v>
      </c>
      <c r="AE140" s="52">
        <v>0.28739999999999999</v>
      </c>
      <c r="AF140" s="70"/>
      <c r="AG140" s="70"/>
    </row>
    <row r="141" spans="2:33" x14ac:dyDescent="0.25">
      <c r="B141" s="70" t="s">
        <v>870</v>
      </c>
      <c r="C141" s="70" t="s">
        <v>610</v>
      </c>
      <c r="D141" s="127">
        <v>31.677999496459961</v>
      </c>
      <c r="T141" s="148"/>
      <c r="U141" s="70"/>
      <c r="V141" s="53" t="s">
        <v>426</v>
      </c>
      <c r="W141" s="52" t="s">
        <v>445</v>
      </c>
      <c r="X141" s="53" t="s">
        <v>426</v>
      </c>
      <c r="Y141" s="52" t="s">
        <v>445</v>
      </c>
      <c r="Z141" s="53" t="s">
        <v>426</v>
      </c>
      <c r="AA141" s="52" t="s">
        <v>445</v>
      </c>
      <c r="AB141" s="53" t="s">
        <v>426</v>
      </c>
      <c r="AC141" s="52" t="s">
        <v>445</v>
      </c>
      <c r="AD141" s="53" t="s">
        <v>426</v>
      </c>
      <c r="AE141" s="52" t="s">
        <v>445</v>
      </c>
      <c r="AF141" s="70"/>
      <c r="AG141" s="70"/>
    </row>
    <row r="142" spans="2:33" x14ac:dyDescent="0.25">
      <c r="B142" s="70" t="s">
        <v>870</v>
      </c>
      <c r="C142" s="70" t="s">
        <v>610</v>
      </c>
      <c r="D142" s="127">
        <v>31.676976643917001</v>
      </c>
      <c r="T142" s="148"/>
      <c r="U142" s="70"/>
      <c r="V142" s="53" t="s">
        <v>428</v>
      </c>
      <c r="W142" s="52" t="s">
        <v>446</v>
      </c>
      <c r="X142" s="53" t="s">
        <v>428</v>
      </c>
      <c r="Y142" s="52" t="s">
        <v>446</v>
      </c>
      <c r="Z142" s="53" t="s">
        <v>428</v>
      </c>
      <c r="AA142" s="52" t="s">
        <v>446</v>
      </c>
      <c r="AB142" s="53" t="s">
        <v>428</v>
      </c>
      <c r="AC142" s="52" t="s">
        <v>446</v>
      </c>
      <c r="AD142" s="53" t="s">
        <v>428</v>
      </c>
      <c r="AE142" s="52" t="s">
        <v>446</v>
      </c>
      <c r="AF142" s="70"/>
      <c r="AG142" s="70"/>
    </row>
    <row r="143" spans="2:33" x14ac:dyDescent="0.25">
      <c r="B143" s="70" t="s">
        <v>870</v>
      </c>
      <c r="C143" s="70" t="s">
        <v>610</v>
      </c>
      <c r="D143" s="127">
        <v>31.673815432893001</v>
      </c>
      <c r="T143" s="148"/>
      <c r="U143" s="70"/>
      <c r="V143" s="53"/>
      <c r="W143" s="52"/>
      <c r="Z143" s="70"/>
      <c r="AA143" s="70"/>
      <c r="AB143" s="53"/>
      <c r="AC143" s="52"/>
      <c r="AD143" s="53"/>
      <c r="AE143" s="52"/>
      <c r="AF143" s="70"/>
      <c r="AG143" s="70"/>
    </row>
    <row r="144" spans="2:33" x14ac:dyDescent="0.25">
      <c r="B144" s="70" t="s">
        <v>871</v>
      </c>
      <c r="C144" s="70" t="s">
        <v>610</v>
      </c>
      <c r="D144" s="127">
        <v>31.740274429321289</v>
      </c>
      <c r="T144" s="148"/>
      <c r="U144" s="70"/>
      <c r="V144" s="66"/>
      <c r="W144" s="70"/>
      <c r="X144" s="66"/>
      <c r="Y144" s="70"/>
      <c r="Z144" s="66"/>
      <c r="AA144" s="70"/>
      <c r="AB144" s="66"/>
      <c r="AC144" s="70"/>
      <c r="AD144" s="66"/>
      <c r="AE144" s="70"/>
    </row>
    <row r="145" spans="2:31" ht="15" x14ac:dyDescent="0.25">
      <c r="B145" s="70" t="s">
        <v>871</v>
      </c>
      <c r="C145" s="70" t="s">
        <v>610</v>
      </c>
      <c r="D145" s="127">
        <v>31.772411595689</v>
      </c>
      <c r="T145" s="148"/>
      <c r="U145" s="70"/>
      <c r="V145" s="90"/>
      <c r="W145" s="90"/>
      <c r="X145" s="90"/>
      <c r="Y145" s="90"/>
      <c r="Z145" s="90"/>
      <c r="AA145" s="90"/>
      <c r="AB145" s="90"/>
      <c r="AC145" s="90"/>
      <c r="AD145" s="90"/>
      <c r="AE145" s="90"/>
    </row>
    <row r="146" spans="2:31" x14ac:dyDescent="0.25">
      <c r="B146" s="70" t="s">
        <v>871</v>
      </c>
      <c r="C146" s="70" t="s">
        <v>610</v>
      </c>
      <c r="D146" s="127">
        <v>31.765080682280999</v>
      </c>
      <c r="T146" s="148"/>
    </row>
    <row r="147" spans="2:31" x14ac:dyDescent="0.25">
      <c r="B147" s="70" t="s">
        <v>872</v>
      </c>
      <c r="C147" s="70" t="s">
        <v>610</v>
      </c>
      <c r="D147" s="127">
        <v>32.007167816162109</v>
      </c>
      <c r="T147" s="148"/>
    </row>
    <row r="148" spans="2:31" x14ac:dyDescent="0.25">
      <c r="B148" s="70" t="s">
        <v>872</v>
      </c>
      <c r="C148" s="70" t="s">
        <v>610</v>
      </c>
      <c r="D148" s="127">
        <v>32.023455706573998</v>
      </c>
      <c r="T148" s="148"/>
    </row>
    <row r="149" spans="2:31" x14ac:dyDescent="0.25">
      <c r="B149" s="70" t="s">
        <v>872</v>
      </c>
      <c r="C149" s="70" t="s">
        <v>610</v>
      </c>
      <c r="D149" s="127">
        <v>32.075281105281</v>
      </c>
      <c r="T149" s="148"/>
    </row>
    <row r="150" spans="2:31" x14ac:dyDescent="0.25">
      <c r="B150" s="70" t="s">
        <v>491</v>
      </c>
      <c r="C150" s="70" t="s">
        <v>611</v>
      </c>
      <c r="D150" s="121">
        <v>27.201522827148438</v>
      </c>
      <c r="T150" s="148"/>
    </row>
    <row r="151" spans="2:31" x14ac:dyDescent="0.25">
      <c r="B151" s="70" t="s">
        <v>491</v>
      </c>
      <c r="C151" s="70" t="s">
        <v>611</v>
      </c>
      <c r="D151" s="121">
        <v>27.232761987633001</v>
      </c>
      <c r="T151" s="148"/>
    </row>
    <row r="152" spans="2:31" x14ac:dyDescent="0.25">
      <c r="B152" s="70" t="s">
        <v>491</v>
      </c>
      <c r="C152" s="70" t="s">
        <v>611</v>
      </c>
      <c r="D152" s="121">
        <v>27.171469287728002</v>
      </c>
      <c r="T152" s="148"/>
      <c r="U152" s="114"/>
      <c r="V152" s="114"/>
      <c r="W152" s="114"/>
    </row>
    <row r="153" spans="2:31" x14ac:dyDescent="0.25">
      <c r="B153" s="70" t="s">
        <v>352</v>
      </c>
      <c r="C153" s="70" t="s">
        <v>611</v>
      </c>
      <c r="D153" s="121">
        <v>27.000894546508789</v>
      </c>
      <c r="T153" s="148"/>
      <c r="U153" s="114"/>
      <c r="V153" s="114"/>
      <c r="W153" s="114"/>
      <c r="X153" s="114"/>
    </row>
    <row r="154" spans="2:31" x14ac:dyDescent="0.25">
      <c r="B154" s="70" t="s">
        <v>352</v>
      </c>
      <c r="C154" s="70" t="s">
        <v>611</v>
      </c>
      <c r="D154" s="121">
        <v>27.006988636220001</v>
      </c>
      <c r="T154" s="148"/>
    </row>
    <row r="155" spans="2:31" x14ac:dyDescent="0.25">
      <c r="B155" s="70" t="s">
        <v>352</v>
      </c>
      <c r="C155" s="70" t="s">
        <v>611</v>
      </c>
      <c r="D155" s="121">
        <v>27.0006907220661</v>
      </c>
      <c r="T155" s="148"/>
    </row>
    <row r="156" spans="2:31" x14ac:dyDescent="0.25">
      <c r="B156" s="70" t="s">
        <v>347</v>
      </c>
      <c r="C156" s="70" t="s">
        <v>611</v>
      </c>
      <c r="D156" s="121">
        <v>27.703317642211914</v>
      </c>
      <c r="T156" s="148"/>
    </row>
    <row r="157" spans="2:31" x14ac:dyDescent="0.25">
      <c r="B157" s="70" t="s">
        <v>347</v>
      </c>
      <c r="C157" s="70" t="s">
        <v>611</v>
      </c>
      <c r="D157" s="121">
        <v>27.73476940135</v>
      </c>
      <c r="T157" s="148"/>
    </row>
    <row r="158" spans="2:31" x14ac:dyDescent="0.25">
      <c r="B158" s="70" t="s">
        <v>347</v>
      </c>
      <c r="C158" s="70" t="s">
        <v>611</v>
      </c>
      <c r="D158" s="121">
        <v>27.725625244675999</v>
      </c>
      <c r="T158" s="148"/>
    </row>
    <row r="159" spans="2:31" x14ac:dyDescent="0.25">
      <c r="B159" s="70" t="s">
        <v>608</v>
      </c>
      <c r="C159" s="70" t="s">
        <v>611</v>
      </c>
      <c r="D159" s="121">
        <v>25.854284286499023</v>
      </c>
      <c r="T159" s="148"/>
    </row>
    <row r="160" spans="2:31" x14ac:dyDescent="0.25">
      <c r="B160" s="70" t="s">
        <v>608</v>
      </c>
      <c r="C160" s="70" t="s">
        <v>611</v>
      </c>
      <c r="D160" s="121">
        <v>25.848919561294998</v>
      </c>
      <c r="T160" s="148"/>
    </row>
    <row r="161" spans="2:20" x14ac:dyDescent="0.25">
      <c r="B161" s="70" t="s">
        <v>608</v>
      </c>
      <c r="C161" s="70" t="s">
        <v>611</v>
      </c>
      <c r="D161" s="121">
        <v>25.833810245222001</v>
      </c>
      <c r="T161" s="148"/>
    </row>
    <row r="162" spans="2:20" x14ac:dyDescent="0.25">
      <c r="B162" s="70" t="s">
        <v>602</v>
      </c>
      <c r="C162" s="70" t="s">
        <v>611</v>
      </c>
      <c r="D162" s="121">
        <v>26.052467346191406</v>
      </c>
      <c r="T162" s="148"/>
    </row>
    <row r="163" spans="2:20" x14ac:dyDescent="0.25">
      <c r="B163" s="70" t="s">
        <v>602</v>
      </c>
      <c r="C163" s="70" t="s">
        <v>611</v>
      </c>
      <c r="D163" s="121">
        <v>26.052706775259001</v>
      </c>
      <c r="T163" s="148"/>
    </row>
    <row r="164" spans="2:20" x14ac:dyDescent="0.25">
      <c r="B164" s="70" t="s">
        <v>602</v>
      </c>
      <c r="C164" s="70" t="s">
        <v>611</v>
      </c>
      <c r="D164" s="121">
        <v>26.051007009022001</v>
      </c>
      <c r="T164" s="148"/>
    </row>
    <row r="165" spans="2:20" x14ac:dyDescent="0.25">
      <c r="B165" s="70" t="s">
        <v>603</v>
      </c>
      <c r="C165" s="70" t="s">
        <v>611</v>
      </c>
      <c r="D165" s="121">
        <v>25.776891708374023</v>
      </c>
      <c r="T165" s="148"/>
    </row>
    <row r="166" spans="2:20" x14ac:dyDescent="0.25">
      <c r="B166" s="70" t="s">
        <v>603</v>
      </c>
      <c r="C166" s="70" t="s">
        <v>611</v>
      </c>
      <c r="D166" s="121">
        <v>25.734896268010999</v>
      </c>
      <c r="T166" s="148"/>
    </row>
    <row r="167" spans="2:20" x14ac:dyDescent="0.25">
      <c r="B167" s="70" t="s">
        <v>603</v>
      </c>
      <c r="C167" s="70" t="s">
        <v>611</v>
      </c>
      <c r="D167" s="121">
        <v>25.780678617141</v>
      </c>
      <c r="T167" s="148"/>
    </row>
    <row r="168" spans="2:20" x14ac:dyDescent="0.25">
      <c r="B168" s="70" t="s">
        <v>867</v>
      </c>
      <c r="C168" s="70" t="s">
        <v>611</v>
      </c>
      <c r="D168" s="121">
        <v>25.701469421386719</v>
      </c>
      <c r="T168" s="148"/>
    </row>
    <row r="169" spans="2:20" x14ac:dyDescent="0.25">
      <c r="B169" s="70" t="s">
        <v>867</v>
      </c>
      <c r="C169" s="70" t="s">
        <v>611</v>
      </c>
      <c r="D169" s="121">
        <v>25.638144548576001</v>
      </c>
      <c r="T169" s="148"/>
    </row>
    <row r="170" spans="2:20" x14ac:dyDescent="0.25">
      <c r="B170" s="70" t="s">
        <v>867</v>
      </c>
      <c r="C170" s="70" t="s">
        <v>611</v>
      </c>
      <c r="D170" s="121">
        <v>25.602837866542</v>
      </c>
      <c r="T170" s="148"/>
    </row>
    <row r="171" spans="2:20" x14ac:dyDescent="0.25">
      <c r="B171" s="70" t="s">
        <v>868</v>
      </c>
      <c r="C171" s="70" t="s">
        <v>611</v>
      </c>
      <c r="D171" s="121">
        <v>25.960302352905273</v>
      </c>
      <c r="T171" s="148"/>
    </row>
    <row r="172" spans="2:20" x14ac:dyDescent="0.25">
      <c r="B172" s="70" t="s">
        <v>868</v>
      </c>
      <c r="C172" s="70" t="s">
        <v>611</v>
      </c>
      <c r="D172" s="121">
        <v>25.986842129667998</v>
      </c>
      <c r="T172" s="148"/>
    </row>
    <row r="173" spans="2:20" x14ac:dyDescent="0.25">
      <c r="B173" s="70" t="s">
        <v>868</v>
      </c>
      <c r="C173" s="70" t="s">
        <v>611</v>
      </c>
      <c r="D173" s="121">
        <v>25.922776832922999</v>
      </c>
      <c r="T173" s="148"/>
    </row>
    <row r="174" spans="2:20" x14ac:dyDescent="0.25">
      <c r="B174" s="70" t="s">
        <v>869</v>
      </c>
      <c r="C174" s="70" t="s">
        <v>611</v>
      </c>
      <c r="D174" s="121">
        <v>25.708030700683594</v>
      </c>
      <c r="T174" s="148"/>
    </row>
    <row r="175" spans="2:20" x14ac:dyDescent="0.25">
      <c r="B175" s="70" t="s">
        <v>869</v>
      </c>
      <c r="C175" s="70" t="s">
        <v>611</v>
      </c>
      <c r="D175" s="121">
        <v>25.721471538983</v>
      </c>
      <c r="T175" s="148"/>
    </row>
    <row r="176" spans="2:20" x14ac:dyDescent="0.25">
      <c r="B176" s="70" t="s">
        <v>869</v>
      </c>
      <c r="C176" s="70" t="s">
        <v>611</v>
      </c>
      <c r="D176" s="121">
        <v>25.700939325522999</v>
      </c>
      <c r="T176" s="148"/>
    </row>
    <row r="177" spans="2:4" x14ac:dyDescent="0.25">
      <c r="B177" s="70" t="s">
        <v>870</v>
      </c>
      <c r="C177" s="70" t="s">
        <v>611</v>
      </c>
      <c r="D177" s="121">
        <v>24.57110595703125</v>
      </c>
    </row>
    <row r="178" spans="2:4" x14ac:dyDescent="0.25">
      <c r="B178" s="70" t="s">
        <v>870</v>
      </c>
      <c r="C178" s="70" t="s">
        <v>611</v>
      </c>
      <c r="D178" s="121">
        <v>24.454896055306001</v>
      </c>
    </row>
    <row r="179" spans="2:4" x14ac:dyDescent="0.25">
      <c r="B179" s="70" t="s">
        <v>870</v>
      </c>
      <c r="C179" s="70" t="s">
        <v>611</v>
      </c>
      <c r="D179" s="121">
        <v>24.504350291575001</v>
      </c>
    </row>
    <row r="180" spans="2:4" x14ac:dyDescent="0.25">
      <c r="B180" s="70" t="s">
        <v>871</v>
      </c>
      <c r="C180" s="70" t="s">
        <v>611</v>
      </c>
      <c r="D180" s="121">
        <v>25.19401741027832</v>
      </c>
    </row>
    <row r="181" spans="2:4" x14ac:dyDescent="0.25">
      <c r="B181" s="70" t="s">
        <v>871</v>
      </c>
      <c r="C181" s="70" t="s">
        <v>611</v>
      </c>
      <c r="D181" s="121">
        <v>25.133653960139</v>
      </c>
    </row>
    <row r="182" spans="2:4" x14ac:dyDescent="0.25">
      <c r="B182" s="70" t="s">
        <v>871</v>
      </c>
      <c r="C182" s="70" t="s">
        <v>611</v>
      </c>
      <c r="D182" s="121">
        <v>25.144930252582</v>
      </c>
    </row>
    <row r="183" spans="2:4" x14ac:dyDescent="0.25">
      <c r="B183" s="70" t="s">
        <v>872</v>
      </c>
      <c r="C183" s="70" t="s">
        <v>611</v>
      </c>
      <c r="D183" s="121">
        <v>24.979085922241211</v>
      </c>
    </row>
    <row r="184" spans="2:4" x14ac:dyDescent="0.25">
      <c r="B184" s="70" t="s">
        <v>872</v>
      </c>
      <c r="C184" s="70" t="s">
        <v>611</v>
      </c>
      <c r="D184" s="121">
        <v>24.993340693646999</v>
      </c>
    </row>
    <row r="185" spans="2:4" x14ac:dyDescent="0.25">
      <c r="B185" s="70" t="s">
        <v>872</v>
      </c>
      <c r="C185" s="70" t="s">
        <v>611</v>
      </c>
      <c r="D185" s="121">
        <v>24.950456717285</v>
      </c>
    </row>
    <row r="186" spans="2:4" x14ac:dyDescent="0.25">
      <c r="B186" s="70" t="s">
        <v>491</v>
      </c>
      <c r="C186" s="70" t="s">
        <v>14</v>
      </c>
      <c r="D186" s="121">
        <v>29.697425842285156</v>
      </c>
    </row>
    <row r="187" spans="2:4" x14ac:dyDescent="0.25">
      <c r="B187" s="70" t="s">
        <v>491</v>
      </c>
      <c r="C187" s="70" t="s">
        <v>14</v>
      </c>
      <c r="D187" s="121">
        <v>29.706145035125001</v>
      </c>
    </row>
    <row r="188" spans="2:4" x14ac:dyDescent="0.25">
      <c r="B188" s="70" t="s">
        <v>491</v>
      </c>
      <c r="C188" s="70" t="s">
        <v>14</v>
      </c>
      <c r="D188" s="121">
        <v>29.790388587037999</v>
      </c>
    </row>
    <row r="189" spans="2:4" x14ac:dyDescent="0.25">
      <c r="B189" s="70" t="s">
        <v>352</v>
      </c>
      <c r="C189" s="70" t="s">
        <v>14</v>
      </c>
      <c r="D189" s="121">
        <v>29.479452133178711</v>
      </c>
    </row>
    <row r="190" spans="2:4" x14ac:dyDescent="0.25">
      <c r="B190" s="70" t="s">
        <v>352</v>
      </c>
      <c r="C190" s="70" t="s">
        <v>14</v>
      </c>
      <c r="D190" s="121">
        <v>29.426174354149001</v>
      </c>
    </row>
    <row r="191" spans="2:4" x14ac:dyDescent="0.25">
      <c r="B191" s="70" t="s">
        <v>352</v>
      </c>
      <c r="C191" s="70" t="s">
        <v>14</v>
      </c>
      <c r="D191" s="121">
        <v>29.419410802912999</v>
      </c>
    </row>
    <row r="192" spans="2:4" x14ac:dyDescent="0.25">
      <c r="B192" s="70" t="s">
        <v>347</v>
      </c>
      <c r="C192" s="70" t="s">
        <v>14</v>
      </c>
      <c r="D192" s="121">
        <v>29.677949905395501</v>
      </c>
    </row>
    <row r="193" spans="2:4" x14ac:dyDescent="0.25">
      <c r="B193" s="70" t="s">
        <v>347</v>
      </c>
      <c r="C193" s="70" t="s">
        <v>14</v>
      </c>
      <c r="D193" s="121">
        <v>29.722303305191001</v>
      </c>
    </row>
    <row r="194" spans="2:4" x14ac:dyDescent="0.25">
      <c r="B194" s="70" t="s">
        <v>347</v>
      </c>
      <c r="C194" s="70" t="s">
        <v>14</v>
      </c>
      <c r="D194" s="121">
        <v>29.652626636703999</v>
      </c>
    </row>
    <row r="195" spans="2:4" x14ac:dyDescent="0.25">
      <c r="B195" s="70" t="s">
        <v>608</v>
      </c>
      <c r="C195" s="70" t="s">
        <v>14</v>
      </c>
      <c r="D195" s="121">
        <v>27.586297988891602</v>
      </c>
    </row>
    <row r="196" spans="2:4" x14ac:dyDescent="0.25">
      <c r="B196" s="70" t="s">
        <v>608</v>
      </c>
      <c r="C196" s="70" t="s">
        <v>14</v>
      </c>
      <c r="D196" s="121">
        <v>27.577669158991</v>
      </c>
    </row>
    <row r="197" spans="2:4" x14ac:dyDescent="0.25">
      <c r="B197" s="70" t="s">
        <v>608</v>
      </c>
      <c r="C197" s="70" t="s">
        <v>14</v>
      </c>
      <c r="D197" s="121">
        <v>27.557444281361001</v>
      </c>
    </row>
    <row r="198" spans="2:4" x14ac:dyDescent="0.25">
      <c r="B198" s="70" t="s">
        <v>602</v>
      </c>
      <c r="C198" s="70" t="s">
        <v>14</v>
      </c>
      <c r="D198" s="121">
        <v>27.567159652709961</v>
      </c>
    </row>
    <row r="199" spans="2:4" x14ac:dyDescent="0.25">
      <c r="B199" s="70" t="s">
        <v>602</v>
      </c>
      <c r="C199" s="70" t="s">
        <v>14</v>
      </c>
      <c r="D199" s="121">
        <v>27.516163917374001</v>
      </c>
    </row>
    <row r="200" spans="2:4" x14ac:dyDescent="0.25">
      <c r="B200" s="70" t="s">
        <v>602</v>
      </c>
      <c r="C200" s="70" t="s">
        <v>14</v>
      </c>
      <c r="D200" s="121">
        <v>27.542930259733001</v>
      </c>
    </row>
    <row r="201" spans="2:4" x14ac:dyDescent="0.25">
      <c r="B201" s="70" t="s">
        <v>603</v>
      </c>
      <c r="C201" s="70" t="s">
        <v>14</v>
      </c>
      <c r="D201" s="121">
        <v>27.438388824462891</v>
      </c>
    </row>
    <row r="202" spans="2:4" x14ac:dyDescent="0.25">
      <c r="B202" s="70" t="s">
        <v>603</v>
      </c>
      <c r="C202" s="70" t="s">
        <v>14</v>
      </c>
      <c r="D202" s="121">
        <v>27.466033779339</v>
      </c>
    </row>
    <row r="203" spans="2:4" x14ac:dyDescent="0.25">
      <c r="B203" s="70" t="s">
        <v>603</v>
      </c>
      <c r="C203" s="70" t="s">
        <v>14</v>
      </c>
      <c r="D203" s="121">
        <v>27.475979603104001</v>
      </c>
    </row>
    <row r="204" spans="2:4" x14ac:dyDescent="0.25">
      <c r="B204" s="70" t="s">
        <v>867</v>
      </c>
      <c r="C204" s="70" t="s">
        <v>14</v>
      </c>
      <c r="D204" s="121">
        <v>27.002519607543945</v>
      </c>
    </row>
    <row r="205" spans="2:4" x14ac:dyDescent="0.25">
      <c r="B205" s="70" t="s">
        <v>867</v>
      </c>
      <c r="C205" s="70" t="s">
        <v>14</v>
      </c>
      <c r="D205" s="121">
        <v>27.115346777595999</v>
      </c>
    </row>
    <row r="206" spans="2:4" x14ac:dyDescent="0.25">
      <c r="B206" s="70" t="s">
        <v>867</v>
      </c>
      <c r="C206" s="70" t="s">
        <v>14</v>
      </c>
      <c r="D206" s="121">
        <v>27.018332161069001</v>
      </c>
    </row>
    <row r="207" spans="2:4" x14ac:dyDescent="0.25">
      <c r="B207" s="70" t="s">
        <v>868</v>
      </c>
      <c r="C207" s="70" t="s">
        <v>14</v>
      </c>
      <c r="D207" s="121">
        <v>27.391960144042969</v>
      </c>
    </row>
    <row r="208" spans="2:4" x14ac:dyDescent="0.25">
      <c r="B208" s="70" t="s">
        <v>868</v>
      </c>
      <c r="C208" s="70" t="s">
        <v>14</v>
      </c>
      <c r="D208" s="121">
        <v>27.404171549408002</v>
      </c>
    </row>
    <row r="209" spans="2:4" x14ac:dyDescent="0.25">
      <c r="B209" s="70" t="s">
        <v>868</v>
      </c>
      <c r="C209" s="70" t="s">
        <v>14</v>
      </c>
      <c r="D209" s="121">
        <v>27.387059543658001</v>
      </c>
    </row>
    <row r="210" spans="2:4" x14ac:dyDescent="0.25">
      <c r="B210" s="70" t="s">
        <v>869</v>
      </c>
      <c r="C210" s="70" t="s">
        <v>14</v>
      </c>
      <c r="D210" s="121">
        <v>27.457330703735352</v>
      </c>
    </row>
    <row r="211" spans="2:4" x14ac:dyDescent="0.25">
      <c r="B211" s="70" t="s">
        <v>869</v>
      </c>
      <c r="C211" s="70" t="s">
        <v>14</v>
      </c>
      <c r="D211" s="121">
        <v>27.466485725262</v>
      </c>
    </row>
    <row r="212" spans="2:4" x14ac:dyDescent="0.25">
      <c r="B212" s="70" t="s">
        <v>869</v>
      </c>
      <c r="C212" s="70" t="s">
        <v>14</v>
      </c>
      <c r="D212" s="121">
        <v>27.462447394282002</v>
      </c>
    </row>
    <row r="213" spans="2:4" x14ac:dyDescent="0.25">
      <c r="B213" s="70" t="s">
        <v>870</v>
      </c>
      <c r="C213" s="70" t="s">
        <v>14</v>
      </c>
      <c r="D213" s="121">
        <v>26.893756866455078</v>
      </c>
    </row>
    <row r="214" spans="2:4" x14ac:dyDescent="0.25">
      <c r="B214" s="70" t="s">
        <v>870</v>
      </c>
      <c r="C214" s="70" t="s">
        <v>14</v>
      </c>
      <c r="D214" s="121">
        <v>26.947978351785</v>
      </c>
    </row>
    <row r="215" spans="2:4" x14ac:dyDescent="0.25">
      <c r="B215" s="70" t="s">
        <v>870</v>
      </c>
      <c r="C215" s="70" t="s">
        <v>14</v>
      </c>
      <c r="D215" s="121">
        <v>26.955747225256999</v>
      </c>
    </row>
    <row r="216" spans="2:4" x14ac:dyDescent="0.25">
      <c r="B216" s="70" t="s">
        <v>871</v>
      </c>
      <c r="C216" s="70" t="s">
        <v>14</v>
      </c>
      <c r="D216" s="121">
        <v>26.947505950927734</v>
      </c>
    </row>
    <row r="217" spans="2:4" x14ac:dyDescent="0.25">
      <c r="B217" s="70" t="s">
        <v>871</v>
      </c>
      <c r="C217" s="70" t="s">
        <v>14</v>
      </c>
      <c r="D217" s="121">
        <v>26.962412311297999</v>
      </c>
    </row>
    <row r="218" spans="2:4" x14ac:dyDescent="0.25">
      <c r="B218" s="70" t="s">
        <v>871</v>
      </c>
      <c r="C218" s="70" t="s">
        <v>14</v>
      </c>
      <c r="D218" s="121">
        <v>26.939852909711998</v>
      </c>
    </row>
    <row r="219" spans="2:4" x14ac:dyDescent="0.25">
      <c r="B219" s="70" t="s">
        <v>872</v>
      </c>
      <c r="C219" s="70" t="s">
        <v>14</v>
      </c>
      <c r="D219" s="121">
        <v>26.983371734619141</v>
      </c>
    </row>
    <row r="220" spans="2:4" x14ac:dyDescent="0.25">
      <c r="B220" s="70" t="s">
        <v>872</v>
      </c>
      <c r="C220" s="70" t="s">
        <v>14</v>
      </c>
      <c r="D220" s="121">
        <v>26.968585724013</v>
      </c>
    </row>
    <row r="221" spans="2:4" x14ac:dyDescent="0.25">
      <c r="B221" s="70" t="s">
        <v>872</v>
      </c>
      <c r="C221" s="70" t="s">
        <v>14</v>
      </c>
      <c r="D221" s="121">
        <v>26.91667539002</v>
      </c>
    </row>
  </sheetData>
  <mergeCells count="44">
    <mergeCell ref="H4:M4"/>
    <mergeCell ref="N4:S4"/>
    <mergeCell ref="H25:M25"/>
    <mergeCell ref="N25:S25"/>
    <mergeCell ref="H37:J37"/>
    <mergeCell ref="K37:M37"/>
    <mergeCell ref="N37:P37"/>
    <mergeCell ref="Q37:S37"/>
    <mergeCell ref="H38:J38"/>
    <mergeCell ref="K38:M38"/>
    <mergeCell ref="N38:P38"/>
    <mergeCell ref="Q38:S38"/>
    <mergeCell ref="H47:J47"/>
    <mergeCell ref="K47:M47"/>
    <mergeCell ref="N47:P47"/>
    <mergeCell ref="Q47:S47"/>
    <mergeCell ref="H48:J48"/>
    <mergeCell ref="K48:M48"/>
    <mergeCell ref="N48:P48"/>
    <mergeCell ref="Q48:S48"/>
    <mergeCell ref="H57:J57"/>
    <mergeCell ref="K57:M57"/>
    <mergeCell ref="N57:P57"/>
    <mergeCell ref="Q57:S57"/>
    <mergeCell ref="H58:J58"/>
    <mergeCell ref="K58:M58"/>
    <mergeCell ref="N58:P58"/>
    <mergeCell ref="Q58:S58"/>
    <mergeCell ref="H67:J67"/>
    <mergeCell ref="K67:M67"/>
    <mergeCell ref="N67:P67"/>
    <mergeCell ref="Q67:S67"/>
    <mergeCell ref="H78:J78"/>
    <mergeCell ref="K78:M78"/>
    <mergeCell ref="N78:P78"/>
    <mergeCell ref="Q78:S78"/>
    <mergeCell ref="H68:J68"/>
    <mergeCell ref="K68:M68"/>
    <mergeCell ref="N68:P68"/>
    <mergeCell ref="Q68:S68"/>
    <mergeCell ref="H77:J77"/>
    <mergeCell ref="K77:M77"/>
    <mergeCell ref="N77:P77"/>
    <mergeCell ref="Q77:S7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A9360-750F-4076-95E2-9C2236C1DB9F}">
  <dimension ref="A1:AE304"/>
  <sheetViews>
    <sheetView zoomScale="70" zoomScaleNormal="70" workbookViewId="0">
      <selection activeCell="E50" sqref="E50"/>
    </sheetView>
  </sheetViews>
  <sheetFormatPr defaultRowHeight="15.6" x14ac:dyDescent="0.25"/>
  <cols>
    <col min="1" max="1" width="8.88671875" style="38"/>
    <col min="2" max="2" width="14.6640625" style="38" customWidth="1"/>
    <col min="3" max="3" width="12.21875" style="38" customWidth="1"/>
    <col min="4" max="4" width="13.44140625" style="38" customWidth="1"/>
    <col min="5" max="5" width="8.88671875" style="38"/>
    <col min="6" max="6" width="36.5546875" style="38" customWidth="1"/>
    <col min="7" max="10" width="8.88671875" style="38"/>
    <col min="11" max="11" width="14.109375" style="38" customWidth="1"/>
    <col min="12" max="12" width="13.6640625" style="38" customWidth="1"/>
    <col min="13" max="13" width="8.88671875" style="38"/>
    <col min="14" max="15" width="12.77734375" style="38" customWidth="1"/>
    <col min="16" max="17" width="8.88671875" style="39"/>
    <col min="18" max="25" width="8.88671875" style="38"/>
    <col min="26" max="28" width="11.6640625" style="38" customWidth="1"/>
    <col min="29" max="29" width="8.88671875" style="38"/>
    <col min="30" max="30" width="19.88671875" style="38" customWidth="1"/>
    <col min="31" max="16384" width="8.88671875" style="38"/>
  </cols>
  <sheetData>
    <row r="1" spans="1:28" ht="19.8" x14ac:dyDescent="0.25">
      <c r="A1" s="50" t="s">
        <v>1065</v>
      </c>
      <c r="W1" s="45" t="s">
        <v>249</v>
      </c>
      <c r="Y1" s="45" t="s">
        <v>248</v>
      </c>
    </row>
    <row r="2" spans="1:28" ht="19.8" x14ac:dyDescent="0.3">
      <c r="M2" s="38" t="s">
        <v>397</v>
      </c>
      <c r="O2" s="38" t="s">
        <v>396</v>
      </c>
      <c r="P2" s="46" t="s">
        <v>249</v>
      </c>
      <c r="Q2" s="46" t="s">
        <v>248</v>
      </c>
      <c r="W2" s="38" t="s">
        <v>395</v>
      </c>
      <c r="X2" s="38">
        <v>5</v>
      </c>
      <c r="Y2" s="38" t="s">
        <v>394</v>
      </c>
      <c r="Z2" s="38">
        <v>15</v>
      </c>
    </row>
    <row r="3" spans="1:28" ht="16.8" x14ac:dyDescent="0.25">
      <c r="A3" s="43"/>
      <c r="B3" s="43" t="s">
        <v>393</v>
      </c>
      <c r="C3" s="44" t="s">
        <v>392</v>
      </c>
      <c r="L3" s="39">
        <f t="shared" ref="L3:L66" si="0">M3/30</f>
        <v>2.0333333333333332</v>
      </c>
      <c r="M3" s="38">
        <v>61</v>
      </c>
      <c r="N3" s="40">
        <v>44624</v>
      </c>
      <c r="O3" s="40" t="s">
        <v>391</v>
      </c>
      <c r="P3" s="39">
        <f t="shared" ref="P3:Q29" si="1">(0)/6</f>
        <v>0</v>
      </c>
      <c r="Q3" s="39">
        <f t="shared" si="1"/>
        <v>0</v>
      </c>
      <c r="R3" s="38">
        <v>1</v>
      </c>
      <c r="S3" s="39">
        <f t="shared" ref="S3:S66" si="2">P4-P3</f>
        <v>0</v>
      </c>
      <c r="T3" s="39">
        <f t="shared" ref="T3:T66" si="3">Q4-Q3</f>
        <v>0</v>
      </c>
      <c r="W3" s="38" t="s">
        <v>390</v>
      </c>
      <c r="X3" s="38">
        <v>7</v>
      </c>
      <c r="Y3" s="38" t="s">
        <v>389</v>
      </c>
      <c r="Z3" s="38">
        <v>7</v>
      </c>
      <c r="AB3" s="38" t="s">
        <v>398</v>
      </c>
    </row>
    <row r="4" spans="1:28" ht="16.8" x14ac:dyDescent="0.25">
      <c r="A4" s="43"/>
      <c r="B4" s="43" t="s">
        <v>388</v>
      </c>
      <c r="C4" s="44" t="s">
        <v>387</v>
      </c>
      <c r="L4" s="39">
        <f t="shared" si="0"/>
        <v>2.0666666666666669</v>
      </c>
      <c r="M4" s="38">
        <v>62</v>
      </c>
      <c r="N4" s="40">
        <v>44625</v>
      </c>
      <c r="O4" s="40" t="s">
        <v>386</v>
      </c>
      <c r="P4" s="39">
        <f t="shared" si="1"/>
        <v>0</v>
      </c>
      <c r="Q4" s="39">
        <f t="shared" si="1"/>
        <v>0</v>
      </c>
      <c r="R4" s="38">
        <v>1</v>
      </c>
      <c r="S4" s="39">
        <f t="shared" si="2"/>
        <v>0</v>
      </c>
      <c r="T4" s="39">
        <f t="shared" si="3"/>
        <v>0</v>
      </c>
      <c r="W4" s="38" t="s">
        <v>385</v>
      </c>
      <c r="X4" s="38">
        <v>7</v>
      </c>
      <c r="Y4" s="38" t="s">
        <v>384</v>
      </c>
      <c r="Z4" s="38">
        <v>10</v>
      </c>
    </row>
    <row r="5" spans="1:28" ht="16.8" x14ac:dyDescent="0.25">
      <c r="A5" s="43"/>
      <c r="B5" s="43" t="s">
        <v>383</v>
      </c>
      <c r="C5" s="44" t="s">
        <v>382</v>
      </c>
      <c r="L5" s="39">
        <f t="shared" si="0"/>
        <v>2.1</v>
      </c>
      <c r="M5" s="38">
        <v>63</v>
      </c>
      <c r="N5" s="40">
        <v>44626</v>
      </c>
      <c r="O5" s="40" t="s">
        <v>381</v>
      </c>
      <c r="P5" s="39">
        <f t="shared" si="1"/>
        <v>0</v>
      </c>
      <c r="Q5" s="39">
        <f t="shared" si="1"/>
        <v>0</v>
      </c>
      <c r="R5" s="38">
        <v>1</v>
      </c>
      <c r="S5" s="39">
        <f t="shared" si="2"/>
        <v>0</v>
      </c>
      <c r="T5" s="39">
        <f t="shared" si="3"/>
        <v>0</v>
      </c>
      <c r="W5" s="38" t="s">
        <v>380</v>
      </c>
      <c r="X5" s="38">
        <v>9</v>
      </c>
      <c r="Y5" s="38" t="s">
        <v>379</v>
      </c>
      <c r="Z5" s="38">
        <v>1</v>
      </c>
    </row>
    <row r="6" spans="1:28" ht="16.8" x14ac:dyDescent="0.25">
      <c r="A6" s="43"/>
      <c r="B6" s="43" t="s">
        <v>378</v>
      </c>
      <c r="C6" s="44" t="s">
        <v>377</v>
      </c>
      <c r="L6" s="39">
        <f t="shared" si="0"/>
        <v>2.1333333333333333</v>
      </c>
      <c r="M6" s="38">
        <v>64</v>
      </c>
      <c r="N6" s="40">
        <v>44627</v>
      </c>
      <c r="O6" s="40" t="s">
        <v>376</v>
      </c>
      <c r="P6" s="39">
        <f t="shared" si="1"/>
        <v>0</v>
      </c>
      <c r="Q6" s="39">
        <f t="shared" si="1"/>
        <v>0</v>
      </c>
      <c r="R6" s="38">
        <v>1</v>
      </c>
      <c r="S6" s="39">
        <f t="shared" si="2"/>
        <v>0</v>
      </c>
      <c r="T6" s="39">
        <f t="shared" si="3"/>
        <v>0</v>
      </c>
      <c r="W6" s="38" t="s">
        <v>375</v>
      </c>
      <c r="X6" s="38">
        <v>8</v>
      </c>
      <c r="Y6" s="38" t="s">
        <v>374</v>
      </c>
      <c r="Z6" s="38">
        <v>6</v>
      </c>
    </row>
    <row r="7" spans="1:28" ht="16.8" x14ac:dyDescent="0.25">
      <c r="A7" s="43"/>
      <c r="B7" s="43" t="s">
        <v>373</v>
      </c>
      <c r="C7" s="44" t="s">
        <v>372</v>
      </c>
      <c r="L7" s="39">
        <f t="shared" si="0"/>
        <v>2.1666666666666665</v>
      </c>
      <c r="M7" s="38">
        <v>65</v>
      </c>
      <c r="N7" s="40">
        <v>44628</v>
      </c>
      <c r="O7" s="40" t="s">
        <v>371</v>
      </c>
      <c r="P7" s="39">
        <f t="shared" si="1"/>
        <v>0</v>
      </c>
      <c r="Q7" s="39">
        <f t="shared" si="1"/>
        <v>0</v>
      </c>
      <c r="R7" s="38">
        <v>1</v>
      </c>
      <c r="S7" s="39">
        <f t="shared" si="2"/>
        <v>0</v>
      </c>
      <c r="T7" s="39">
        <f t="shared" si="3"/>
        <v>0</v>
      </c>
      <c r="W7" s="38" t="s">
        <v>370</v>
      </c>
      <c r="X7" s="38">
        <v>3</v>
      </c>
      <c r="Y7" s="38" t="s">
        <v>369</v>
      </c>
      <c r="Z7" s="38">
        <v>8</v>
      </c>
    </row>
    <row r="8" spans="1:28" ht="16.8" x14ac:dyDescent="0.25">
      <c r="B8" s="43" t="s">
        <v>368</v>
      </c>
      <c r="C8" s="44" t="s">
        <v>367</v>
      </c>
      <c r="L8" s="39">
        <f t="shared" si="0"/>
        <v>2.2000000000000002</v>
      </c>
      <c r="M8" s="38">
        <v>66</v>
      </c>
      <c r="N8" s="40">
        <v>44629</v>
      </c>
      <c r="O8" s="40" t="s">
        <v>366</v>
      </c>
      <c r="P8" s="39">
        <f t="shared" si="1"/>
        <v>0</v>
      </c>
      <c r="Q8" s="39">
        <f t="shared" si="1"/>
        <v>0</v>
      </c>
      <c r="R8" s="38">
        <v>1</v>
      </c>
      <c r="S8" s="39">
        <f t="shared" si="2"/>
        <v>0</v>
      </c>
      <c r="T8" s="39">
        <f t="shared" si="3"/>
        <v>0</v>
      </c>
      <c r="W8" s="38" t="s">
        <v>365</v>
      </c>
      <c r="X8" s="38">
        <v>10</v>
      </c>
      <c r="Y8" s="38" t="s">
        <v>364</v>
      </c>
      <c r="Z8" s="38">
        <v>5</v>
      </c>
    </row>
    <row r="9" spans="1:28" x14ac:dyDescent="0.25">
      <c r="L9" s="39">
        <f t="shared" si="0"/>
        <v>2.2333333333333334</v>
      </c>
      <c r="M9" s="38">
        <v>67</v>
      </c>
      <c r="N9" s="40">
        <v>44630</v>
      </c>
      <c r="O9" s="40" t="s">
        <v>363</v>
      </c>
      <c r="P9" s="39">
        <f t="shared" si="1"/>
        <v>0</v>
      </c>
      <c r="Q9" s="39">
        <f t="shared" si="1"/>
        <v>0</v>
      </c>
      <c r="R9" s="38">
        <v>1</v>
      </c>
      <c r="S9" s="39">
        <f t="shared" si="2"/>
        <v>0</v>
      </c>
      <c r="T9" s="39">
        <f t="shared" si="3"/>
        <v>0</v>
      </c>
      <c r="W9" s="38" t="s">
        <v>362</v>
      </c>
      <c r="X9" s="38">
        <v>11</v>
      </c>
      <c r="Y9" s="38" t="s">
        <v>361</v>
      </c>
      <c r="Z9" s="38">
        <v>1</v>
      </c>
    </row>
    <row r="10" spans="1:28" x14ac:dyDescent="0.25">
      <c r="L10" s="39">
        <f t="shared" si="0"/>
        <v>2.2666666666666666</v>
      </c>
      <c r="M10" s="38">
        <v>68</v>
      </c>
      <c r="N10" s="40">
        <v>44631</v>
      </c>
      <c r="O10" s="40" t="s">
        <v>360</v>
      </c>
      <c r="P10" s="39">
        <f t="shared" si="1"/>
        <v>0</v>
      </c>
      <c r="Q10" s="39">
        <f t="shared" si="1"/>
        <v>0</v>
      </c>
      <c r="R10" s="38">
        <v>1</v>
      </c>
      <c r="S10" s="39">
        <f t="shared" si="2"/>
        <v>0</v>
      </c>
      <c r="T10" s="39">
        <f t="shared" si="3"/>
        <v>0</v>
      </c>
      <c r="W10" s="38" t="s">
        <v>359</v>
      </c>
      <c r="X10" s="38">
        <v>9</v>
      </c>
      <c r="Y10" s="38" t="s">
        <v>358</v>
      </c>
      <c r="Z10" s="38">
        <v>5</v>
      </c>
    </row>
    <row r="11" spans="1:28" ht="16.8" x14ac:dyDescent="0.25">
      <c r="B11" s="43" t="s">
        <v>357</v>
      </c>
      <c r="C11" s="44" t="s">
        <v>356</v>
      </c>
      <c r="L11" s="39">
        <f t="shared" si="0"/>
        <v>2.2999999999999998</v>
      </c>
      <c r="M11" s="38">
        <v>69</v>
      </c>
      <c r="N11" s="40">
        <v>44632</v>
      </c>
      <c r="O11" s="40" t="s">
        <v>355</v>
      </c>
      <c r="P11" s="39">
        <f t="shared" si="1"/>
        <v>0</v>
      </c>
      <c r="Q11" s="39">
        <f t="shared" si="1"/>
        <v>0</v>
      </c>
      <c r="R11" s="38">
        <v>1</v>
      </c>
      <c r="S11" s="39">
        <f t="shared" si="2"/>
        <v>0</v>
      </c>
      <c r="T11" s="39">
        <f t="shared" si="3"/>
        <v>0</v>
      </c>
      <c r="W11" s="38" t="s">
        <v>354</v>
      </c>
      <c r="X11" s="38">
        <v>7</v>
      </c>
      <c r="Y11" s="38" t="s">
        <v>353</v>
      </c>
      <c r="Z11" s="38">
        <v>2</v>
      </c>
    </row>
    <row r="12" spans="1:28" ht="16.8" x14ac:dyDescent="0.25">
      <c r="B12" s="43" t="s">
        <v>352</v>
      </c>
      <c r="C12" s="44" t="s">
        <v>351</v>
      </c>
      <c r="L12" s="39">
        <f t="shared" si="0"/>
        <v>2.3333333333333335</v>
      </c>
      <c r="M12" s="38">
        <v>70</v>
      </c>
      <c r="N12" s="40">
        <v>44633</v>
      </c>
      <c r="O12" s="40" t="s">
        <v>350</v>
      </c>
      <c r="P12" s="39">
        <f t="shared" si="1"/>
        <v>0</v>
      </c>
      <c r="Q12" s="39">
        <f t="shared" si="1"/>
        <v>0</v>
      </c>
      <c r="R12" s="38">
        <v>1</v>
      </c>
      <c r="S12" s="39">
        <f t="shared" si="2"/>
        <v>0</v>
      </c>
      <c r="T12" s="39">
        <f t="shared" si="3"/>
        <v>0</v>
      </c>
      <c r="W12" s="38" t="s">
        <v>349</v>
      </c>
      <c r="X12" s="38">
        <v>10</v>
      </c>
      <c r="Y12" s="38" t="s">
        <v>348</v>
      </c>
      <c r="Z12" s="38">
        <v>6</v>
      </c>
    </row>
    <row r="13" spans="1:28" ht="16.8" x14ac:dyDescent="0.25">
      <c r="B13" s="43" t="s">
        <v>347</v>
      </c>
      <c r="C13" s="44" t="s">
        <v>346</v>
      </c>
      <c r="L13" s="39">
        <f t="shared" si="0"/>
        <v>2.3666666666666667</v>
      </c>
      <c r="M13" s="38">
        <v>71</v>
      </c>
      <c r="N13" s="40">
        <v>44634</v>
      </c>
      <c r="O13" s="40" t="s">
        <v>345</v>
      </c>
      <c r="P13" s="39">
        <f t="shared" si="1"/>
        <v>0</v>
      </c>
      <c r="Q13" s="39">
        <f t="shared" si="1"/>
        <v>0</v>
      </c>
      <c r="R13" s="38">
        <v>1</v>
      </c>
      <c r="S13" s="39">
        <f t="shared" si="2"/>
        <v>0</v>
      </c>
      <c r="T13" s="39">
        <f t="shared" si="3"/>
        <v>0</v>
      </c>
      <c r="W13" s="38" t="s">
        <v>344</v>
      </c>
      <c r="X13" s="38">
        <v>13</v>
      </c>
      <c r="Y13" s="38" t="s">
        <v>343</v>
      </c>
      <c r="Z13" s="38">
        <v>7</v>
      </c>
    </row>
    <row r="14" spans="1:28" ht="16.8" x14ac:dyDescent="0.25">
      <c r="B14" s="43" t="s">
        <v>342</v>
      </c>
      <c r="C14" s="44" t="s">
        <v>341</v>
      </c>
      <c r="L14" s="39">
        <f t="shared" si="0"/>
        <v>2.4</v>
      </c>
      <c r="M14" s="38">
        <v>72</v>
      </c>
      <c r="N14" s="40">
        <v>44635</v>
      </c>
      <c r="O14" s="40" t="s">
        <v>340</v>
      </c>
      <c r="P14" s="39">
        <f t="shared" si="1"/>
        <v>0</v>
      </c>
      <c r="Q14" s="39">
        <f t="shared" si="1"/>
        <v>0</v>
      </c>
      <c r="R14" s="38">
        <v>1</v>
      </c>
      <c r="S14" s="39">
        <f t="shared" si="2"/>
        <v>0</v>
      </c>
      <c r="T14" s="39">
        <f t="shared" si="3"/>
        <v>0</v>
      </c>
      <c r="W14" s="38" t="s">
        <v>339</v>
      </c>
      <c r="X14" s="38">
        <v>9</v>
      </c>
      <c r="Y14" s="38" t="s">
        <v>338</v>
      </c>
      <c r="Z14" s="38">
        <v>7</v>
      </c>
    </row>
    <row r="15" spans="1:28" ht="16.8" x14ac:dyDescent="0.25">
      <c r="B15" s="43" t="s">
        <v>337</v>
      </c>
      <c r="C15" s="44" t="s">
        <v>336</v>
      </c>
      <c r="L15" s="39">
        <f t="shared" si="0"/>
        <v>2.4333333333333331</v>
      </c>
      <c r="M15" s="38">
        <v>73</v>
      </c>
      <c r="N15" s="40">
        <v>44636</v>
      </c>
      <c r="O15" s="40" t="s">
        <v>335</v>
      </c>
      <c r="P15" s="39">
        <f t="shared" si="1"/>
        <v>0</v>
      </c>
      <c r="Q15" s="39">
        <f t="shared" si="1"/>
        <v>0</v>
      </c>
      <c r="R15" s="38">
        <v>1</v>
      </c>
      <c r="S15" s="39">
        <f t="shared" si="2"/>
        <v>0</v>
      </c>
      <c r="T15" s="39">
        <f t="shared" si="3"/>
        <v>0</v>
      </c>
      <c r="W15" s="38" t="s">
        <v>334</v>
      </c>
      <c r="X15" s="38">
        <v>11</v>
      </c>
      <c r="Y15" s="38" t="s">
        <v>333</v>
      </c>
      <c r="Z15" s="38">
        <v>4</v>
      </c>
    </row>
    <row r="16" spans="1:28" ht="16.8" x14ac:dyDescent="0.25">
      <c r="B16" s="43" t="s">
        <v>332</v>
      </c>
      <c r="C16" s="44" t="s">
        <v>331</v>
      </c>
      <c r="L16" s="39">
        <f t="shared" si="0"/>
        <v>2.4666666666666668</v>
      </c>
      <c r="M16" s="38">
        <v>74</v>
      </c>
      <c r="N16" s="40">
        <v>44637</v>
      </c>
      <c r="O16" s="40" t="s">
        <v>330</v>
      </c>
      <c r="P16" s="39">
        <f t="shared" si="1"/>
        <v>0</v>
      </c>
      <c r="Q16" s="39">
        <f t="shared" si="1"/>
        <v>0</v>
      </c>
      <c r="R16" s="38">
        <v>1</v>
      </c>
      <c r="S16" s="39">
        <f t="shared" si="2"/>
        <v>0</v>
      </c>
      <c r="T16" s="39">
        <f t="shared" si="3"/>
        <v>0</v>
      </c>
      <c r="W16" s="38" t="s">
        <v>329</v>
      </c>
      <c r="X16" s="38">
        <v>7</v>
      </c>
      <c r="Y16" s="38" t="s">
        <v>328</v>
      </c>
      <c r="Z16" s="38">
        <v>4</v>
      </c>
    </row>
    <row r="17" spans="2:26" x14ac:dyDescent="0.25">
      <c r="B17" s="43"/>
      <c r="L17" s="39">
        <f t="shared" si="0"/>
        <v>2.5</v>
      </c>
      <c r="M17" s="38">
        <v>75</v>
      </c>
      <c r="N17" s="40">
        <v>44638</v>
      </c>
      <c r="O17" s="40" t="s">
        <v>327</v>
      </c>
      <c r="P17" s="39">
        <f t="shared" si="1"/>
        <v>0</v>
      </c>
      <c r="Q17" s="39">
        <f t="shared" si="1"/>
        <v>0</v>
      </c>
      <c r="R17" s="38">
        <v>1</v>
      </c>
      <c r="S17" s="39">
        <f t="shared" si="2"/>
        <v>0</v>
      </c>
      <c r="T17" s="39">
        <f t="shared" si="3"/>
        <v>0</v>
      </c>
      <c r="W17" s="38" t="s">
        <v>326</v>
      </c>
      <c r="X17" s="38">
        <v>8</v>
      </c>
      <c r="Y17" s="38" t="s">
        <v>325</v>
      </c>
      <c r="Z17" s="38">
        <v>2</v>
      </c>
    </row>
    <row r="18" spans="2:26" x14ac:dyDescent="0.25">
      <c r="L18" s="39">
        <f t="shared" si="0"/>
        <v>2.5333333333333332</v>
      </c>
      <c r="M18" s="38">
        <v>76</v>
      </c>
      <c r="N18" s="40">
        <v>44639</v>
      </c>
      <c r="O18" s="40" t="s">
        <v>324</v>
      </c>
      <c r="P18" s="39">
        <f t="shared" si="1"/>
        <v>0</v>
      </c>
      <c r="Q18" s="39">
        <f t="shared" si="1"/>
        <v>0</v>
      </c>
      <c r="R18" s="38">
        <v>1</v>
      </c>
      <c r="S18" s="39">
        <f t="shared" si="2"/>
        <v>0</v>
      </c>
      <c r="T18" s="39">
        <f t="shared" si="3"/>
        <v>0</v>
      </c>
      <c r="W18" s="38" t="s">
        <v>323</v>
      </c>
      <c r="X18" s="38">
        <v>10</v>
      </c>
      <c r="Y18" s="38" t="s">
        <v>322</v>
      </c>
      <c r="Z18" s="38">
        <v>2</v>
      </c>
    </row>
    <row r="19" spans="2:26" x14ac:dyDescent="0.25">
      <c r="L19" s="39">
        <f t="shared" si="0"/>
        <v>2.5666666666666669</v>
      </c>
      <c r="M19" s="38">
        <v>77</v>
      </c>
      <c r="N19" s="40">
        <v>44640</v>
      </c>
      <c r="O19" s="40" t="s">
        <v>321</v>
      </c>
      <c r="P19" s="39">
        <f t="shared" si="1"/>
        <v>0</v>
      </c>
      <c r="Q19" s="39">
        <f t="shared" si="1"/>
        <v>0</v>
      </c>
      <c r="R19" s="38">
        <v>1</v>
      </c>
      <c r="S19" s="39">
        <f t="shared" si="2"/>
        <v>0</v>
      </c>
      <c r="T19" s="39">
        <f t="shared" si="3"/>
        <v>0</v>
      </c>
      <c r="W19" s="38" t="s">
        <v>320</v>
      </c>
      <c r="X19" s="38">
        <v>8</v>
      </c>
      <c r="Y19" s="38" t="s">
        <v>319</v>
      </c>
      <c r="Z19" s="38">
        <v>6</v>
      </c>
    </row>
    <row r="20" spans="2:26" x14ac:dyDescent="0.25">
      <c r="L20" s="39">
        <f t="shared" si="0"/>
        <v>2.6</v>
      </c>
      <c r="M20" s="38">
        <v>78</v>
      </c>
      <c r="N20" s="40">
        <v>44641</v>
      </c>
      <c r="O20" s="40" t="s">
        <v>318</v>
      </c>
      <c r="P20" s="39">
        <f t="shared" si="1"/>
        <v>0</v>
      </c>
      <c r="Q20" s="39">
        <f t="shared" si="1"/>
        <v>0</v>
      </c>
      <c r="R20" s="38">
        <v>1</v>
      </c>
      <c r="S20" s="39">
        <f t="shared" si="2"/>
        <v>0</v>
      </c>
      <c r="T20" s="39">
        <f t="shared" si="3"/>
        <v>0</v>
      </c>
      <c r="W20" s="38" t="s">
        <v>317</v>
      </c>
      <c r="X20" s="38">
        <v>3</v>
      </c>
      <c r="Y20" s="38" t="s">
        <v>316</v>
      </c>
      <c r="Z20" s="38">
        <v>6</v>
      </c>
    </row>
    <row r="21" spans="2:26" x14ac:dyDescent="0.25">
      <c r="F21" s="53" t="s">
        <v>451</v>
      </c>
      <c r="G21" s="52" t="s">
        <v>467</v>
      </c>
      <c r="L21" s="39">
        <f t="shared" si="0"/>
        <v>2.6333333333333333</v>
      </c>
      <c r="M21" s="38">
        <v>79</v>
      </c>
      <c r="N21" s="40">
        <v>44642</v>
      </c>
      <c r="O21" s="40" t="s">
        <v>315</v>
      </c>
      <c r="P21" s="39">
        <f t="shared" si="1"/>
        <v>0</v>
      </c>
      <c r="Q21" s="39">
        <f t="shared" si="1"/>
        <v>0</v>
      </c>
      <c r="R21" s="38">
        <v>1</v>
      </c>
      <c r="S21" s="39">
        <f t="shared" si="2"/>
        <v>0</v>
      </c>
      <c r="T21" s="39">
        <f t="shared" si="3"/>
        <v>0</v>
      </c>
      <c r="W21" s="38" t="s">
        <v>314</v>
      </c>
      <c r="X21" s="38">
        <v>9</v>
      </c>
      <c r="Y21" s="38" t="s">
        <v>313</v>
      </c>
      <c r="Z21" s="38">
        <v>7</v>
      </c>
    </row>
    <row r="22" spans="2:26" x14ac:dyDescent="0.25">
      <c r="B22" s="151" t="s">
        <v>1066</v>
      </c>
      <c r="C22" s="151"/>
      <c r="D22" s="151"/>
      <c r="F22" s="53"/>
      <c r="G22" s="52"/>
      <c r="L22" s="39">
        <f t="shared" si="0"/>
        <v>2.6666666666666665</v>
      </c>
      <c r="M22" s="38">
        <v>80</v>
      </c>
      <c r="N22" s="40">
        <v>44643</v>
      </c>
      <c r="O22" s="40" t="s">
        <v>312</v>
      </c>
      <c r="P22" s="39">
        <f t="shared" si="1"/>
        <v>0</v>
      </c>
      <c r="Q22" s="39">
        <f t="shared" si="1"/>
        <v>0</v>
      </c>
      <c r="R22" s="38">
        <v>1</v>
      </c>
      <c r="S22" s="39">
        <f t="shared" si="2"/>
        <v>0</v>
      </c>
      <c r="T22" s="39">
        <f t="shared" si="3"/>
        <v>0</v>
      </c>
      <c r="W22" s="38" t="s">
        <v>311</v>
      </c>
      <c r="X22" s="38">
        <v>11</v>
      </c>
      <c r="Y22" s="38" t="s">
        <v>310</v>
      </c>
      <c r="Z22" s="38">
        <v>8</v>
      </c>
    </row>
    <row r="23" spans="2:26" ht="19.8" x14ac:dyDescent="0.25">
      <c r="C23" s="45" t="s">
        <v>249</v>
      </c>
      <c r="D23" s="45" t="s">
        <v>248</v>
      </c>
      <c r="F23" s="53" t="s">
        <v>419</v>
      </c>
      <c r="G23" s="52" t="s">
        <v>468</v>
      </c>
      <c r="L23" s="39">
        <f t="shared" si="0"/>
        <v>2.7</v>
      </c>
      <c r="M23" s="38">
        <v>81</v>
      </c>
      <c r="N23" s="40">
        <v>44644</v>
      </c>
      <c r="O23" s="40" t="s">
        <v>309</v>
      </c>
      <c r="P23" s="39">
        <f t="shared" si="1"/>
        <v>0</v>
      </c>
      <c r="Q23" s="39">
        <f t="shared" si="1"/>
        <v>0</v>
      </c>
      <c r="R23" s="38">
        <v>1</v>
      </c>
      <c r="S23" s="39">
        <f t="shared" si="2"/>
        <v>0</v>
      </c>
      <c r="T23" s="39">
        <f t="shared" si="3"/>
        <v>0</v>
      </c>
      <c r="W23" s="38" t="s">
        <v>308</v>
      </c>
      <c r="X23" s="38">
        <v>8</v>
      </c>
      <c r="Y23" s="38" t="s">
        <v>307</v>
      </c>
      <c r="Z23" s="38">
        <v>4</v>
      </c>
    </row>
    <row r="24" spans="2:26" x14ac:dyDescent="0.25">
      <c r="C24" s="38">
        <v>4</v>
      </c>
      <c r="D24" s="38">
        <v>3</v>
      </c>
      <c r="F24" s="53" t="s">
        <v>421</v>
      </c>
      <c r="G24" s="52" t="s">
        <v>421</v>
      </c>
      <c r="L24" s="39">
        <f t="shared" si="0"/>
        <v>2.7333333333333334</v>
      </c>
      <c r="M24" s="38">
        <v>82</v>
      </c>
      <c r="N24" s="40">
        <v>44645</v>
      </c>
      <c r="O24" s="40" t="s">
        <v>306</v>
      </c>
      <c r="P24" s="39">
        <f t="shared" si="1"/>
        <v>0</v>
      </c>
      <c r="Q24" s="39">
        <f t="shared" si="1"/>
        <v>0</v>
      </c>
      <c r="R24" s="38">
        <v>1</v>
      </c>
      <c r="S24" s="39">
        <f t="shared" si="2"/>
        <v>0</v>
      </c>
      <c r="T24" s="39">
        <f t="shared" si="3"/>
        <v>0</v>
      </c>
      <c r="W24" s="38" t="s">
        <v>305</v>
      </c>
      <c r="X24" s="38">
        <v>10</v>
      </c>
      <c r="Y24" s="38" t="s">
        <v>304</v>
      </c>
      <c r="Z24" s="38">
        <v>5</v>
      </c>
    </row>
    <row r="25" spans="2:26" x14ac:dyDescent="0.25">
      <c r="C25" s="38">
        <v>7</v>
      </c>
      <c r="D25" s="38">
        <v>4</v>
      </c>
      <c r="F25" s="53" t="s">
        <v>422</v>
      </c>
      <c r="G25" s="52" t="s">
        <v>469</v>
      </c>
      <c r="L25" s="39">
        <f t="shared" si="0"/>
        <v>2.7666666666666666</v>
      </c>
      <c r="M25" s="38">
        <v>83</v>
      </c>
      <c r="N25" s="40">
        <v>44646</v>
      </c>
      <c r="O25" s="40" t="s">
        <v>303</v>
      </c>
      <c r="P25" s="39">
        <f t="shared" si="1"/>
        <v>0</v>
      </c>
      <c r="Q25" s="39">
        <f t="shared" si="1"/>
        <v>0</v>
      </c>
      <c r="R25" s="38">
        <v>1</v>
      </c>
      <c r="S25" s="39">
        <f t="shared" si="2"/>
        <v>0</v>
      </c>
      <c r="T25" s="39">
        <f t="shared" si="3"/>
        <v>0</v>
      </c>
      <c r="W25" s="38" t="s">
        <v>302</v>
      </c>
      <c r="X25" s="38">
        <v>8</v>
      </c>
      <c r="Y25" s="38" t="s">
        <v>301</v>
      </c>
      <c r="Z25" s="38">
        <v>3</v>
      </c>
    </row>
    <row r="26" spans="2:26" x14ac:dyDescent="0.25">
      <c r="C26" s="38">
        <v>4</v>
      </c>
      <c r="D26" s="38">
        <v>2</v>
      </c>
      <c r="F26" s="53"/>
      <c r="G26" s="52"/>
      <c r="L26" s="39">
        <f t="shared" si="0"/>
        <v>2.8</v>
      </c>
      <c r="M26" s="38">
        <v>84</v>
      </c>
      <c r="N26" s="40">
        <v>44647</v>
      </c>
      <c r="O26" s="40" t="s">
        <v>300</v>
      </c>
      <c r="P26" s="39">
        <f t="shared" si="1"/>
        <v>0</v>
      </c>
      <c r="Q26" s="39">
        <f t="shared" si="1"/>
        <v>0</v>
      </c>
      <c r="R26" s="38">
        <v>1</v>
      </c>
      <c r="S26" s="39">
        <f t="shared" si="2"/>
        <v>0</v>
      </c>
      <c r="T26" s="39">
        <f t="shared" si="3"/>
        <v>0</v>
      </c>
      <c r="W26" s="38" t="s">
        <v>299</v>
      </c>
      <c r="X26" s="38">
        <v>7</v>
      </c>
      <c r="Y26" s="38" t="s">
        <v>298</v>
      </c>
      <c r="Z26" s="38">
        <v>2</v>
      </c>
    </row>
    <row r="27" spans="2:26" x14ac:dyDescent="0.25">
      <c r="C27" s="38">
        <v>4</v>
      </c>
      <c r="D27" s="38">
        <v>1</v>
      </c>
      <c r="F27" s="53" t="s">
        <v>424</v>
      </c>
      <c r="G27" s="52"/>
      <c r="L27" s="39">
        <f t="shared" si="0"/>
        <v>2.8333333333333335</v>
      </c>
      <c r="M27" s="38">
        <v>85</v>
      </c>
      <c r="N27" s="40">
        <v>44648</v>
      </c>
      <c r="O27" s="40" t="s">
        <v>297</v>
      </c>
      <c r="P27" s="39">
        <f t="shared" si="1"/>
        <v>0</v>
      </c>
      <c r="Q27" s="39">
        <f t="shared" si="1"/>
        <v>0</v>
      </c>
      <c r="R27" s="38">
        <v>1</v>
      </c>
      <c r="S27" s="39">
        <f t="shared" si="2"/>
        <v>0</v>
      </c>
      <c r="T27" s="39">
        <f t="shared" si="3"/>
        <v>0</v>
      </c>
      <c r="W27" s="38" t="s">
        <v>296</v>
      </c>
      <c r="X27" s="38">
        <v>11</v>
      </c>
      <c r="Y27" s="38" t="s">
        <v>295</v>
      </c>
      <c r="Z27" s="38">
        <v>6</v>
      </c>
    </row>
    <row r="28" spans="2:26" x14ac:dyDescent="0.25">
      <c r="C28" s="38">
        <v>6</v>
      </c>
      <c r="D28" s="38">
        <v>2</v>
      </c>
      <c r="F28" s="53" t="s">
        <v>425</v>
      </c>
      <c r="G28" s="52">
        <v>3.5999999999999999E-3</v>
      </c>
      <c r="L28" s="39">
        <f t="shared" si="0"/>
        <v>2.8666666666666667</v>
      </c>
      <c r="M28" s="38">
        <v>86</v>
      </c>
      <c r="N28" s="40">
        <v>44649</v>
      </c>
      <c r="O28" s="40" t="s">
        <v>294</v>
      </c>
      <c r="P28" s="39">
        <f t="shared" si="1"/>
        <v>0</v>
      </c>
      <c r="Q28" s="39">
        <f t="shared" si="1"/>
        <v>0</v>
      </c>
      <c r="R28" s="38">
        <v>1</v>
      </c>
      <c r="S28" s="39">
        <f t="shared" si="2"/>
        <v>0</v>
      </c>
      <c r="T28" s="39">
        <f t="shared" si="3"/>
        <v>0</v>
      </c>
      <c r="W28" s="38" t="s">
        <v>293</v>
      </c>
      <c r="X28" s="38">
        <v>6</v>
      </c>
      <c r="Y28" s="38" t="s">
        <v>292</v>
      </c>
      <c r="Z28" s="38">
        <v>7</v>
      </c>
    </row>
    <row r="29" spans="2:26" x14ac:dyDescent="0.25">
      <c r="C29" s="38">
        <v>7</v>
      </c>
      <c r="D29" s="38">
        <v>3</v>
      </c>
      <c r="F29" s="53" t="s">
        <v>426</v>
      </c>
      <c r="G29" s="52" t="s">
        <v>427</v>
      </c>
      <c r="L29" s="39">
        <f t="shared" si="0"/>
        <v>2.9</v>
      </c>
      <c r="M29" s="38">
        <v>87</v>
      </c>
      <c r="N29" s="40">
        <v>44650</v>
      </c>
      <c r="O29" s="40" t="s">
        <v>291</v>
      </c>
      <c r="P29" s="39">
        <f t="shared" si="1"/>
        <v>0</v>
      </c>
      <c r="Q29" s="39">
        <f t="shared" si="1"/>
        <v>0</v>
      </c>
      <c r="R29" s="38">
        <v>1</v>
      </c>
      <c r="S29" s="39">
        <f t="shared" si="2"/>
        <v>0.83333333333333337</v>
      </c>
      <c r="T29" s="39">
        <f t="shared" si="3"/>
        <v>0</v>
      </c>
      <c r="W29" s="38" t="s">
        <v>290</v>
      </c>
      <c r="X29" s="38">
        <v>8</v>
      </c>
      <c r="Y29" s="38" t="s">
        <v>289</v>
      </c>
      <c r="Z29" s="38">
        <v>8</v>
      </c>
    </row>
    <row r="30" spans="2:26" x14ac:dyDescent="0.25">
      <c r="F30" s="53" t="s">
        <v>428</v>
      </c>
      <c r="G30" s="52" t="s">
        <v>429</v>
      </c>
      <c r="L30" s="39">
        <f t="shared" si="0"/>
        <v>2.9333333333333331</v>
      </c>
      <c r="M30" s="38">
        <v>88</v>
      </c>
      <c r="N30" s="40">
        <v>44651</v>
      </c>
      <c r="O30" s="40" t="s">
        <v>288</v>
      </c>
      <c r="P30" s="39">
        <f>(5)/6</f>
        <v>0.83333333333333337</v>
      </c>
      <c r="Q30" s="39">
        <f>(0)/6</f>
        <v>0</v>
      </c>
      <c r="R30" s="38">
        <v>1</v>
      </c>
      <c r="S30" s="39">
        <f t="shared" si="2"/>
        <v>0</v>
      </c>
      <c r="T30" s="39">
        <f t="shared" si="3"/>
        <v>0</v>
      </c>
      <c r="W30" s="38" t="s">
        <v>287</v>
      </c>
      <c r="X30" s="38">
        <v>6</v>
      </c>
      <c r="Y30" s="38" t="s">
        <v>286</v>
      </c>
      <c r="Z30" s="38">
        <v>6</v>
      </c>
    </row>
    <row r="31" spans="2:26" x14ac:dyDescent="0.25">
      <c r="B31" s="42"/>
      <c r="F31" s="53" t="s">
        <v>430</v>
      </c>
      <c r="G31" s="52" t="s">
        <v>431</v>
      </c>
      <c r="L31" s="39">
        <f t="shared" si="0"/>
        <v>2.9666666666666668</v>
      </c>
      <c r="M31" s="38">
        <v>89</v>
      </c>
      <c r="N31" s="40">
        <v>44652</v>
      </c>
      <c r="O31" s="40" t="s">
        <v>285</v>
      </c>
      <c r="P31" s="39">
        <f>(5)/6</f>
        <v>0.83333333333333337</v>
      </c>
      <c r="Q31" s="39">
        <f>(0)/6</f>
        <v>0</v>
      </c>
      <c r="R31" s="38">
        <v>1</v>
      </c>
      <c r="S31" s="39">
        <f t="shared" si="2"/>
        <v>0</v>
      </c>
      <c r="T31" s="39">
        <f t="shared" si="3"/>
        <v>0</v>
      </c>
      <c r="W31" s="38" t="s">
        <v>284</v>
      </c>
      <c r="X31" s="38">
        <v>7</v>
      </c>
      <c r="Y31" s="38" t="s">
        <v>283</v>
      </c>
      <c r="Z31" s="38">
        <v>2</v>
      </c>
    </row>
    <row r="32" spans="2:26" x14ac:dyDescent="0.25">
      <c r="B32" s="42" t="s">
        <v>17</v>
      </c>
      <c r="C32" s="47">
        <f>AVERAGE(C24:C29)</f>
        <v>5.333333333333333</v>
      </c>
      <c r="D32" s="47">
        <f>AVERAGE(D24:D29)</f>
        <v>2.5</v>
      </c>
      <c r="F32" s="53" t="s">
        <v>432</v>
      </c>
      <c r="G32" s="52" t="s">
        <v>470</v>
      </c>
      <c r="L32" s="39">
        <f t="shared" si="0"/>
        <v>3</v>
      </c>
      <c r="M32" s="38">
        <v>90</v>
      </c>
      <c r="N32" s="40">
        <v>44653</v>
      </c>
      <c r="O32" s="40" t="s">
        <v>282</v>
      </c>
      <c r="P32" s="39">
        <f>(5)/6</f>
        <v>0.83333333333333337</v>
      </c>
      <c r="Q32" s="39">
        <f>(0)/6</f>
        <v>0</v>
      </c>
      <c r="R32" s="38">
        <v>1</v>
      </c>
      <c r="S32" s="39">
        <f t="shared" si="2"/>
        <v>0</v>
      </c>
      <c r="T32" s="39">
        <f t="shared" si="3"/>
        <v>0</v>
      </c>
      <c r="W32" s="38" t="s">
        <v>281</v>
      </c>
      <c r="X32" s="38">
        <v>9</v>
      </c>
      <c r="Y32" s="38" t="s">
        <v>279</v>
      </c>
      <c r="Z32" s="38">
        <v>4</v>
      </c>
    </row>
    <row r="33" spans="2:31" x14ac:dyDescent="0.25">
      <c r="B33" s="42" t="s">
        <v>18</v>
      </c>
      <c r="C33" s="42">
        <f>STDEVP(C24:C29)/SQRT(COUNT(C24:C29))</f>
        <v>0.56108360768678212</v>
      </c>
      <c r="D33" s="42">
        <f>STDEVP(D24:D29)/SQRT(COUNT(D24:D29))</f>
        <v>0.39086797998528583</v>
      </c>
      <c r="F33" s="53"/>
      <c r="G33" s="52"/>
      <c r="L33" s="39">
        <f t="shared" si="0"/>
        <v>3.0333333333333332</v>
      </c>
      <c r="M33" s="38">
        <v>91</v>
      </c>
      <c r="N33" s="40">
        <v>44654</v>
      </c>
      <c r="O33" s="40" t="s">
        <v>280</v>
      </c>
      <c r="P33" s="39">
        <f>(5)/6</f>
        <v>0.83333333333333337</v>
      </c>
      <c r="Q33" s="39">
        <f>(0)/6</f>
        <v>0</v>
      </c>
      <c r="R33" s="38">
        <v>1</v>
      </c>
      <c r="S33" s="39">
        <f t="shared" si="2"/>
        <v>1.1666666666666665</v>
      </c>
      <c r="T33" s="39">
        <f t="shared" si="3"/>
        <v>2.5</v>
      </c>
      <c r="W33" s="38" t="s">
        <v>279</v>
      </c>
      <c r="X33" s="38">
        <v>4</v>
      </c>
      <c r="Y33" s="38" t="s">
        <v>279</v>
      </c>
      <c r="Z33" s="38">
        <v>4</v>
      </c>
    </row>
    <row r="34" spans="2:31" x14ac:dyDescent="0.25">
      <c r="B34" s="42"/>
      <c r="C34" s="42"/>
      <c r="D34" s="41"/>
      <c r="F34" s="53" t="s">
        <v>434</v>
      </c>
      <c r="G34" s="52"/>
      <c r="L34" s="39">
        <f t="shared" si="0"/>
        <v>3.0666666666666669</v>
      </c>
      <c r="M34" s="38">
        <v>92</v>
      </c>
      <c r="N34" s="40">
        <v>44655</v>
      </c>
      <c r="O34" s="40" t="s">
        <v>278</v>
      </c>
      <c r="P34" s="39">
        <f>(5+7)/6</f>
        <v>2</v>
      </c>
      <c r="Q34" s="39">
        <f>(15)/6</f>
        <v>2.5</v>
      </c>
      <c r="R34" s="38">
        <v>1</v>
      </c>
      <c r="S34" s="39">
        <f t="shared" si="2"/>
        <v>0</v>
      </c>
      <c r="T34" s="39">
        <f t="shared" si="3"/>
        <v>1.1666666666666665</v>
      </c>
      <c r="W34" s="38" t="s">
        <v>277</v>
      </c>
      <c r="X34" s="38">
        <v>8</v>
      </c>
      <c r="Y34" s="38" t="s">
        <v>276</v>
      </c>
      <c r="Z34" s="38">
        <v>3</v>
      </c>
    </row>
    <row r="35" spans="2:31" x14ac:dyDescent="0.25">
      <c r="B35" s="42"/>
      <c r="C35" s="41"/>
      <c r="D35" s="41"/>
      <c r="F35" s="53" t="s">
        <v>435</v>
      </c>
      <c r="G35" s="52">
        <v>5.3330000000000002</v>
      </c>
      <c r="L35" s="39">
        <f t="shared" si="0"/>
        <v>3.1</v>
      </c>
      <c r="M35" s="38">
        <v>93</v>
      </c>
      <c r="N35" s="40">
        <v>44656</v>
      </c>
      <c r="O35" s="40" t="s">
        <v>275</v>
      </c>
      <c r="P35" s="39">
        <f>(5+7)/6</f>
        <v>2</v>
      </c>
      <c r="Q35" s="39">
        <f>(15+7)/6</f>
        <v>3.6666666666666665</v>
      </c>
      <c r="R35" s="38">
        <v>1</v>
      </c>
      <c r="S35" s="39">
        <f t="shared" si="2"/>
        <v>0</v>
      </c>
      <c r="T35" s="39">
        <f t="shared" si="3"/>
        <v>0</v>
      </c>
      <c r="W35" s="38" t="s">
        <v>274</v>
      </c>
      <c r="X35" s="38">
        <v>5</v>
      </c>
      <c r="Y35" s="38" t="s">
        <v>273</v>
      </c>
      <c r="Z35" s="38">
        <v>2</v>
      </c>
    </row>
    <row r="36" spans="2:31" x14ac:dyDescent="0.25">
      <c r="F36" s="53" t="s">
        <v>436</v>
      </c>
      <c r="G36" s="52">
        <v>2.5</v>
      </c>
      <c r="L36" s="39">
        <f t="shared" si="0"/>
        <v>3.1333333333333333</v>
      </c>
      <c r="M36" s="38">
        <v>94</v>
      </c>
      <c r="N36" s="40">
        <v>44657</v>
      </c>
      <c r="O36" s="40" t="s">
        <v>272</v>
      </c>
      <c r="P36" s="39">
        <f>(5+7)/6</f>
        <v>2</v>
      </c>
      <c r="Q36" s="39">
        <f>(15+7)/6</f>
        <v>3.6666666666666665</v>
      </c>
      <c r="R36" s="38">
        <v>1</v>
      </c>
      <c r="S36" s="39">
        <f t="shared" si="2"/>
        <v>1.1666666666666665</v>
      </c>
      <c r="T36" s="39">
        <f t="shared" si="3"/>
        <v>1.6666666666666665</v>
      </c>
      <c r="W36" s="38" t="s">
        <v>271</v>
      </c>
      <c r="X36" s="38">
        <v>4</v>
      </c>
      <c r="Y36" s="38" t="s">
        <v>270</v>
      </c>
      <c r="Z36" s="38">
        <v>4</v>
      </c>
    </row>
    <row r="37" spans="2:31" x14ac:dyDescent="0.25">
      <c r="F37" s="53" t="s">
        <v>437</v>
      </c>
      <c r="G37" s="52" t="s">
        <v>471</v>
      </c>
      <c r="L37" s="39">
        <f t="shared" si="0"/>
        <v>3.1666666666666665</v>
      </c>
      <c r="M37" s="38">
        <v>95</v>
      </c>
      <c r="N37" s="40">
        <v>44658</v>
      </c>
      <c r="O37" s="40" t="s">
        <v>269</v>
      </c>
      <c r="P37" s="39">
        <f>(5+7+7)/6</f>
        <v>3.1666666666666665</v>
      </c>
      <c r="Q37" s="39">
        <f t="shared" ref="Q37:Q48" si="4">(15+7+10)/6</f>
        <v>5.333333333333333</v>
      </c>
      <c r="R37" s="38">
        <v>1</v>
      </c>
      <c r="S37" s="39">
        <f t="shared" si="2"/>
        <v>0</v>
      </c>
      <c r="T37" s="39">
        <f t="shared" si="3"/>
        <v>0</v>
      </c>
      <c r="W37" s="38" t="s">
        <v>268</v>
      </c>
      <c r="X37" s="38">
        <v>4</v>
      </c>
      <c r="Y37" s="38" t="s">
        <v>267</v>
      </c>
      <c r="Z37" s="38">
        <v>3</v>
      </c>
    </row>
    <row r="38" spans="2:31" x14ac:dyDescent="0.25">
      <c r="F38" s="53" t="s">
        <v>439</v>
      </c>
      <c r="G38" s="52" t="s">
        <v>472</v>
      </c>
      <c r="L38" s="39">
        <f t="shared" si="0"/>
        <v>3.2</v>
      </c>
      <c r="M38" s="38">
        <v>96</v>
      </c>
      <c r="N38" s="40">
        <v>44659</v>
      </c>
      <c r="O38" s="40" t="s">
        <v>266</v>
      </c>
      <c r="P38" s="39">
        <f>(5+7+7)/6</f>
        <v>3.1666666666666665</v>
      </c>
      <c r="Q38" s="39">
        <f t="shared" si="4"/>
        <v>5.333333333333333</v>
      </c>
      <c r="R38" s="38">
        <v>1</v>
      </c>
      <c r="S38" s="39">
        <f t="shared" si="2"/>
        <v>0</v>
      </c>
      <c r="T38" s="39">
        <f t="shared" si="3"/>
        <v>0</v>
      </c>
      <c r="W38" s="38" t="s">
        <v>265</v>
      </c>
      <c r="X38" s="38">
        <v>7</v>
      </c>
      <c r="Y38" s="38" t="s">
        <v>264</v>
      </c>
      <c r="Z38" s="38">
        <v>4</v>
      </c>
    </row>
    <row r="39" spans="2:31" x14ac:dyDescent="0.25">
      <c r="F39" s="53" t="s">
        <v>441</v>
      </c>
      <c r="G39" s="52">
        <v>0.58860000000000001</v>
      </c>
      <c r="L39" s="39">
        <f t="shared" si="0"/>
        <v>3.2333333333333334</v>
      </c>
      <c r="M39" s="38">
        <v>97</v>
      </c>
      <c r="N39" s="40">
        <v>44660</v>
      </c>
      <c r="O39" s="40" t="s">
        <v>263</v>
      </c>
      <c r="P39" s="39">
        <f>(5+7+7)/6</f>
        <v>3.1666666666666665</v>
      </c>
      <c r="Q39" s="39">
        <f t="shared" si="4"/>
        <v>5.333333333333333</v>
      </c>
      <c r="R39" s="38">
        <v>1</v>
      </c>
      <c r="S39" s="39">
        <f t="shared" si="2"/>
        <v>1.5000000000000004</v>
      </c>
      <c r="T39" s="39">
        <f t="shared" si="3"/>
        <v>0</v>
      </c>
      <c r="W39" s="38" t="s">
        <v>262</v>
      </c>
      <c r="X39" s="38">
        <v>4</v>
      </c>
      <c r="Y39" s="38" t="s">
        <v>261</v>
      </c>
      <c r="Z39" s="38">
        <v>2</v>
      </c>
    </row>
    <row r="40" spans="2:31" x14ac:dyDescent="0.25">
      <c r="F40" s="53"/>
      <c r="G40" s="52"/>
      <c r="L40" s="39">
        <f t="shared" si="0"/>
        <v>3.2666666666666666</v>
      </c>
      <c r="M40" s="38">
        <v>98</v>
      </c>
      <c r="N40" s="40">
        <v>44661</v>
      </c>
      <c r="O40" s="40" t="s">
        <v>260</v>
      </c>
      <c r="P40" s="39">
        <f>(5+7+7+9)/6</f>
        <v>4.666666666666667</v>
      </c>
      <c r="Q40" s="39">
        <f t="shared" si="4"/>
        <v>5.333333333333333</v>
      </c>
      <c r="R40" s="38">
        <v>1</v>
      </c>
      <c r="S40" s="39">
        <f t="shared" si="2"/>
        <v>0</v>
      </c>
      <c r="T40" s="39">
        <f t="shared" si="3"/>
        <v>0</v>
      </c>
      <c r="W40" s="38" t="s">
        <v>259</v>
      </c>
      <c r="X40" s="38">
        <v>4</v>
      </c>
      <c r="Y40" s="38" t="s">
        <v>258</v>
      </c>
      <c r="Z40" s="38">
        <v>1</v>
      </c>
    </row>
    <row r="41" spans="2:31" x14ac:dyDescent="0.25">
      <c r="F41" s="53" t="s">
        <v>442</v>
      </c>
      <c r="G41" s="52"/>
      <c r="L41" s="39">
        <f t="shared" si="0"/>
        <v>3.3</v>
      </c>
      <c r="M41" s="38">
        <v>99</v>
      </c>
      <c r="N41" s="40">
        <v>44662</v>
      </c>
      <c r="O41" s="40" t="s">
        <v>257</v>
      </c>
      <c r="P41" s="39">
        <f>(5+7+7+9)/6</f>
        <v>4.666666666666667</v>
      </c>
      <c r="Q41" s="39">
        <f t="shared" si="4"/>
        <v>5.333333333333333</v>
      </c>
      <c r="R41" s="38">
        <v>1</v>
      </c>
      <c r="S41" s="39">
        <f t="shared" si="2"/>
        <v>0</v>
      </c>
      <c r="T41" s="39">
        <f t="shared" si="3"/>
        <v>0</v>
      </c>
      <c r="W41" s="38" t="s">
        <v>256</v>
      </c>
      <c r="X41" s="38">
        <v>6</v>
      </c>
      <c r="Y41" s="38" t="s">
        <v>255</v>
      </c>
      <c r="Z41" s="38">
        <v>2</v>
      </c>
    </row>
    <row r="42" spans="2:31" x14ac:dyDescent="0.25">
      <c r="F42" s="53" t="s">
        <v>443</v>
      </c>
      <c r="G42" s="52" t="s">
        <v>473</v>
      </c>
      <c r="L42" s="39">
        <f t="shared" si="0"/>
        <v>3.3333333333333335</v>
      </c>
      <c r="M42" s="38">
        <v>100</v>
      </c>
      <c r="N42" s="40">
        <v>44663</v>
      </c>
      <c r="O42" s="40" t="s">
        <v>254</v>
      </c>
      <c r="P42" s="39">
        <f>(5+7+7+9)/6</f>
        <v>4.666666666666667</v>
      </c>
      <c r="Q42" s="39">
        <f t="shared" si="4"/>
        <v>5.333333333333333</v>
      </c>
      <c r="R42" s="38">
        <v>1</v>
      </c>
      <c r="S42" s="39">
        <f t="shared" si="2"/>
        <v>1.333333333333333</v>
      </c>
      <c r="T42" s="39">
        <f t="shared" si="3"/>
        <v>0</v>
      </c>
      <c r="W42" s="38" t="s">
        <v>253</v>
      </c>
      <c r="X42" s="38">
        <v>7</v>
      </c>
      <c r="Y42" s="38" t="s">
        <v>252</v>
      </c>
      <c r="Z42" s="38">
        <v>3</v>
      </c>
    </row>
    <row r="43" spans="2:31" x14ac:dyDescent="0.25">
      <c r="F43" s="53" t="s">
        <v>425</v>
      </c>
      <c r="G43" s="52">
        <v>0.44640000000000002</v>
      </c>
      <c r="L43" s="39">
        <f t="shared" si="0"/>
        <v>3.3666666666666667</v>
      </c>
      <c r="M43" s="38">
        <v>101</v>
      </c>
      <c r="N43" s="40">
        <v>44664</v>
      </c>
      <c r="O43" s="40" t="s">
        <v>251</v>
      </c>
      <c r="P43" s="39">
        <f t="shared" ref="P43:P58" si="5">(5+7+7+9+8)/6</f>
        <v>6</v>
      </c>
      <c r="Q43" s="39">
        <f t="shared" si="4"/>
        <v>5.333333333333333</v>
      </c>
      <c r="R43" s="38">
        <v>1</v>
      </c>
      <c r="S43" s="39">
        <f t="shared" si="2"/>
        <v>0</v>
      </c>
      <c r="T43" s="39">
        <f t="shared" si="3"/>
        <v>0</v>
      </c>
    </row>
    <row r="44" spans="2:31" x14ac:dyDescent="0.25">
      <c r="F44" s="53" t="s">
        <v>426</v>
      </c>
      <c r="G44" s="52" t="s">
        <v>445</v>
      </c>
      <c r="L44" s="39">
        <f t="shared" si="0"/>
        <v>3.4</v>
      </c>
      <c r="M44" s="38">
        <v>102</v>
      </c>
      <c r="N44" s="40">
        <v>44665</v>
      </c>
      <c r="O44" s="40" t="s">
        <v>250</v>
      </c>
      <c r="P44" s="39">
        <f t="shared" si="5"/>
        <v>6</v>
      </c>
      <c r="Q44" s="39">
        <f t="shared" si="4"/>
        <v>5.333333333333333</v>
      </c>
      <c r="R44" s="38">
        <v>1</v>
      </c>
      <c r="S44" s="39">
        <f t="shared" si="2"/>
        <v>0</v>
      </c>
      <c r="T44" s="39">
        <f t="shared" si="3"/>
        <v>0</v>
      </c>
    </row>
    <row r="45" spans="2:31" x14ac:dyDescent="0.25">
      <c r="F45" s="53" t="s">
        <v>428</v>
      </c>
      <c r="G45" s="52" t="s">
        <v>446</v>
      </c>
      <c r="L45" s="39">
        <f t="shared" si="0"/>
        <v>3.4333333333333331</v>
      </c>
      <c r="M45" s="38">
        <v>103</v>
      </c>
      <c r="N45" s="40">
        <v>44666</v>
      </c>
      <c r="O45" s="40" t="s">
        <v>247</v>
      </c>
      <c r="P45" s="39">
        <f t="shared" si="5"/>
        <v>6</v>
      </c>
      <c r="Q45" s="39">
        <f t="shared" si="4"/>
        <v>5.333333333333333</v>
      </c>
      <c r="R45" s="38">
        <v>1</v>
      </c>
      <c r="S45" s="39">
        <f t="shared" si="2"/>
        <v>0</v>
      </c>
      <c r="T45" s="39">
        <f t="shared" si="3"/>
        <v>0</v>
      </c>
    </row>
    <row r="46" spans="2:31" x14ac:dyDescent="0.25">
      <c r="F46" s="53"/>
      <c r="G46" s="52"/>
      <c r="L46" s="39">
        <f t="shared" si="0"/>
        <v>3.4666666666666668</v>
      </c>
      <c r="M46" s="38">
        <v>104</v>
      </c>
      <c r="N46" s="40">
        <v>44667</v>
      </c>
      <c r="O46" s="40" t="s">
        <v>246</v>
      </c>
      <c r="P46" s="39">
        <f t="shared" si="5"/>
        <v>6</v>
      </c>
      <c r="Q46" s="39">
        <f t="shared" si="4"/>
        <v>5.333333333333333</v>
      </c>
      <c r="R46" s="38">
        <v>1</v>
      </c>
      <c r="S46" s="39">
        <f t="shared" si="2"/>
        <v>0</v>
      </c>
      <c r="T46" s="39">
        <f t="shared" si="3"/>
        <v>0</v>
      </c>
    </row>
    <row r="47" spans="2:31" x14ac:dyDescent="0.25">
      <c r="F47" s="53" t="s">
        <v>447</v>
      </c>
      <c r="G47" s="52"/>
      <c r="L47" s="39">
        <f t="shared" si="0"/>
        <v>3.5</v>
      </c>
      <c r="M47" s="38">
        <v>105</v>
      </c>
      <c r="N47" s="40">
        <v>44668</v>
      </c>
      <c r="O47" s="40" t="s">
        <v>245</v>
      </c>
      <c r="P47" s="39">
        <f t="shared" si="5"/>
        <v>6</v>
      </c>
      <c r="Q47" s="39">
        <f t="shared" si="4"/>
        <v>5.333333333333333</v>
      </c>
      <c r="R47" s="38">
        <v>1</v>
      </c>
      <c r="S47" s="39">
        <f t="shared" si="2"/>
        <v>0</v>
      </c>
      <c r="T47" s="39">
        <f t="shared" si="3"/>
        <v>0</v>
      </c>
      <c r="AE47" s="2"/>
    </row>
    <row r="48" spans="2:31" x14ac:dyDescent="0.25">
      <c r="F48" s="53" t="s">
        <v>448</v>
      </c>
      <c r="G48" s="52">
        <v>6</v>
      </c>
      <c r="L48" s="39">
        <f t="shared" si="0"/>
        <v>3.5333333333333332</v>
      </c>
      <c r="M48" s="38">
        <v>106</v>
      </c>
      <c r="N48" s="40">
        <v>44669</v>
      </c>
      <c r="O48" s="40" t="s">
        <v>244</v>
      </c>
      <c r="P48" s="39">
        <f t="shared" si="5"/>
        <v>6</v>
      </c>
      <c r="Q48" s="39">
        <f t="shared" si="4"/>
        <v>5.333333333333333</v>
      </c>
      <c r="R48" s="38">
        <v>1</v>
      </c>
      <c r="S48" s="39">
        <f t="shared" si="2"/>
        <v>0</v>
      </c>
      <c r="T48" s="39">
        <f t="shared" si="3"/>
        <v>1.166666666666667</v>
      </c>
      <c r="AE48" s="2"/>
    </row>
    <row r="49" spans="6:20" x14ac:dyDescent="0.25">
      <c r="F49" s="53" t="s">
        <v>449</v>
      </c>
      <c r="G49" s="52">
        <v>6</v>
      </c>
      <c r="L49" s="39">
        <f t="shared" si="0"/>
        <v>3.5666666666666669</v>
      </c>
      <c r="M49" s="38">
        <v>107</v>
      </c>
      <c r="N49" s="40">
        <v>44670</v>
      </c>
      <c r="O49" s="40" t="s">
        <v>243</v>
      </c>
      <c r="P49" s="39">
        <f t="shared" si="5"/>
        <v>6</v>
      </c>
      <c r="Q49" s="39">
        <f>(15+7+10+7)/6</f>
        <v>6.5</v>
      </c>
      <c r="R49" s="38">
        <v>1</v>
      </c>
      <c r="S49" s="39">
        <f t="shared" si="2"/>
        <v>0</v>
      </c>
      <c r="T49" s="39">
        <f t="shared" si="3"/>
        <v>0</v>
      </c>
    </row>
    <row r="50" spans="6:20" x14ac:dyDescent="0.25">
      <c r="L50" s="39">
        <f t="shared" si="0"/>
        <v>3.6</v>
      </c>
      <c r="M50" s="38">
        <v>108</v>
      </c>
      <c r="N50" s="40">
        <v>44671</v>
      </c>
      <c r="O50" s="40" t="s">
        <v>242</v>
      </c>
      <c r="P50" s="39">
        <f t="shared" si="5"/>
        <v>6</v>
      </c>
      <c r="Q50" s="39">
        <f>(15+7+10+7)/6</f>
        <v>6.5</v>
      </c>
      <c r="R50" s="38">
        <v>1</v>
      </c>
      <c r="S50" s="39">
        <f t="shared" si="2"/>
        <v>0</v>
      </c>
      <c r="T50" s="39">
        <f t="shared" si="3"/>
        <v>0</v>
      </c>
    </row>
    <row r="51" spans="6:20" x14ac:dyDescent="0.25">
      <c r="L51" s="39">
        <f t="shared" si="0"/>
        <v>3.6333333333333333</v>
      </c>
      <c r="M51" s="38">
        <v>109</v>
      </c>
      <c r="N51" s="40">
        <v>44672</v>
      </c>
      <c r="O51" s="40" t="s">
        <v>241</v>
      </c>
      <c r="P51" s="39">
        <f t="shared" si="5"/>
        <v>6</v>
      </c>
      <c r="Q51" s="39">
        <f>(15+7+10+7)/6</f>
        <v>6.5</v>
      </c>
      <c r="R51" s="38">
        <v>1</v>
      </c>
      <c r="S51" s="39">
        <f t="shared" si="2"/>
        <v>0</v>
      </c>
      <c r="T51" s="39">
        <f t="shared" si="3"/>
        <v>0</v>
      </c>
    </row>
    <row r="52" spans="6:20" x14ac:dyDescent="0.25">
      <c r="L52" s="39">
        <f t="shared" si="0"/>
        <v>3.6666666666666665</v>
      </c>
      <c r="M52" s="38">
        <v>110</v>
      </c>
      <c r="N52" s="40">
        <v>44673</v>
      </c>
      <c r="O52" s="40" t="s">
        <v>240</v>
      </c>
      <c r="P52" s="39">
        <f t="shared" si="5"/>
        <v>6</v>
      </c>
      <c r="Q52" s="39">
        <f>(15+7+10+7)/6</f>
        <v>6.5</v>
      </c>
      <c r="R52" s="38">
        <v>1</v>
      </c>
      <c r="S52" s="39">
        <f t="shared" si="2"/>
        <v>0</v>
      </c>
      <c r="T52" s="39">
        <f t="shared" si="3"/>
        <v>1.333333333333333</v>
      </c>
    </row>
    <row r="53" spans="6:20" x14ac:dyDescent="0.25">
      <c r="L53" s="39">
        <f t="shared" si="0"/>
        <v>3.7</v>
      </c>
      <c r="M53" s="38">
        <v>111</v>
      </c>
      <c r="N53" s="40">
        <v>44674</v>
      </c>
      <c r="O53" s="40" t="s">
        <v>239</v>
      </c>
      <c r="P53" s="39">
        <f t="shared" si="5"/>
        <v>6</v>
      </c>
      <c r="Q53" s="39">
        <f>(15+7+10+7+8)/6</f>
        <v>7.833333333333333</v>
      </c>
      <c r="R53" s="38">
        <v>1</v>
      </c>
      <c r="S53" s="39">
        <f t="shared" si="2"/>
        <v>0</v>
      </c>
      <c r="T53" s="39">
        <f t="shared" si="3"/>
        <v>0</v>
      </c>
    </row>
    <row r="54" spans="6:20" x14ac:dyDescent="0.25">
      <c r="L54" s="39">
        <f t="shared" si="0"/>
        <v>3.7333333333333334</v>
      </c>
      <c r="M54" s="38">
        <v>112</v>
      </c>
      <c r="N54" s="40">
        <v>44675</v>
      </c>
      <c r="O54" s="40" t="s">
        <v>238</v>
      </c>
      <c r="P54" s="39">
        <f t="shared" si="5"/>
        <v>6</v>
      </c>
      <c r="Q54" s="39">
        <f>(15+7+10+7+8)/6</f>
        <v>7.833333333333333</v>
      </c>
      <c r="R54" s="38">
        <v>1</v>
      </c>
      <c r="S54" s="39">
        <f t="shared" si="2"/>
        <v>0</v>
      </c>
      <c r="T54" s="39">
        <f t="shared" si="3"/>
        <v>0.83333333333333304</v>
      </c>
    </row>
    <row r="55" spans="6:20" x14ac:dyDescent="0.25">
      <c r="L55" s="39">
        <f t="shared" si="0"/>
        <v>3.7666666666666666</v>
      </c>
      <c r="M55" s="38">
        <v>113</v>
      </c>
      <c r="N55" s="40">
        <v>44676</v>
      </c>
      <c r="O55" s="40" t="s">
        <v>237</v>
      </c>
      <c r="P55" s="39">
        <f t="shared" si="5"/>
        <v>6</v>
      </c>
      <c r="Q55" s="39">
        <f>(15+7+10+7+8+5)/6</f>
        <v>8.6666666666666661</v>
      </c>
      <c r="R55" s="38">
        <v>1</v>
      </c>
      <c r="S55" s="39">
        <f t="shared" si="2"/>
        <v>0</v>
      </c>
      <c r="T55" s="39">
        <f t="shared" si="3"/>
        <v>0</v>
      </c>
    </row>
    <row r="56" spans="6:20" x14ac:dyDescent="0.25">
      <c r="L56" s="39">
        <f t="shared" si="0"/>
        <v>3.8</v>
      </c>
      <c r="M56" s="38">
        <v>114</v>
      </c>
      <c r="N56" s="40">
        <v>44677</v>
      </c>
      <c r="O56" s="40" t="s">
        <v>236</v>
      </c>
      <c r="P56" s="39">
        <f t="shared" si="5"/>
        <v>6</v>
      </c>
      <c r="Q56" s="39">
        <f>(15+7+10+7+8+5)/6</f>
        <v>8.6666666666666661</v>
      </c>
      <c r="R56" s="38">
        <v>1</v>
      </c>
      <c r="S56" s="39">
        <f t="shared" si="2"/>
        <v>0</v>
      </c>
      <c r="T56" s="39">
        <f t="shared" si="3"/>
        <v>0</v>
      </c>
    </row>
    <row r="57" spans="6:20" x14ac:dyDescent="0.25">
      <c r="L57" s="39">
        <f t="shared" si="0"/>
        <v>3.8333333333333335</v>
      </c>
      <c r="M57" s="38">
        <v>115</v>
      </c>
      <c r="N57" s="40">
        <v>44678</v>
      </c>
      <c r="O57" s="40" t="s">
        <v>235</v>
      </c>
      <c r="P57" s="39">
        <f t="shared" si="5"/>
        <v>6</v>
      </c>
      <c r="Q57" s="39">
        <f>(15+7+10+7+8+5)/6</f>
        <v>8.6666666666666661</v>
      </c>
      <c r="R57" s="38">
        <v>1</v>
      </c>
      <c r="S57" s="39">
        <f t="shared" si="2"/>
        <v>0</v>
      </c>
      <c r="T57" s="39">
        <f t="shared" si="3"/>
        <v>0</v>
      </c>
    </row>
    <row r="58" spans="6:20" x14ac:dyDescent="0.25">
      <c r="L58" s="39">
        <f t="shared" si="0"/>
        <v>3.8666666666666667</v>
      </c>
      <c r="M58" s="38">
        <v>116</v>
      </c>
      <c r="N58" s="40">
        <v>44679</v>
      </c>
      <c r="O58" s="40" t="s">
        <v>234</v>
      </c>
      <c r="P58" s="39">
        <f t="shared" si="5"/>
        <v>6</v>
      </c>
      <c r="Q58" s="39">
        <f>(15+7+10+7+8+5)/6</f>
        <v>8.6666666666666661</v>
      </c>
      <c r="R58" s="38">
        <v>1</v>
      </c>
      <c r="S58" s="39">
        <f t="shared" si="2"/>
        <v>0.5</v>
      </c>
      <c r="T58" s="39">
        <f t="shared" si="3"/>
        <v>0</v>
      </c>
    </row>
    <row r="59" spans="6:20" x14ac:dyDescent="0.25">
      <c r="L59" s="39">
        <f t="shared" si="0"/>
        <v>3.9</v>
      </c>
      <c r="M59" s="38">
        <v>117</v>
      </c>
      <c r="N59" s="40">
        <v>44680</v>
      </c>
      <c r="O59" s="40" t="s">
        <v>233</v>
      </c>
      <c r="P59" s="39">
        <f t="shared" ref="P59:P66" si="6">(5+7+7+9+8+3)/6</f>
        <v>6.5</v>
      </c>
      <c r="Q59" s="39">
        <f>(15+7+10+7+8+5)/6</f>
        <v>8.6666666666666661</v>
      </c>
      <c r="R59" s="38">
        <v>1</v>
      </c>
      <c r="S59" s="39">
        <f t="shared" si="2"/>
        <v>0</v>
      </c>
      <c r="T59" s="39">
        <f t="shared" si="3"/>
        <v>0.16666666666666785</v>
      </c>
    </row>
    <row r="60" spans="6:20" x14ac:dyDescent="0.25">
      <c r="L60" s="39">
        <f t="shared" si="0"/>
        <v>3.9333333333333331</v>
      </c>
      <c r="M60" s="38">
        <v>118</v>
      </c>
      <c r="N60" s="40">
        <v>44681</v>
      </c>
      <c r="O60" s="40" t="s">
        <v>232</v>
      </c>
      <c r="P60" s="39">
        <f t="shared" si="6"/>
        <v>6.5</v>
      </c>
      <c r="Q60" s="39">
        <f t="shared" ref="Q60:Q75" si="7">(15+7+10+7+8+5+1)/6</f>
        <v>8.8333333333333339</v>
      </c>
      <c r="R60" s="38">
        <v>1</v>
      </c>
      <c r="S60" s="39">
        <f t="shared" si="2"/>
        <v>0</v>
      </c>
      <c r="T60" s="39">
        <f t="shared" si="3"/>
        <v>0</v>
      </c>
    </row>
    <row r="61" spans="6:20" x14ac:dyDescent="0.25">
      <c r="L61" s="39">
        <f t="shared" si="0"/>
        <v>3.9666666666666668</v>
      </c>
      <c r="M61" s="38">
        <v>119</v>
      </c>
      <c r="N61" s="40">
        <v>44682</v>
      </c>
      <c r="O61" s="40" t="s">
        <v>231</v>
      </c>
      <c r="P61" s="39">
        <f t="shared" si="6"/>
        <v>6.5</v>
      </c>
      <c r="Q61" s="39">
        <f t="shared" si="7"/>
        <v>8.8333333333333339</v>
      </c>
      <c r="R61" s="38">
        <v>1</v>
      </c>
      <c r="S61" s="39">
        <f t="shared" si="2"/>
        <v>0</v>
      </c>
      <c r="T61" s="39">
        <f t="shared" si="3"/>
        <v>0</v>
      </c>
    </row>
    <row r="62" spans="6:20" x14ac:dyDescent="0.25">
      <c r="L62" s="39">
        <f t="shared" si="0"/>
        <v>4</v>
      </c>
      <c r="M62" s="38">
        <v>120</v>
      </c>
      <c r="N62" s="40">
        <v>44683</v>
      </c>
      <c r="O62" s="40" t="s">
        <v>230</v>
      </c>
      <c r="P62" s="39">
        <f t="shared" si="6"/>
        <v>6.5</v>
      </c>
      <c r="Q62" s="39">
        <f t="shared" si="7"/>
        <v>8.8333333333333339</v>
      </c>
      <c r="R62" s="38">
        <v>1</v>
      </c>
      <c r="S62" s="39">
        <f t="shared" si="2"/>
        <v>0</v>
      </c>
      <c r="T62" s="39">
        <f t="shared" si="3"/>
        <v>0</v>
      </c>
    </row>
    <row r="63" spans="6:20" x14ac:dyDescent="0.25">
      <c r="L63" s="39">
        <f t="shared" si="0"/>
        <v>4.0333333333333332</v>
      </c>
      <c r="M63" s="38">
        <v>121</v>
      </c>
      <c r="N63" s="40">
        <v>44684</v>
      </c>
      <c r="O63" s="40" t="s">
        <v>229</v>
      </c>
      <c r="P63" s="39">
        <f t="shared" si="6"/>
        <v>6.5</v>
      </c>
      <c r="Q63" s="39">
        <f t="shared" si="7"/>
        <v>8.8333333333333339</v>
      </c>
      <c r="R63" s="38">
        <v>1</v>
      </c>
      <c r="S63" s="39">
        <f t="shared" si="2"/>
        <v>0</v>
      </c>
      <c r="T63" s="39">
        <f t="shared" si="3"/>
        <v>0</v>
      </c>
    </row>
    <row r="64" spans="6:20" x14ac:dyDescent="0.25">
      <c r="L64" s="39">
        <f t="shared" si="0"/>
        <v>4.0666666666666664</v>
      </c>
      <c r="M64" s="38">
        <v>122</v>
      </c>
      <c r="N64" s="40">
        <v>44685</v>
      </c>
      <c r="O64" s="40" t="s">
        <v>228</v>
      </c>
      <c r="P64" s="39">
        <f t="shared" si="6"/>
        <v>6.5</v>
      </c>
      <c r="Q64" s="39">
        <f t="shared" si="7"/>
        <v>8.8333333333333339</v>
      </c>
      <c r="R64" s="38">
        <v>1</v>
      </c>
      <c r="S64" s="39">
        <f t="shared" si="2"/>
        <v>0</v>
      </c>
      <c r="T64" s="39">
        <f t="shared" si="3"/>
        <v>0</v>
      </c>
    </row>
    <row r="65" spans="12:20" x14ac:dyDescent="0.25">
      <c r="L65" s="39">
        <f t="shared" si="0"/>
        <v>4.0999999999999996</v>
      </c>
      <c r="M65" s="38">
        <v>123</v>
      </c>
      <c r="N65" s="40">
        <v>44686</v>
      </c>
      <c r="O65" s="40" t="s">
        <v>227</v>
      </c>
      <c r="P65" s="39">
        <f t="shared" si="6"/>
        <v>6.5</v>
      </c>
      <c r="Q65" s="39">
        <f t="shared" si="7"/>
        <v>8.8333333333333339</v>
      </c>
      <c r="R65" s="38">
        <v>1</v>
      </c>
      <c r="S65" s="39">
        <f t="shared" si="2"/>
        <v>0</v>
      </c>
      <c r="T65" s="39">
        <f t="shared" si="3"/>
        <v>0</v>
      </c>
    </row>
    <row r="66" spans="12:20" x14ac:dyDescent="0.25">
      <c r="L66" s="39">
        <f t="shared" si="0"/>
        <v>4.1333333333333337</v>
      </c>
      <c r="M66" s="38">
        <v>124</v>
      </c>
      <c r="N66" s="40">
        <v>44687</v>
      </c>
      <c r="O66" s="40" t="s">
        <v>226</v>
      </c>
      <c r="P66" s="39">
        <f t="shared" si="6"/>
        <v>6.5</v>
      </c>
      <c r="Q66" s="39">
        <f t="shared" si="7"/>
        <v>8.8333333333333339</v>
      </c>
      <c r="R66" s="38">
        <v>1</v>
      </c>
      <c r="S66" s="39">
        <f t="shared" si="2"/>
        <v>1.6666666666666661</v>
      </c>
      <c r="T66" s="39">
        <f t="shared" si="3"/>
        <v>0</v>
      </c>
    </row>
    <row r="67" spans="12:20" x14ac:dyDescent="0.25">
      <c r="L67" s="39">
        <f t="shared" ref="L67:L130" si="8">M67/30</f>
        <v>4.166666666666667</v>
      </c>
      <c r="M67" s="38">
        <v>125</v>
      </c>
      <c r="N67" s="40">
        <v>44688</v>
      </c>
      <c r="O67" s="40" t="s">
        <v>225</v>
      </c>
      <c r="P67" s="39">
        <f>(5+7+7+9+8+3+10)/6</f>
        <v>8.1666666666666661</v>
      </c>
      <c r="Q67" s="39">
        <f t="shared" si="7"/>
        <v>8.8333333333333339</v>
      </c>
      <c r="R67" s="38">
        <v>1</v>
      </c>
      <c r="S67" s="39">
        <f t="shared" ref="S67:S130" si="9">P68-P67</f>
        <v>0</v>
      </c>
      <c r="T67" s="39">
        <f t="shared" ref="T67:T130" si="10">Q68-Q67</f>
        <v>0</v>
      </c>
    </row>
    <row r="68" spans="12:20" x14ac:dyDescent="0.25">
      <c r="L68" s="39">
        <f t="shared" si="8"/>
        <v>4.2</v>
      </c>
      <c r="M68" s="38">
        <v>126</v>
      </c>
      <c r="N68" s="40">
        <v>44689</v>
      </c>
      <c r="O68" s="40" t="s">
        <v>224</v>
      </c>
      <c r="P68" s="39">
        <f>(5+7+7+9+8+3+10)/6</f>
        <v>8.1666666666666661</v>
      </c>
      <c r="Q68" s="39">
        <f t="shared" si="7"/>
        <v>8.8333333333333339</v>
      </c>
      <c r="R68" s="38">
        <v>1</v>
      </c>
      <c r="S68" s="39">
        <f t="shared" si="9"/>
        <v>0</v>
      </c>
      <c r="T68" s="39">
        <f t="shared" si="10"/>
        <v>0</v>
      </c>
    </row>
    <row r="69" spans="12:20" x14ac:dyDescent="0.25">
      <c r="L69" s="39">
        <f t="shared" si="8"/>
        <v>4.2333333333333334</v>
      </c>
      <c r="M69" s="38">
        <v>127</v>
      </c>
      <c r="N69" s="40">
        <v>44690</v>
      </c>
      <c r="O69" s="40" t="s">
        <v>223</v>
      </c>
      <c r="P69" s="39">
        <f>(5+7+7+9+8+3+10)/6</f>
        <v>8.1666666666666661</v>
      </c>
      <c r="Q69" s="39">
        <f t="shared" si="7"/>
        <v>8.8333333333333339</v>
      </c>
      <c r="R69" s="38">
        <v>1</v>
      </c>
      <c r="S69" s="39">
        <f t="shared" si="9"/>
        <v>0</v>
      </c>
      <c r="T69" s="39">
        <f t="shared" si="10"/>
        <v>0</v>
      </c>
    </row>
    <row r="70" spans="12:20" x14ac:dyDescent="0.25">
      <c r="L70" s="39">
        <f t="shared" si="8"/>
        <v>4.2666666666666666</v>
      </c>
      <c r="M70" s="38">
        <v>128</v>
      </c>
      <c r="N70" s="40">
        <v>44691</v>
      </c>
      <c r="O70" s="40" t="s">
        <v>222</v>
      </c>
      <c r="P70" s="39">
        <f>(5+7+7+9+8+3+10)/6</f>
        <v>8.1666666666666661</v>
      </c>
      <c r="Q70" s="39">
        <f t="shared" si="7"/>
        <v>8.8333333333333339</v>
      </c>
      <c r="R70" s="38">
        <v>1</v>
      </c>
      <c r="S70" s="39">
        <f t="shared" si="9"/>
        <v>1.8333333333333339</v>
      </c>
      <c r="T70" s="39">
        <f t="shared" si="10"/>
        <v>0</v>
      </c>
    </row>
    <row r="71" spans="12:20" x14ac:dyDescent="0.25">
      <c r="L71" s="39">
        <f t="shared" si="8"/>
        <v>4.3</v>
      </c>
      <c r="M71" s="38">
        <v>129</v>
      </c>
      <c r="N71" s="40">
        <v>44692</v>
      </c>
      <c r="O71" s="40" t="s">
        <v>221</v>
      </c>
      <c r="P71" s="39">
        <f>(5+7+7+9+8+3+10+11)/6</f>
        <v>10</v>
      </c>
      <c r="Q71" s="39">
        <f t="shared" si="7"/>
        <v>8.8333333333333339</v>
      </c>
      <c r="R71" s="38">
        <v>1</v>
      </c>
      <c r="S71" s="39">
        <f t="shared" si="9"/>
        <v>1.5</v>
      </c>
      <c r="T71" s="39">
        <f t="shared" si="10"/>
        <v>0</v>
      </c>
    </row>
    <row r="72" spans="12:20" x14ac:dyDescent="0.25">
      <c r="L72" s="39">
        <f t="shared" si="8"/>
        <v>4.333333333333333</v>
      </c>
      <c r="M72" s="38">
        <v>130</v>
      </c>
      <c r="N72" s="40">
        <v>44693</v>
      </c>
      <c r="O72" s="40" t="s">
        <v>220</v>
      </c>
      <c r="P72" s="39">
        <f>(5+7+7+9+8+3+10+11+9)/6</f>
        <v>11.5</v>
      </c>
      <c r="Q72" s="39">
        <f t="shared" si="7"/>
        <v>8.8333333333333339</v>
      </c>
      <c r="R72" s="38">
        <v>1</v>
      </c>
      <c r="S72" s="39">
        <f t="shared" si="9"/>
        <v>1.1666666666666661</v>
      </c>
      <c r="T72" s="39">
        <f t="shared" si="10"/>
        <v>0</v>
      </c>
    </row>
    <row r="73" spans="12:20" x14ac:dyDescent="0.25">
      <c r="L73" s="39">
        <f t="shared" si="8"/>
        <v>4.3666666666666663</v>
      </c>
      <c r="M73" s="38">
        <v>131</v>
      </c>
      <c r="N73" s="40">
        <v>44694</v>
      </c>
      <c r="O73" s="40" t="s">
        <v>219</v>
      </c>
      <c r="P73" s="39">
        <f>(5+7+7+9+8+3+10+11+9+7)/6</f>
        <v>12.666666666666666</v>
      </c>
      <c r="Q73" s="39">
        <f t="shared" si="7"/>
        <v>8.8333333333333339</v>
      </c>
      <c r="R73" s="38">
        <v>1</v>
      </c>
      <c r="S73" s="39">
        <f t="shared" si="9"/>
        <v>0</v>
      </c>
      <c r="T73" s="39">
        <f t="shared" si="10"/>
        <v>0</v>
      </c>
    </row>
    <row r="74" spans="12:20" x14ac:dyDescent="0.25">
      <c r="L74" s="39">
        <f t="shared" si="8"/>
        <v>4.4000000000000004</v>
      </c>
      <c r="M74" s="38">
        <v>132</v>
      </c>
      <c r="N74" s="40">
        <v>44695</v>
      </c>
      <c r="O74" s="40" t="s">
        <v>218</v>
      </c>
      <c r="P74" s="39">
        <f>(5+7+7+9+8+3+10+11+9+7)/6</f>
        <v>12.666666666666666</v>
      </c>
      <c r="Q74" s="39">
        <f t="shared" si="7"/>
        <v>8.8333333333333339</v>
      </c>
      <c r="R74" s="38">
        <v>1</v>
      </c>
      <c r="S74" s="39">
        <f t="shared" si="9"/>
        <v>1.6666666666666679</v>
      </c>
      <c r="T74" s="39">
        <f t="shared" si="10"/>
        <v>0</v>
      </c>
    </row>
    <row r="75" spans="12:20" x14ac:dyDescent="0.25">
      <c r="L75" s="39">
        <f t="shared" si="8"/>
        <v>4.4333333333333336</v>
      </c>
      <c r="M75" s="38">
        <v>133</v>
      </c>
      <c r="N75" s="40">
        <v>44696</v>
      </c>
      <c r="O75" s="40" t="s">
        <v>217</v>
      </c>
      <c r="P75" s="39">
        <f t="shared" ref="P75:P88" si="11">(5+7+7+9+8+3+10+11+9+7+10)/6</f>
        <v>14.333333333333334</v>
      </c>
      <c r="Q75" s="39">
        <f t="shared" si="7"/>
        <v>8.8333333333333339</v>
      </c>
      <c r="R75" s="38">
        <v>1</v>
      </c>
      <c r="S75" s="39">
        <f t="shared" si="9"/>
        <v>0</v>
      </c>
      <c r="T75" s="39">
        <f t="shared" si="10"/>
        <v>0.83333333333333215</v>
      </c>
    </row>
    <row r="76" spans="12:20" x14ac:dyDescent="0.25">
      <c r="L76" s="39">
        <f t="shared" si="8"/>
        <v>4.4666666666666668</v>
      </c>
      <c r="M76" s="38">
        <v>134</v>
      </c>
      <c r="N76" s="40">
        <v>44697</v>
      </c>
      <c r="O76" s="40" t="s">
        <v>216</v>
      </c>
      <c r="P76" s="39">
        <f t="shared" si="11"/>
        <v>14.333333333333334</v>
      </c>
      <c r="Q76" s="39">
        <f>(15+7+10+7+8+5+1+5)/6</f>
        <v>9.6666666666666661</v>
      </c>
      <c r="R76" s="38">
        <v>1</v>
      </c>
      <c r="S76" s="39">
        <f t="shared" si="9"/>
        <v>0</v>
      </c>
      <c r="T76" s="39">
        <f t="shared" si="10"/>
        <v>0</v>
      </c>
    </row>
    <row r="77" spans="12:20" x14ac:dyDescent="0.25">
      <c r="L77" s="39">
        <f t="shared" si="8"/>
        <v>4.5</v>
      </c>
      <c r="M77" s="38">
        <v>135</v>
      </c>
      <c r="N77" s="40">
        <v>44698</v>
      </c>
      <c r="O77" s="40" t="s">
        <v>215</v>
      </c>
      <c r="P77" s="39">
        <f t="shared" si="11"/>
        <v>14.333333333333334</v>
      </c>
      <c r="Q77" s="39">
        <f>(15+7+10+7+8+5+1+5)/6</f>
        <v>9.6666666666666661</v>
      </c>
      <c r="R77" s="38">
        <v>1</v>
      </c>
      <c r="S77" s="39">
        <f t="shared" si="9"/>
        <v>0</v>
      </c>
      <c r="T77" s="39">
        <f t="shared" si="10"/>
        <v>0</v>
      </c>
    </row>
    <row r="78" spans="12:20" x14ac:dyDescent="0.25">
      <c r="L78" s="39">
        <f t="shared" si="8"/>
        <v>4.5333333333333332</v>
      </c>
      <c r="M78" s="38">
        <v>136</v>
      </c>
      <c r="N78" s="40">
        <v>44699</v>
      </c>
      <c r="O78" s="40" t="s">
        <v>214</v>
      </c>
      <c r="P78" s="39">
        <f t="shared" si="11"/>
        <v>14.333333333333334</v>
      </c>
      <c r="Q78" s="39">
        <f>(15+7+10+7+8+5+1+5)/6</f>
        <v>9.6666666666666661</v>
      </c>
      <c r="R78" s="38">
        <v>1</v>
      </c>
      <c r="S78" s="39">
        <f t="shared" si="9"/>
        <v>0</v>
      </c>
      <c r="T78" s="39">
        <f t="shared" si="10"/>
        <v>0.33333333333333393</v>
      </c>
    </row>
    <row r="79" spans="12:20" x14ac:dyDescent="0.25">
      <c r="L79" s="39">
        <f t="shared" si="8"/>
        <v>4.5666666666666664</v>
      </c>
      <c r="M79" s="38">
        <v>137</v>
      </c>
      <c r="N79" s="40">
        <v>44700</v>
      </c>
      <c r="O79" s="40" t="s">
        <v>213</v>
      </c>
      <c r="P79" s="39">
        <f t="shared" si="11"/>
        <v>14.333333333333334</v>
      </c>
      <c r="Q79" s="39">
        <f>(15+7+10+7+8+5+1+5+2)/6</f>
        <v>10</v>
      </c>
      <c r="R79" s="38">
        <v>1</v>
      </c>
      <c r="S79" s="39">
        <f t="shared" si="9"/>
        <v>0</v>
      </c>
      <c r="T79" s="39">
        <f t="shared" si="10"/>
        <v>1</v>
      </c>
    </row>
    <row r="80" spans="12:20" x14ac:dyDescent="0.25">
      <c r="L80" s="39">
        <f t="shared" si="8"/>
        <v>4.5999999999999996</v>
      </c>
      <c r="M80" s="38">
        <v>138</v>
      </c>
      <c r="N80" s="40">
        <v>44701</v>
      </c>
      <c r="O80" s="40" t="s">
        <v>212</v>
      </c>
      <c r="P80" s="39">
        <f t="shared" si="11"/>
        <v>14.333333333333334</v>
      </c>
      <c r="Q80" s="39">
        <f t="shared" ref="Q80:Q91" si="12">(15+7+10+7+8+5+1+5+2+6)/6</f>
        <v>11</v>
      </c>
      <c r="R80" s="38">
        <v>1</v>
      </c>
      <c r="S80" s="39">
        <f t="shared" si="9"/>
        <v>0</v>
      </c>
      <c r="T80" s="39">
        <f t="shared" si="10"/>
        <v>0</v>
      </c>
    </row>
    <row r="81" spans="12:20" x14ac:dyDescent="0.25">
      <c r="L81" s="39">
        <f t="shared" si="8"/>
        <v>4.6333333333333337</v>
      </c>
      <c r="M81" s="38">
        <v>139</v>
      </c>
      <c r="N81" s="40">
        <v>44702</v>
      </c>
      <c r="O81" s="40" t="s">
        <v>211</v>
      </c>
      <c r="P81" s="39">
        <f t="shared" si="11"/>
        <v>14.333333333333334</v>
      </c>
      <c r="Q81" s="39">
        <f t="shared" si="12"/>
        <v>11</v>
      </c>
      <c r="R81" s="38">
        <v>1</v>
      </c>
      <c r="S81" s="39">
        <f t="shared" si="9"/>
        <v>0</v>
      </c>
      <c r="T81" s="39">
        <f t="shared" si="10"/>
        <v>0</v>
      </c>
    </row>
    <row r="82" spans="12:20" x14ac:dyDescent="0.25">
      <c r="L82" s="39">
        <f t="shared" si="8"/>
        <v>4.666666666666667</v>
      </c>
      <c r="M82" s="38">
        <v>140</v>
      </c>
      <c r="N82" s="40">
        <v>44703</v>
      </c>
      <c r="O82" s="40" t="s">
        <v>210</v>
      </c>
      <c r="P82" s="39">
        <f t="shared" si="11"/>
        <v>14.333333333333334</v>
      </c>
      <c r="Q82" s="39">
        <f t="shared" si="12"/>
        <v>11</v>
      </c>
      <c r="R82" s="38">
        <v>1</v>
      </c>
      <c r="S82" s="39">
        <f t="shared" si="9"/>
        <v>0</v>
      </c>
      <c r="T82" s="39">
        <f t="shared" si="10"/>
        <v>0</v>
      </c>
    </row>
    <row r="83" spans="12:20" x14ac:dyDescent="0.25">
      <c r="L83" s="39">
        <f t="shared" si="8"/>
        <v>4.7</v>
      </c>
      <c r="M83" s="38">
        <v>141</v>
      </c>
      <c r="N83" s="40">
        <v>44704</v>
      </c>
      <c r="O83" s="40" t="s">
        <v>209</v>
      </c>
      <c r="P83" s="39">
        <f t="shared" si="11"/>
        <v>14.333333333333334</v>
      </c>
      <c r="Q83" s="39">
        <f t="shared" si="12"/>
        <v>11</v>
      </c>
      <c r="R83" s="38">
        <v>1</v>
      </c>
      <c r="S83" s="39">
        <f t="shared" si="9"/>
        <v>0</v>
      </c>
      <c r="T83" s="39">
        <f t="shared" si="10"/>
        <v>0</v>
      </c>
    </row>
    <row r="84" spans="12:20" x14ac:dyDescent="0.25">
      <c r="L84" s="39">
        <f t="shared" si="8"/>
        <v>4.7333333333333334</v>
      </c>
      <c r="M84" s="38">
        <v>142</v>
      </c>
      <c r="N84" s="40">
        <v>44705</v>
      </c>
      <c r="O84" s="40" t="s">
        <v>208</v>
      </c>
      <c r="P84" s="39">
        <f t="shared" si="11"/>
        <v>14.333333333333334</v>
      </c>
      <c r="Q84" s="39">
        <f t="shared" si="12"/>
        <v>11</v>
      </c>
      <c r="R84" s="38">
        <v>1</v>
      </c>
      <c r="S84" s="39">
        <f t="shared" si="9"/>
        <v>0</v>
      </c>
      <c r="T84" s="39">
        <f t="shared" si="10"/>
        <v>0</v>
      </c>
    </row>
    <row r="85" spans="12:20" x14ac:dyDescent="0.25">
      <c r="L85" s="39">
        <f t="shared" si="8"/>
        <v>4.7666666666666666</v>
      </c>
      <c r="M85" s="38">
        <v>143</v>
      </c>
      <c r="N85" s="40">
        <v>44706</v>
      </c>
      <c r="O85" s="40" t="s">
        <v>207</v>
      </c>
      <c r="P85" s="39">
        <f t="shared" si="11"/>
        <v>14.333333333333334</v>
      </c>
      <c r="Q85" s="39">
        <f t="shared" si="12"/>
        <v>11</v>
      </c>
      <c r="R85" s="38">
        <v>1</v>
      </c>
      <c r="S85" s="39">
        <f t="shared" si="9"/>
        <v>0</v>
      </c>
      <c r="T85" s="39">
        <f t="shared" si="10"/>
        <v>0</v>
      </c>
    </row>
    <row r="86" spans="12:20" x14ac:dyDescent="0.25">
      <c r="L86" s="39">
        <f t="shared" si="8"/>
        <v>4.8</v>
      </c>
      <c r="M86" s="38">
        <v>144</v>
      </c>
      <c r="N86" s="40">
        <v>44707</v>
      </c>
      <c r="O86" s="40" t="s">
        <v>206</v>
      </c>
      <c r="P86" s="39">
        <f t="shared" si="11"/>
        <v>14.333333333333334</v>
      </c>
      <c r="Q86" s="39">
        <f t="shared" si="12"/>
        <v>11</v>
      </c>
      <c r="R86" s="38">
        <v>1</v>
      </c>
      <c r="S86" s="39">
        <f t="shared" si="9"/>
        <v>0</v>
      </c>
      <c r="T86" s="39">
        <f t="shared" si="10"/>
        <v>0</v>
      </c>
    </row>
    <row r="87" spans="12:20" x14ac:dyDescent="0.25">
      <c r="L87" s="39">
        <f t="shared" si="8"/>
        <v>4.833333333333333</v>
      </c>
      <c r="M87" s="38">
        <v>145</v>
      </c>
      <c r="N87" s="40">
        <v>44708</v>
      </c>
      <c r="O87" s="40" t="s">
        <v>205</v>
      </c>
      <c r="P87" s="39">
        <f t="shared" si="11"/>
        <v>14.333333333333334</v>
      </c>
      <c r="Q87" s="39">
        <f t="shared" si="12"/>
        <v>11</v>
      </c>
      <c r="R87" s="38">
        <v>1</v>
      </c>
      <c r="S87" s="39">
        <f t="shared" si="9"/>
        <v>0</v>
      </c>
      <c r="T87" s="39">
        <f t="shared" si="10"/>
        <v>0</v>
      </c>
    </row>
    <row r="88" spans="12:20" x14ac:dyDescent="0.25">
      <c r="L88" s="39">
        <f t="shared" si="8"/>
        <v>4.8666666666666663</v>
      </c>
      <c r="M88" s="38">
        <v>146</v>
      </c>
      <c r="N88" s="40">
        <v>44709</v>
      </c>
      <c r="O88" s="40" t="s">
        <v>204</v>
      </c>
      <c r="P88" s="39">
        <f t="shared" si="11"/>
        <v>14.333333333333334</v>
      </c>
      <c r="Q88" s="39">
        <f t="shared" si="12"/>
        <v>11</v>
      </c>
      <c r="R88" s="38">
        <v>1</v>
      </c>
      <c r="S88" s="39">
        <f t="shared" si="9"/>
        <v>2.1666666666666661</v>
      </c>
      <c r="T88" s="39">
        <f t="shared" si="10"/>
        <v>0</v>
      </c>
    </row>
    <row r="89" spans="12:20" x14ac:dyDescent="0.25">
      <c r="L89" s="39">
        <f t="shared" si="8"/>
        <v>4.9000000000000004</v>
      </c>
      <c r="M89" s="38">
        <v>147</v>
      </c>
      <c r="N89" s="40">
        <v>44710</v>
      </c>
      <c r="O89" s="40" t="s">
        <v>203</v>
      </c>
      <c r="P89" s="39">
        <f>(5+7+7+9+8+3+10+11+9+7+10+13)/6</f>
        <v>16.5</v>
      </c>
      <c r="Q89" s="39">
        <f t="shared" si="12"/>
        <v>11</v>
      </c>
      <c r="R89" s="38">
        <v>1</v>
      </c>
      <c r="S89" s="39">
        <f t="shared" si="9"/>
        <v>0</v>
      </c>
      <c r="T89" s="39">
        <f t="shared" si="10"/>
        <v>0</v>
      </c>
    </row>
    <row r="90" spans="12:20" x14ac:dyDescent="0.25">
      <c r="L90" s="39">
        <f t="shared" si="8"/>
        <v>4.9333333333333336</v>
      </c>
      <c r="M90" s="38">
        <v>148</v>
      </c>
      <c r="N90" s="40">
        <v>44711</v>
      </c>
      <c r="O90" s="40" t="s">
        <v>202</v>
      </c>
      <c r="P90" s="39">
        <f>(5+7+7+9+8+3+10+11+9+7+10+13)/6</f>
        <v>16.5</v>
      </c>
      <c r="Q90" s="39">
        <f t="shared" si="12"/>
        <v>11</v>
      </c>
      <c r="R90" s="38">
        <v>1</v>
      </c>
      <c r="S90" s="39">
        <f t="shared" si="9"/>
        <v>0</v>
      </c>
      <c r="T90" s="39">
        <f t="shared" si="10"/>
        <v>0</v>
      </c>
    </row>
    <row r="91" spans="12:20" x14ac:dyDescent="0.25">
      <c r="L91" s="39">
        <f t="shared" si="8"/>
        <v>4.9666666666666668</v>
      </c>
      <c r="M91" s="38">
        <v>149</v>
      </c>
      <c r="N91" s="40">
        <v>44712</v>
      </c>
      <c r="O91" s="40" t="s">
        <v>201</v>
      </c>
      <c r="P91" s="39">
        <f>(5+7+7+9+8+3+10+11+9+7+10+13)/6</f>
        <v>16.5</v>
      </c>
      <c r="Q91" s="39">
        <f t="shared" si="12"/>
        <v>11</v>
      </c>
      <c r="R91" s="38">
        <v>1</v>
      </c>
      <c r="S91" s="39">
        <f t="shared" si="9"/>
        <v>1</v>
      </c>
      <c r="T91" s="39">
        <f t="shared" si="10"/>
        <v>1.1666666666666661</v>
      </c>
    </row>
    <row r="92" spans="12:20" x14ac:dyDescent="0.25">
      <c r="L92" s="39">
        <f t="shared" si="8"/>
        <v>5</v>
      </c>
      <c r="M92" s="38">
        <v>150</v>
      </c>
      <c r="N92" s="40">
        <v>44713</v>
      </c>
      <c r="O92" s="40" t="s">
        <v>200</v>
      </c>
      <c r="P92" s="39">
        <f t="shared" ref="P92:P100" si="13">(5+7+7+9+8+3+10+11+9+7+10+13+6)/6</f>
        <v>17.5</v>
      </c>
      <c r="Q92" s="39">
        <f t="shared" ref="Q92:Q102" si="14">(15+7+10+7+8+5+1+5+2+6+7)/6</f>
        <v>12.166666666666666</v>
      </c>
      <c r="R92" s="38">
        <v>1</v>
      </c>
      <c r="S92" s="39">
        <f t="shared" si="9"/>
        <v>0</v>
      </c>
      <c r="T92" s="39">
        <f t="shared" si="10"/>
        <v>0</v>
      </c>
    </row>
    <row r="93" spans="12:20" x14ac:dyDescent="0.25">
      <c r="L93" s="39">
        <f t="shared" si="8"/>
        <v>5.0333333333333332</v>
      </c>
      <c r="M93" s="38">
        <v>151</v>
      </c>
      <c r="N93" s="40">
        <v>44714</v>
      </c>
      <c r="O93" s="40" t="s">
        <v>199</v>
      </c>
      <c r="P93" s="39">
        <f t="shared" si="13"/>
        <v>17.5</v>
      </c>
      <c r="Q93" s="39">
        <f t="shared" si="14"/>
        <v>12.166666666666666</v>
      </c>
      <c r="R93" s="38">
        <v>1</v>
      </c>
      <c r="S93" s="39">
        <f t="shared" si="9"/>
        <v>0</v>
      </c>
      <c r="T93" s="39">
        <f t="shared" si="10"/>
        <v>0</v>
      </c>
    </row>
    <row r="94" spans="12:20" x14ac:dyDescent="0.25">
      <c r="L94" s="39">
        <f t="shared" si="8"/>
        <v>5.0666666666666664</v>
      </c>
      <c r="M94" s="38">
        <v>152</v>
      </c>
      <c r="N94" s="40">
        <v>44715</v>
      </c>
      <c r="O94" s="40" t="s">
        <v>198</v>
      </c>
      <c r="P94" s="39">
        <f t="shared" si="13"/>
        <v>17.5</v>
      </c>
      <c r="Q94" s="39">
        <f t="shared" si="14"/>
        <v>12.166666666666666</v>
      </c>
      <c r="R94" s="38">
        <v>1</v>
      </c>
      <c r="S94" s="39">
        <f t="shared" si="9"/>
        <v>0</v>
      </c>
      <c r="T94" s="39">
        <f t="shared" si="10"/>
        <v>0</v>
      </c>
    </row>
    <row r="95" spans="12:20" x14ac:dyDescent="0.25">
      <c r="L95" s="39">
        <f t="shared" si="8"/>
        <v>5.0999999999999996</v>
      </c>
      <c r="M95" s="38">
        <v>153</v>
      </c>
      <c r="N95" s="40">
        <v>44716</v>
      </c>
      <c r="O95" s="40" t="s">
        <v>197</v>
      </c>
      <c r="P95" s="39">
        <f t="shared" si="13"/>
        <v>17.5</v>
      </c>
      <c r="Q95" s="39">
        <f t="shared" si="14"/>
        <v>12.166666666666666</v>
      </c>
      <c r="R95" s="38">
        <v>1</v>
      </c>
      <c r="S95" s="39">
        <f t="shared" si="9"/>
        <v>0</v>
      </c>
      <c r="T95" s="39">
        <f t="shared" si="10"/>
        <v>0</v>
      </c>
    </row>
    <row r="96" spans="12:20" x14ac:dyDescent="0.25">
      <c r="L96" s="39">
        <f t="shared" si="8"/>
        <v>5.1333333333333337</v>
      </c>
      <c r="M96" s="38">
        <v>154</v>
      </c>
      <c r="N96" s="40">
        <v>44717</v>
      </c>
      <c r="O96" s="40" t="s">
        <v>196</v>
      </c>
      <c r="P96" s="39">
        <f t="shared" si="13"/>
        <v>17.5</v>
      </c>
      <c r="Q96" s="39">
        <f t="shared" si="14"/>
        <v>12.166666666666666</v>
      </c>
      <c r="R96" s="38">
        <v>1</v>
      </c>
      <c r="S96" s="39">
        <f t="shared" si="9"/>
        <v>0</v>
      </c>
      <c r="T96" s="39">
        <f t="shared" si="10"/>
        <v>0</v>
      </c>
    </row>
    <row r="97" spans="12:20" x14ac:dyDescent="0.25">
      <c r="L97" s="39">
        <f t="shared" si="8"/>
        <v>5.166666666666667</v>
      </c>
      <c r="M97" s="38">
        <v>155</v>
      </c>
      <c r="N97" s="40">
        <v>44718</v>
      </c>
      <c r="O97" s="40" t="s">
        <v>195</v>
      </c>
      <c r="P97" s="39">
        <f t="shared" si="13"/>
        <v>17.5</v>
      </c>
      <c r="Q97" s="39">
        <f t="shared" si="14"/>
        <v>12.166666666666666</v>
      </c>
      <c r="R97" s="38">
        <v>1</v>
      </c>
      <c r="S97" s="39">
        <f t="shared" si="9"/>
        <v>0</v>
      </c>
      <c r="T97" s="39">
        <f t="shared" si="10"/>
        <v>0</v>
      </c>
    </row>
    <row r="98" spans="12:20" x14ac:dyDescent="0.25">
      <c r="L98" s="39">
        <f t="shared" si="8"/>
        <v>5.2</v>
      </c>
      <c r="M98" s="38">
        <v>156</v>
      </c>
      <c r="N98" s="40">
        <v>44719</v>
      </c>
      <c r="O98" s="40" t="s">
        <v>194</v>
      </c>
      <c r="P98" s="39">
        <f t="shared" si="13"/>
        <v>17.5</v>
      </c>
      <c r="Q98" s="39">
        <f t="shared" si="14"/>
        <v>12.166666666666666</v>
      </c>
      <c r="R98" s="38">
        <v>1</v>
      </c>
      <c r="S98" s="39">
        <f t="shared" si="9"/>
        <v>0</v>
      </c>
      <c r="T98" s="39">
        <f t="shared" si="10"/>
        <v>0</v>
      </c>
    </row>
    <row r="99" spans="12:20" x14ac:dyDescent="0.25">
      <c r="L99" s="39">
        <f t="shared" si="8"/>
        <v>5.2333333333333334</v>
      </c>
      <c r="M99" s="38">
        <v>157</v>
      </c>
      <c r="N99" s="40">
        <v>44720</v>
      </c>
      <c r="O99" s="40" t="s">
        <v>193</v>
      </c>
      <c r="P99" s="39">
        <f t="shared" si="13"/>
        <v>17.5</v>
      </c>
      <c r="Q99" s="39">
        <f t="shared" si="14"/>
        <v>12.166666666666666</v>
      </c>
      <c r="R99" s="38">
        <v>1</v>
      </c>
      <c r="S99" s="39">
        <f t="shared" si="9"/>
        <v>0</v>
      </c>
      <c r="T99" s="39">
        <f t="shared" si="10"/>
        <v>0</v>
      </c>
    </row>
    <row r="100" spans="12:20" x14ac:dyDescent="0.25">
      <c r="L100" s="39">
        <f t="shared" si="8"/>
        <v>5.2666666666666666</v>
      </c>
      <c r="M100" s="38">
        <v>158</v>
      </c>
      <c r="N100" s="40">
        <v>44721</v>
      </c>
      <c r="O100" s="40" t="s">
        <v>192</v>
      </c>
      <c r="P100" s="39">
        <f t="shared" si="13"/>
        <v>17.5</v>
      </c>
      <c r="Q100" s="39">
        <f t="shared" si="14"/>
        <v>12.166666666666666</v>
      </c>
      <c r="R100" s="38">
        <v>1</v>
      </c>
      <c r="S100" s="39">
        <f t="shared" si="9"/>
        <v>1.8333333333333321</v>
      </c>
      <c r="T100" s="39">
        <f t="shared" si="10"/>
        <v>0</v>
      </c>
    </row>
    <row r="101" spans="12:20" x14ac:dyDescent="0.25">
      <c r="L101" s="39">
        <f t="shared" si="8"/>
        <v>5.3</v>
      </c>
      <c r="M101" s="38">
        <v>159</v>
      </c>
      <c r="N101" s="40">
        <v>44722</v>
      </c>
      <c r="O101" s="40" t="s">
        <v>191</v>
      </c>
      <c r="P101" s="39">
        <f t="shared" ref="P101:P110" si="15">(5+7+7+9+8+3+10+11+9+7+10+13+6+11)/6</f>
        <v>19.333333333333332</v>
      </c>
      <c r="Q101" s="39">
        <f t="shared" si="14"/>
        <v>12.166666666666666</v>
      </c>
      <c r="R101" s="38">
        <v>1</v>
      </c>
      <c r="S101" s="39">
        <f t="shared" si="9"/>
        <v>0</v>
      </c>
      <c r="T101" s="39">
        <f t="shared" si="10"/>
        <v>0</v>
      </c>
    </row>
    <row r="102" spans="12:20" x14ac:dyDescent="0.25">
      <c r="L102" s="39">
        <f t="shared" si="8"/>
        <v>5.333333333333333</v>
      </c>
      <c r="M102" s="38">
        <v>160</v>
      </c>
      <c r="N102" s="40">
        <v>44723</v>
      </c>
      <c r="O102" s="40" t="s">
        <v>190</v>
      </c>
      <c r="P102" s="39">
        <f t="shared" si="15"/>
        <v>19.333333333333332</v>
      </c>
      <c r="Q102" s="39">
        <f t="shared" si="14"/>
        <v>12.166666666666666</v>
      </c>
      <c r="R102" s="38">
        <v>1</v>
      </c>
      <c r="S102" s="39">
        <f t="shared" si="9"/>
        <v>0</v>
      </c>
      <c r="T102" s="39">
        <f t="shared" si="10"/>
        <v>1.1666666666666679</v>
      </c>
    </row>
    <row r="103" spans="12:20" x14ac:dyDescent="0.25">
      <c r="L103" s="39">
        <f t="shared" si="8"/>
        <v>5.3666666666666663</v>
      </c>
      <c r="M103" s="38">
        <v>161</v>
      </c>
      <c r="N103" s="40">
        <v>44724</v>
      </c>
      <c r="O103" s="40" t="s">
        <v>189</v>
      </c>
      <c r="P103" s="39">
        <f t="shared" si="15"/>
        <v>19.333333333333332</v>
      </c>
      <c r="Q103" s="39">
        <f>(15+7+10+7+8+5+1+5+2+6+7+7)/6</f>
        <v>13.333333333333334</v>
      </c>
      <c r="R103" s="38">
        <v>1</v>
      </c>
      <c r="S103" s="39">
        <f t="shared" si="9"/>
        <v>0</v>
      </c>
      <c r="T103" s="39">
        <f t="shared" si="10"/>
        <v>0.66666666666666607</v>
      </c>
    </row>
    <row r="104" spans="12:20" x14ac:dyDescent="0.25">
      <c r="L104" s="39">
        <f t="shared" si="8"/>
        <v>5.4</v>
      </c>
      <c r="M104" s="38">
        <v>162</v>
      </c>
      <c r="N104" s="40">
        <v>44725</v>
      </c>
      <c r="O104" s="40" t="s">
        <v>188</v>
      </c>
      <c r="P104" s="39">
        <f t="shared" si="15"/>
        <v>19.333333333333332</v>
      </c>
      <c r="Q104" s="39">
        <f>(15+7+10+7+8+5+1+5+2+6+7+7+4)/6</f>
        <v>14</v>
      </c>
      <c r="R104" s="38">
        <v>1</v>
      </c>
      <c r="S104" s="39">
        <f t="shared" si="9"/>
        <v>0</v>
      </c>
      <c r="T104" s="39">
        <f t="shared" si="10"/>
        <v>0</v>
      </c>
    </row>
    <row r="105" spans="12:20" x14ac:dyDescent="0.25">
      <c r="L105" s="39">
        <f t="shared" si="8"/>
        <v>5.4333333333333336</v>
      </c>
      <c r="M105" s="38">
        <v>163</v>
      </c>
      <c r="N105" s="40">
        <v>44726</v>
      </c>
      <c r="O105" s="40" t="s">
        <v>187</v>
      </c>
      <c r="P105" s="39">
        <f t="shared" si="15"/>
        <v>19.333333333333332</v>
      </c>
      <c r="Q105" s="39">
        <f>(15+7+10+7+8+5+1+5+2+6+7+7+4)/6</f>
        <v>14</v>
      </c>
      <c r="R105" s="38">
        <v>1</v>
      </c>
      <c r="S105" s="39">
        <f t="shared" si="9"/>
        <v>0</v>
      </c>
      <c r="T105" s="39">
        <f t="shared" si="10"/>
        <v>0</v>
      </c>
    </row>
    <row r="106" spans="12:20" x14ac:dyDescent="0.25">
      <c r="L106" s="39">
        <f t="shared" si="8"/>
        <v>5.4666666666666668</v>
      </c>
      <c r="M106" s="38">
        <v>164</v>
      </c>
      <c r="N106" s="40">
        <v>44727</v>
      </c>
      <c r="O106" s="40" t="s">
        <v>186</v>
      </c>
      <c r="P106" s="39">
        <f t="shared" si="15"/>
        <v>19.333333333333332</v>
      </c>
      <c r="Q106" s="39">
        <f>(15+7+10+7+8+5+1+5+2+6+7+7+4)/6</f>
        <v>14</v>
      </c>
      <c r="R106" s="38">
        <v>1</v>
      </c>
      <c r="S106" s="39">
        <f t="shared" si="9"/>
        <v>0</v>
      </c>
      <c r="T106" s="39">
        <f t="shared" si="10"/>
        <v>0</v>
      </c>
    </row>
    <row r="107" spans="12:20" x14ac:dyDescent="0.25">
      <c r="L107" s="39">
        <f t="shared" si="8"/>
        <v>5.5</v>
      </c>
      <c r="M107" s="38">
        <v>165</v>
      </c>
      <c r="N107" s="40">
        <v>44728</v>
      </c>
      <c r="O107" s="40" t="s">
        <v>185</v>
      </c>
      <c r="P107" s="39">
        <f t="shared" si="15"/>
        <v>19.333333333333332</v>
      </c>
      <c r="Q107" s="39">
        <f>(15+7+10+7+8+5+1+5+2+6+7+7+4)/6</f>
        <v>14</v>
      </c>
      <c r="R107" s="38">
        <v>1</v>
      </c>
      <c r="S107" s="39">
        <f t="shared" si="9"/>
        <v>0</v>
      </c>
      <c r="T107" s="39">
        <f t="shared" si="10"/>
        <v>0.66666666666666607</v>
      </c>
    </row>
    <row r="108" spans="12:20" x14ac:dyDescent="0.25">
      <c r="L108" s="39">
        <f t="shared" si="8"/>
        <v>5.5333333333333332</v>
      </c>
      <c r="M108" s="38">
        <v>166</v>
      </c>
      <c r="N108" s="40">
        <v>44729</v>
      </c>
      <c r="O108" s="40" t="s">
        <v>184</v>
      </c>
      <c r="P108" s="39">
        <f t="shared" si="15"/>
        <v>19.333333333333332</v>
      </c>
      <c r="Q108" s="39">
        <f t="shared" ref="Q108:Q116" si="16">(15+7+10+7+8+5+1+5+2+6+7+7+4+4)/6</f>
        <v>14.666666666666666</v>
      </c>
      <c r="R108" s="38">
        <v>1</v>
      </c>
      <c r="S108" s="39">
        <f t="shared" si="9"/>
        <v>0</v>
      </c>
      <c r="T108" s="39">
        <f t="shared" si="10"/>
        <v>0</v>
      </c>
    </row>
    <row r="109" spans="12:20" x14ac:dyDescent="0.25">
      <c r="L109" s="39">
        <f t="shared" si="8"/>
        <v>5.5666666666666664</v>
      </c>
      <c r="M109" s="38">
        <v>167</v>
      </c>
      <c r="N109" s="40">
        <v>44730</v>
      </c>
      <c r="O109" s="40" t="s">
        <v>183</v>
      </c>
      <c r="P109" s="39">
        <f t="shared" si="15"/>
        <v>19.333333333333332</v>
      </c>
      <c r="Q109" s="39">
        <f t="shared" si="16"/>
        <v>14.666666666666666</v>
      </c>
      <c r="R109" s="38">
        <v>1</v>
      </c>
      <c r="S109" s="39">
        <f t="shared" si="9"/>
        <v>0</v>
      </c>
      <c r="T109" s="39">
        <f t="shared" si="10"/>
        <v>0</v>
      </c>
    </row>
    <row r="110" spans="12:20" x14ac:dyDescent="0.25">
      <c r="L110" s="39">
        <f t="shared" si="8"/>
        <v>5.6</v>
      </c>
      <c r="M110" s="38">
        <v>168</v>
      </c>
      <c r="N110" s="40">
        <v>44731</v>
      </c>
      <c r="O110" s="40" t="s">
        <v>182</v>
      </c>
      <c r="P110" s="39">
        <f t="shared" si="15"/>
        <v>19.333333333333332</v>
      </c>
      <c r="Q110" s="39">
        <f t="shared" si="16"/>
        <v>14.666666666666666</v>
      </c>
      <c r="R110" s="38">
        <v>1</v>
      </c>
      <c r="S110" s="39">
        <f t="shared" si="9"/>
        <v>2.5</v>
      </c>
      <c r="T110" s="39">
        <f t="shared" si="10"/>
        <v>0</v>
      </c>
    </row>
    <row r="111" spans="12:20" x14ac:dyDescent="0.25">
      <c r="L111" s="39">
        <f t="shared" si="8"/>
        <v>5.6333333333333337</v>
      </c>
      <c r="M111" s="38">
        <v>169</v>
      </c>
      <c r="N111" s="40">
        <v>44732</v>
      </c>
      <c r="O111" s="40" t="s">
        <v>181</v>
      </c>
      <c r="P111" s="39">
        <f>(5+7+7+9+8+3+10+11+9+7+10+13+6+11+7+8)/6</f>
        <v>21.833333333333332</v>
      </c>
      <c r="Q111" s="39">
        <f t="shared" si="16"/>
        <v>14.666666666666666</v>
      </c>
      <c r="R111" s="38">
        <v>1</v>
      </c>
      <c r="S111" s="39">
        <f t="shared" si="9"/>
        <v>0</v>
      </c>
      <c r="T111" s="39">
        <f t="shared" si="10"/>
        <v>0</v>
      </c>
    </row>
    <row r="112" spans="12:20" x14ac:dyDescent="0.25">
      <c r="L112" s="39">
        <f t="shared" si="8"/>
        <v>5.666666666666667</v>
      </c>
      <c r="M112" s="38">
        <v>170</v>
      </c>
      <c r="N112" s="40">
        <v>44733</v>
      </c>
      <c r="O112" s="40" t="s">
        <v>180</v>
      </c>
      <c r="P112" s="39">
        <f>(5+7+7+9+8+3+10+11+9+7+10+13+6+11+7+8)/6</f>
        <v>21.833333333333332</v>
      </c>
      <c r="Q112" s="39">
        <f t="shared" si="16"/>
        <v>14.666666666666666</v>
      </c>
      <c r="R112" s="38">
        <v>1</v>
      </c>
      <c r="S112" s="39">
        <f t="shared" si="9"/>
        <v>1.6666666666666679</v>
      </c>
      <c r="T112" s="39">
        <f t="shared" si="10"/>
        <v>0</v>
      </c>
    </row>
    <row r="113" spans="12:20" x14ac:dyDescent="0.25">
      <c r="L113" s="39">
        <f t="shared" si="8"/>
        <v>5.7</v>
      </c>
      <c r="M113" s="38">
        <v>171</v>
      </c>
      <c r="N113" s="40">
        <v>44734</v>
      </c>
      <c r="O113" s="40" t="s">
        <v>179</v>
      </c>
      <c r="P113" s="39">
        <f t="shared" ref="P113:P121" si="17">(5+7+7+9+8+3+10+11+9+7+10+13+6+11+7+8+10)/6</f>
        <v>23.5</v>
      </c>
      <c r="Q113" s="39">
        <f t="shared" si="16"/>
        <v>14.666666666666666</v>
      </c>
      <c r="R113" s="38">
        <v>1</v>
      </c>
      <c r="S113" s="39">
        <f t="shared" si="9"/>
        <v>0</v>
      </c>
      <c r="T113" s="39">
        <f t="shared" si="10"/>
        <v>0</v>
      </c>
    </row>
    <row r="114" spans="12:20" x14ac:dyDescent="0.25">
      <c r="L114" s="39">
        <f t="shared" si="8"/>
        <v>5.7333333333333334</v>
      </c>
      <c r="M114" s="38">
        <v>172</v>
      </c>
      <c r="N114" s="40">
        <v>44735</v>
      </c>
      <c r="O114" s="40" t="s">
        <v>178</v>
      </c>
      <c r="P114" s="39">
        <f t="shared" si="17"/>
        <v>23.5</v>
      </c>
      <c r="Q114" s="39">
        <f t="shared" si="16"/>
        <v>14.666666666666666</v>
      </c>
      <c r="R114" s="38">
        <v>1</v>
      </c>
      <c r="S114" s="39">
        <f t="shared" si="9"/>
        <v>0</v>
      </c>
      <c r="T114" s="39">
        <f t="shared" si="10"/>
        <v>0</v>
      </c>
    </row>
    <row r="115" spans="12:20" x14ac:dyDescent="0.25">
      <c r="L115" s="39">
        <f t="shared" si="8"/>
        <v>5.7666666666666666</v>
      </c>
      <c r="M115" s="38">
        <v>173</v>
      </c>
      <c r="N115" s="40">
        <v>44736</v>
      </c>
      <c r="O115" s="40" t="s">
        <v>177</v>
      </c>
      <c r="P115" s="39">
        <f t="shared" si="17"/>
        <v>23.5</v>
      </c>
      <c r="Q115" s="39">
        <f t="shared" si="16"/>
        <v>14.666666666666666</v>
      </c>
      <c r="R115" s="38">
        <v>1</v>
      </c>
      <c r="S115" s="39">
        <f t="shared" si="9"/>
        <v>0</v>
      </c>
      <c r="T115" s="39">
        <f t="shared" si="10"/>
        <v>0</v>
      </c>
    </row>
    <row r="116" spans="12:20" x14ac:dyDescent="0.25">
      <c r="L116" s="39">
        <f t="shared" si="8"/>
        <v>5.8</v>
      </c>
      <c r="M116" s="38">
        <v>174</v>
      </c>
      <c r="N116" s="40">
        <v>44737</v>
      </c>
      <c r="O116" s="40" t="s">
        <v>176</v>
      </c>
      <c r="P116" s="39">
        <f t="shared" si="17"/>
        <v>23.5</v>
      </c>
      <c r="Q116" s="39">
        <f t="shared" si="16"/>
        <v>14.666666666666666</v>
      </c>
      <c r="R116" s="38">
        <v>1</v>
      </c>
      <c r="S116" s="39">
        <f t="shared" si="9"/>
        <v>0</v>
      </c>
      <c r="T116" s="39">
        <f t="shared" si="10"/>
        <v>0.33333333333333393</v>
      </c>
    </row>
    <row r="117" spans="12:20" x14ac:dyDescent="0.25">
      <c r="L117" s="39">
        <f t="shared" si="8"/>
        <v>5.833333333333333</v>
      </c>
      <c r="M117" s="38">
        <v>175</v>
      </c>
      <c r="N117" s="40">
        <v>44738</v>
      </c>
      <c r="O117" s="40" t="s">
        <v>175</v>
      </c>
      <c r="P117" s="39">
        <f t="shared" si="17"/>
        <v>23.5</v>
      </c>
      <c r="Q117" s="39">
        <f t="shared" ref="Q117:Q128" si="18">(15+7+10+7+8+5+1+5+2+6+7+7+4+4+2)/6</f>
        <v>15</v>
      </c>
      <c r="R117" s="38">
        <v>1</v>
      </c>
      <c r="S117" s="39">
        <f t="shared" si="9"/>
        <v>0</v>
      </c>
      <c r="T117" s="39">
        <f t="shared" si="10"/>
        <v>0</v>
      </c>
    </row>
    <row r="118" spans="12:20" x14ac:dyDescent="0.25">
      <c r="L118" s="39">
        <f t="shared" si="8"/>
        <v>5.8666666666666663</v>
      </c>
      <c r="M118" s="38">
        <v>176</v>
      </c>
      <c r="N118" s="40">
        <v>44739</v>
      </c>
      <c r="O118" s="40" t="s">
        <v>174</v>
      </c>
      <c r="P118" s="39">
        <f t="shared" si="17"/>
        <v>23.5</v>
      </c>
      <c r="Q118" s="39">
        <f t="shared" si="18"/>
        <v>15</v>
      </c>
      <c r="R118" s="38">
        <v>1</v>
      </c>
      <c r="S118" s="39">
        <f t="shared" si="9"/>
        <v>0</v>
      </c>
      <c r="T118" s="39">
        <f t="shared" si="10"/>
        <v>0</v>
      </c>
    </row>
    <row r="119" spans="12:20" x14ac:dyDescent="0.25">
      <c r="L119" s="39">
        <f t="shared" si="8"/>
        <v>5.9</v>
      </c>
      <c r="M119" s="38">
        <v>177</v>
      </c>
      <c r="N119" s="40">
        <v>44740</v>
      </c>
      <c r="O119" s="40" t="s">
        <v>173</v>
      </c>
      <c r="P119" s="39">
        <f t="shared" si="17"/>
        <v>23.5</v>
      </c>
      <c r="Q119" s="39">
        <f t="shared" si="18"/>
        <v>15</v>
      </c>
      <c r="R119" s="38">
        <v>1</v>
      </c>
      <c r="S119" s="39">
        <f t="shared" si="9"/>
        <v>0</v>
      </c>
      <c r="T119" s="39">
        <f t="shared" si="10"/>
        <v>0</v>
      </c>
    </row>
    <row r="120" spans="12:20" x14ac:dyDescent="0.25">
      <c r="L120" s="39">
        <f t="shared" si="8"/>
        <v>5.9333333333333336</v>
      </c>
      <c r="M120" s="38">
        <v>178</v>
      </c>
      <c r="N120" s="40">
        <v>44741</v>
      </c>
      <c r="O120" s="40" t="s">
        <v>172</v>
      </c>
      <c r="P120" s="39">
        <f t="shared" si="17"/>
        <v>23.5</v>
      </c>
      <c r="Q120" s="39">
        <f t="shared" si="18"/>
        <v>15</v>
      </c>
      <c r="R120" s="38">
        <v>1</v>
      </c>
      <c r="S120" s="39">
        <f t="shared" si="9"/>
        <v>0</v>
      </c>
      <c r="T120" s="39">
        <f t="shared" si="10"/>
        <v>0</v>
      </c>
    </row>
    <row r="121" spans="12:20" x14ac:dyDescent="0.25">
      <c r="L121" s="39">
        <f t="shared" si="8"/>
        <v>5.9666666666666668</v>
      </c>
      <c r="M121" s="38">
        <v>179</v>
      </c>
      <c r="N121" s="40">
        <v>44742</v>
      </c>
      <c r="O121" s="40" t="s">
        <v>171</v>
      </c>
      <c r="P121" s="39">
        <f t="shared" si="17"/>
        <v>23.5</v>
      </c>
      <c r="Q121" s="39">
        <f t="shared" si="18"/>
        <v>15</v>
      </c>
      <c r="R121" s="38">
        <v>1</v>
      </c>
      <c r="S121" s="39">
        <f t="shared" si="9"/>
        <v>1.3333333333333321</v>
      </c>
      <c r="T121" s="39">
        <f t="shared" si="10"/>
        <v>0</v>
      </c>
    </row>
    <row r="122" spans="12:20" x14ac:dyDescent="0.25">
      <c r="L122" s="39">
        <f t="shared" si="8"/>
        <v>6</v>
      </c>
      <c r="M122" s="38">
        <v>180</v>
      </c>
      <c r="N122" s="40">
        <v>44743</v>
      </c>
      <c r="O122" s="40" t="s">
        <v>170</v>
      </c>
      <c r="P122" s="39">
        <f t="shared" ref="P122:P134" si="19">(5+7+7+9+8+3+10+11+9+7+10+13+6+11+7+8+10+8)/6</f>
        <v>24.833333333333332</v>
      </c>
      <c r="Q122" s="39">
        <f t="shared" si="18"/>
        <v>15</v>
      </c>
      <c r="R122" s="38">
        <v>1</v>
      </c>
      <c r="S122" s="39">
        <f t="shared" si="9"/>
        <v>0</v>
      </c>
      <c r="T122" s="39">
        <f t="shared" si="10"/>
        <v>0</v>
      </c>
    </row>
    <row r="123" spans="12:20" x14ac:dyDescent="0.25">
      <c r="L123" s="39">
        <f t="shared" si="8"/>
        <v>6.0333333333333332</v>
      </c>
      <c r="M123" s="38">
        <v>181</v>
      </c>
      <c r="N123" s="40">
        <v>44744</v>
      </c>
      <c r="O123" s="40" t="s">
        <v>169</v>
      </c>
      <c r="P123" s="39">
        <f t="shared" si="19"/>
        <v>24.833333333333332</v>
      </c>
      <c r="Q123" s="39">
        <f t="shared" si="18"/>
        <v>15</v>
      </c>
      <c r="R123" s="38">
        <v>1</v>
      </c>
      <c r="S123" s="39">
        <f t="shared" si="9"/>
        <v>0</v>
      </c>
      <c r="T123" s="39">
        <f t="shared" si="10"/>
        <v>0</v>
      </c>
    </row>
    <row r="124" spans="12:20" x14ac:dyDescent="0.25">
      <c r="L124" s="39">
        <f t="shared" si="8"/>
        <v>6.0666666666666664</v>
      </c>
      <c r="M124" s="38">
        <v>182</v>
      </c>
      <c r="N124" s="40">
        <v>44745</v>
      </c>
      <c r="O124" s="40" t="s">
        <v>168</v>
      </c>
      <c r="P124" s="39">
        <f t="shared" si="19"/>
        <v>24.833333333333332</v>
      </c>
      <c r="Q124" s="39">
        <f t="shared" si="18"/>
        <v>15</v>
      </c>
      <c r="R124" s="38">
        <v>1</v>
      </c>
      <c r="S124" s="39">
        <f t="shared" si="9"/>
        <v>0</v>
      </c>
      <c r="T124" s="39">
        <f t="shared" si="10"/>
        <v>0</v>
      </c>
    </row>
    <row r="125" spans="12:20" x14ac:dyDescent="0.25">
      <c r="L125" s="39">
        <f t="shared" si="8"/>
        <v>6.1</v>
      </c>
      <c r="M125" s="38">
        <v>183</v>
      </c>
      <c r="N125" s="40">
        <v>44746</v>
      </c>
      <c r="O125" s="40" t="s">
        <v>167</v>
      </c>
      <c r="P125" s="39">
        <f t="shared" si="19"/>
        <v>24.833333333333332</v>
      </c>
      <c r="Q125" s="39">
        <f t="shared" si="18"/>
        <v>15</v>
      </c>
      <c r="R125" s="38">
        <v>1</v>
      </c>
      <c r="S125" s="39">
        <f t="shared" si="9"/>
        <v>0</v>
      </c>
      <c r="T125" s="39">
        <f t="shared" si="10"/>
        <v>0</v>
      </c>
    </row>
    <row r="126" spans="12:20" x14ac:dyDescent="0.25">
      <c r="L126" s="39">
        <f t="shared" si="8"/>
        <v>6.1333333333333337</v>
      </c>
      <c r="M126" s="38">
        <v>184</v>
      </c>
      <c r="N126" s="40">
        <v>44747</v>
      </c>
      <c r="O126" s="40" t="s">
        <v>166</v>
      </c>
      <c r="P126" s="39">
        <f t="shared" si="19"/>
        <v>24.833333333333332</v>
      </c>
      <c r="Q126" s="39">
        <f t="shared" si="18"/>
        <v>15</v>
      </c>
      <c r="R126" s="38">
        <v>1</v>
      </c>
      <c r="S126" s="39">
        <f t="shared" si="9"/>
        <v>0</v>
      </c>
      <c r="T126" s="39">
        <f t="shared" si="10"/>
        <v>0</v>
      </c>
    </row>
    <row r="127" spans="12:20" x14ac:dyDescent="0.25">
      <c r="L127" s="39">
        <f t="shared" si="8"/>
        <v>6.166666666666667</v>
      </c>
      <c r="M127" s="38">
        <v>185</v>
      </c>
      <c r="N127" s="40">
        <v>44748</v>
      </c>
      <c r="O127" s="40" t="s">
        <v>165</v>
      </c>
      <c r="P127" s="39">
        <f t="shared" si="19"/>
        <v>24.833333333333332</v>
      </c>
      <c r="Q127" s="39">
        <f t="shared" si="18"/>
        <v>15</v>
      </c>
      <c r="R127" s="38">
        <v>1</v>
      </c>
      <c r="S127" s="39">
        <f t="shared" si="9"/>
        <v>0</v>
      </c>
      <c r="T127" s="39">
        <f t="shared" si="10"/>
        <v>0</v>
      </c>
    </row>
    <row r="128" spans="12:20" x14ac:dyDescent="0.25">
      <c r="L128" s="39">
        <f t="shared" si="8"/>
        <v>6.2</v>
      </c>
      <c r="M128" s="38">
        <v>186</v>
      </c>
      <c r="N128" s="40">
        <v>44749</v>
      </c>
      <c r="O128" s="40" t="s">
        <v>164</v>
      </c>
      <c r="P128" s="39">
        <f t="shared" si="19"/>
        <v>24.833333333333332</v>
      </c>
      <c r="Q128" s="39">
        <f t="shared" si="18"/>
        <v>15</v>
      </c>
      <c r="R128" s="38">
        <v>1</v>
      </c>
      <c r="S128" s="39">
        <f t="shared" si="9"/>
        <v>0</v>
      </c>
      <c r="T128" s="39">
        <f t="shared" si="10"/>
        <v>1</v>
      </c>
    </row>
    <row r="129" spans="12:20" x14ac:dyDescent="0.25">
      <c r="L129" s="39">
        <f t="shared" si="8"/>
        <v>6.2333333333333334</v>
      </c>
      <c r="M129" s="38">
        <v>187</v>
      </c>
      <c r="N129" s="40">
        <v>44750</v>
      </c>
      <c r="O129" s="40" t="s">
        <v>163</v>
      </c>
      <c r="P129" s="39">
        <f t="shared" si="19"/>
        <v>24.833333333333332</v>
      </c>
      <c r="Q129" s="39">
        <f t="shared" ref="Q129:Q134" si="20">(15+7+10+7+8+5+1+5+2+6+7+7+4+4+2+6)/6</f>
        <v>16</v>
      </c>
      <c r="R129" s="38">
        <v>1</v>
      </c>
      <c r="S129" s="39">
        <f t="shared" si="9"/>
        <v>0</v>
      </c>
      <c r="T129" s="39">
        <f t="shared" si="10"/>
        <v>0</v>
      </c>
    </row>
    <row r="130" spans="12:20" x14ac:dyDescent="0.25">
      <c r="L130" s="39">
        <f t="shared" si="8"/>
        <v>6.2666666666666666</v>
      </c>
      <c r="M130" s="38">
        <v>188</v>
      </c>
      <c r="N130" s="40">
        <v>44751</v>
      </c>
      <c r="O130" s="40" t="s">
        <v>162</v>
      </c>
      <c r="P130" s="39">
        <f t="shared" si="19"/>
        <v>24.833333333333332</v>
      </c>
      <c r="Q130" s="39">
        <f t="shared" si="20"/>
        <v>16</v>
      </c>
      <c r="R130" s="38">
        <v>1</v>
      </c>
      <c r="S130" s="39">
        <f t="shared" si="9"/>
        <v>0</v>
      </c>
      <c r="T130" s="39">
        <f t="shared" si="10"/>
        <v>0</v>
      </c>
    </row>
    <row r="131" spans="12:20" x14ac:dyDescent="0.25">
      <c r="L131" s="39">
        <f t="shared" ref="L131:L194" si="21">M131/30</f>
        <v>6.3</v>
      </c>
      <c r="M131" s="38">
        <v>189</v>
      </c>
      <c r="N131" s="40">
        <v>44752</v>
      </c>
      <c r="O131" s="40" t="s">
        <v>161</v>
      </c>
      <c r="P131" s="39">
        <f t="shared" si="19"/>
        <v>24.833333333333332</v>
      </c>
      <c r="Q131" s="39">
        <f t="shared" si="20"/>
        <v>16</v>
      </c>
      <c r="R131" s="38">
        <v>1</v>
      </c>
      <c r="S131" s="39">
        <f t="shared" ref="S131:S194" si="22">P132-P131</f>
        <v>0</v>
      </c>
      <c r="T131" s="39">
        <f t="shared" ref="T131:T194" si="23">Q132-Q131</f>
        <v>0</v>
      </c>
    </row>
    <row r="132" spans="12:20" x14ac:dyDescent="0.25">
      <c r="L132" s="39">
        <f t="shared" si="21"/>
        <v>6.333333333333333</v>
      </c>
      <c r="M132" s="38">
        <v>190</v>
      </c>
      <c r="N132" s="40">
        <v>44753</v>
      </c>
      <c r="O132" s="40" t="s">
        <v>160</v>
      </c>
      <c r="P132" s="39">
        <f t="shared" si="19"/>
        <v>24.833333333333332</v>
      </c>
      <c r="Q132" s="39">
        <f t="shared" si="20"/>
        <v>16</v>
      </c>
      <c r="R132" s="38">
        <v>1</v>
      </c>
      <c r="S132" s="39">
        <f t="shared" si="22"/>
        <v>0</v>
      </c>
      <c r="T132" s="39">
        <f t="shared" si="23"/>
        <v>0</v>
      </c>
    </row>
    <row r="133" spans="12:20" x14ac:dyDescent="0.25">
      <c r="L133" s="39">
        <f t="shared" si="21"/>
        <v>6.3666666666666663</v>
      </c>
      <c r="M133" s="38">
        <v>191</v>
      </c>
      <c r="N133" s="40">
        <v>44754</v>
      </c>
      <c r="O133" s="40" t="s">
        <v>159</v>
      </c>
      <c r="P133" s="39">
        <f t="shared" si="19"/>
        <v>24.833333333333332</v>
      </c>
      <c r="Q133" s="39">
        <f t="shared" si="20"/>
        <v>16</v>
      </c>
      <c r="R133" s="38">
        <v>1</v>
      </c>
      <c r="S133" s="39">
        <f t="shared" si="22"/>
        <v>0</v>
      </c>
      <c r="T133" s="39">
        <f t="shared" si="23"/>
        <v>0</v>
      </c>
    </row>
    <row r="134" spans="12:20" x14ac:dyDescent="0.25">
      <c r="L134" s="39">
        <f t="shared" si="21"/>
        <v>6.4</v>
      </c>
      <c r="M134" s="38">
        <v>192</v>
      </c>
      <c r="N134" s="40">
        <v>44755</v>
      </c>
      <c r="O134" s="40" t="s">
        <v>158</v>
      </c>
      <c r="P134" s="39">
        <f t="shared" si="19"/>
        <v>24.833333333333332</v>
      </c>
      <c r="Q134" s="39">
        <f t="shared" si="20"/>
        <v>16</v>
      </c>
      <c r="R134" s="38">
        <v>1</v>
      </c>
      <c r="S134" s="39">
        <f t="shared" si="22"/>
        <v>0.5</v>
      </c>
      <c r="T134" s="39">
        <f t="shared" si="23"/>
        <v>1</v>
      </c>
    </row>
    <row r="135" spans="12:20" x14ac:dyDescent="0.25">
      <c r="L135" s="39">
        <f t="shared" si="21"/>
        <v>6.4333333333333336</v>
      </c>
      <c r="M135" s="38">
        <v>193</v>
      </c>
      <c r="N135" s="40">
        <v>44756</v>
      </c>
      <c r="O135" s="40" t="s">
        <v>157</v>
      </c>
      <c r="P135" s="39">
        <f>(5+7+7+9+8+3+10+11+9+7+10+13+6+11+7+8+10+8+3)/6</f>
        <v>25.333333333333332</v>
      </c>
      <c r="Q135" s="39">
        <f t="shared" ref="Q135:Q145" si="24">(15+7+10+7+8+5+1+5+2+6+7+7+4+4+2+6+6)/6</f>
        <v>17</v>
      </c>
      <c r="R135" s="38">
        <v>1</v>
      </c>
      <c r="S135" s="39">
        <f t="shared" si="22"/>
        <v>0</v>
      </c>
      <c r="T135" s="39">
        <f t="shared" si="23"/>
        <v>0</v>
      </c>
    </row>
    <row r="136" spans="12:20" x14ac:dyDescent="0.25">
      <c r="L136" s="39">
        <f t="shared" si="21"/>
        <v>6.4666666666666668</v>
      </c>
      <c r="M136" s="38">
        <v>194</v>
      </c>
      <c r="N136" s="40">
        <v>44757</v>
      </c>
      <c r="O136" s="40" t="s">
        <v>156</v>
      </c>
      <c r="P136" s="39">
        <f>(5+7+7+9+8+3+10+11+9+7+10+13+6+11+7+8+10+8+3)/6</f>
        <v>25.333333333333332</v>
      </c>
      <c r="Q136" s="39">
        <f t="shared" si="24"/>
        <v>17</v>
      </c>
      <c r="R136" s="38">
        <v>1</v>
      </c>
      <c r="S136" s="39">
        <f t="shared" si="22"/>
        <v>0</v>
      </c>
      <c r="T136" s="39">
        <f t="shared" si="23"/>
        <v>0</v>
      </c>
    </row>
    <row r="137" spans="12:20" x14ac:dyDescent="0.25">
      <c r="L137" s="39">
        <f t="shared" si="21"/>
        <v>6.5</v>
      </c>
      <c r="M137" s="38">
        <v>195</v>
      </c>
      <c r="N137" s="40">
        <v>44758</v>
      </c>
      <c r="O137" s="40" t="s">
        <v>155</v>
      </c>
      <c r="P137" s="39">
        <f>(5+7+7+9+8+3+10+11+9+7+10+13+6+11+7+8+10+8+3)/6</f>
        <v>25.333333333333332</v>
      </c>
      <c r="Q137" s="39">
        <f t="shared" si="24"/>
        <v>17</v>
      </c>
      <c r="R137" s="38">
        <v>1</v>
      </c>
      <c r="S137" s="39">
        <f t="shared" si="22"/>
        <v>1.5</v>
      </c>
      <c r="T137" s="39">
        <f t="shared" si="23"/>
        <v>0</v>
      </c>
    </row>
    <row r="138" spans="12:20" x14ac:dyDescent="0.25">
      <c r="L138" s="39">
        <f t="shared" si="21"/>
        <v>6.5333333333333332</v>
      </c>
      <c r="M138" s="38">
        <v>196</v>
      </c>
      <c r="N138" s="40">
        <v>44759</v>
      </c>
      <c r="O138" s="40" t="s">
        <v>154</v>
      </c>
      <c r="P138" s="39">
        <f>(5+7+7+9+8+3+10+11+9+7+10+13+6+11+7+8+10+8+3+9)/6</f>
        <v>26.833333333333332</v>
      </c>
      <c r="Q138" s="39">
        <f t="shared" si="24"/>
        <v>17</v>
      </c>
      <c r="R138" s="38">
        <v>1</v>
      </c>
      <c r="S138" s="39">
        <f t="shared" si="22"/>
        <v>0</v>
      </c>
      <c r="T138" s="39">
        <f t="shared" si="23"/>
        <v>0</v>
      </c>
    </row>
    <row r="139" spans="12:20" x14ac:dyDescent="0.25">
      <c r="L139" s="39">
        <f t="shared" si="21"/>
        <v>6.5666666666666664</v>
      </c>
      <c r="M139" s="38">
        <v>197</v>
      </c>
      <c r="N139" s="40">
        <v>44760</v>
      </c>
      <c r="O139" s="40" t="s">
        <v>153</v>
      </c>
      <c r="P139" s="39">
        <f>(5+7+7+9+8+3+10+11+9+7+10+13+6+11+7+8+10+8+3+9)/6</f>
        <v>26.833333333333332</v>
      </c>
      <c r="Q139" s="39">
        <f t="shared" si="24"/>
        <v>17</v>
      </c>
      <c r="R139" s="38">
        <v>1</v>
      </c>
      <c r="S139" s="39">
        <f t="shared" si="22"/>
        <v>0</v>
      </c>
      <c r="T139" s="39">
        <f t="shared" si="23"/>
        <v>0</v>
      </c>
    </row>
    <row r="140" spans="12:20" x14ac:dyDescent="0.25">
      <c r="L140" s="39">
        <f t="shared" si="21"/>
        <v>6.6</v>
      </c>
      <c r="M140" s="38">
        <v>198</v>
      </c>
      <c r="N140" s="40">
        <v>44761</v>
      </c>
      <c r="O140" s="40" t="s">
        <v>152</v>
      </c>
      <c r="P140" s="39">
        <f>(5+7+7+9+8+3+10+11+9+7+10+13+6+11+7+8+10+8+3+9)/6</f>
        <v>26.833333333333332</v>
      </c>
      <c r="Q140" s="39">
        <f t="shared" si="24"/>
        <v>17</v>
      </c>
      <c r="R140" s="38">
        <v>1</v>
      </c>
      <c r="S140" s="39">
        <f t="shared" si="22"/>
        <v>0</v>
      </c>
      <c r="T140" s="39">
        <f t="shared" si="23"/>
        <v>0</v>
      </c>
    </row>
    <row r="141" spans="12:20" x14ac:dyDescent="0.25">
      <c r="L141" s="39">
        <f t="shared" si="21"/>
        <v>6.6333333333333337</v>
      </c>
      <c r="M141" s="38">
        <v>199</v>
      </c>
      <c r="N141" s="40">
        <v>44762</v>
      </c>
      <c r="O141" s="40" t="s">
        <v>151</v>
      </c>
      <c r="P141" s="39">
        <f>(5+7+7+9+8+3+10+11+9+7+10+13+6+11+7+8+10+8+3+9)/6</f>
        <v>26.833333333333332</v>
      </c>
      <c r="Q141" s="39">
        <f t="shared" si="24"/>
        <v>17</v>
      </c>
      <c r="R141" s="38">
        <v>1</v>
      </c>
      <c r="S141" s="39">
        <f t="shared" si="22"/>
        <v>0</v>
      </c>
      <c r="T141" s="39">
        <f t="shared" si="23"/>
        <v>0</v>
      </c>
    </row>
    <row r="142" spans="12:20" x14ac:dyDescent="0.25">
      <c r="L142" s="39">
        <f t="shared" si="21"/>
        <v>6.666666666666667</v>
      </c>
      <c r="M142" s="38">
        <v>200</v>
      </c>
      <c r="N142" s="40">
        <v>44763</v>
      </c>
      <c r="O142" s="40" t="s">
        <v>150</v>
      </c>
      <c r="P142" s="39">
        <f>(5+7+7+9+8+3+10+11+9+7+10+13+6+11+7+8+10+8+3+9)/6</f>
        <v>26.833333333333332</v>
      </c>
      <c r="Q142" s="39">
        <f t="shared" si="24"/>
        <v>17</v>
      </c>
      <c r="R142" s="38">
        <v>1</v>
      </c>
      <c r="S142" s="39">
        <f t="shared" si="22"/>
        <v>1.8333333333333357</v>
      </c>
      <c r="T142" s="39">
        <f t="shared" si="23"/>
        <v>0</v>
      </c>
    </row>
    <row r="143" spans="12:20" x14ac:dyDescent="0.25">
      <c r="L143" s="39">
        <f t="shared" si="21"/>
        <v>6.7</v>
      </c>
      <c r="M143" s="38">
        <v>201</v>
      </c>
      <c r="N143" s="40">
        <v>44764</v>
      </c>
      <c r="O143" s="40" t="s">
        <v>149</v>
      </c>
      <c r="P143" s="39">
        <f t="shared" ref="P143:P149" si="25">(5+7+7+9+8+3+10+11+9+7+10+13+6+11+7+8+10+8+3+9+11)/6</f>
        <v>28.666666666666668</v>
      </c>
      <c r="Q143" s="39">
        <f t="shared" si="24"/>
        <v>17</v>
      </c>
      <c r="R143" s="38">
        <v>1</v>
      </c>
      <c r="S143" s="39">
        <f t="shared" si="22"/>
        <v>0</v>
      </c>
      <c r="T143" s="39">
        <f t="shared" si="23"/>
        <v>0</v>
      </c>
    </row>
    <row r="144" spans="12:20" x14ac:dyDescent="0.25">
      <c r="L144" s="39">
        <f t="shared" si="21"/>
        <v>6.7333333333333334</v>
      </c>
      <c r="M144" s="38">
        <v>202</v>
      </c>
      <c r="N144" s="40">
        <v>44765</v>
      </c>
      <c r="O144" s="40" t="s">
        <v>148</v>
      </c>
      <c r="P144" s="39">
        <f t="shared" si="25"/>
        <v>28.666666666666668</v>
      </c>
      <c r="Q144" s="39">
        <f t="shared" si="24"/>
        <v>17</v>
      </c>
      <c r="R144" s="38">
        <v>1</v>
      </c>
      <c r="S144" s="39">
        <f t="shared" si="22"/>
        <v>0</v>
      </c>
      <c r="T144" s="39">
        <f t="shared" si="23"/>
        <v>0</v>
      </c>
    </row>
    <row r="145" spans="12:20" x14ac:dyDescent="0.25">
      <c r="L145" s="39">
        <f t="shared" si="21"/>
        <v>6.7666666666666666</v>
      </c>
      <c r="M145" s="38">
        <v>203</v>
      </c>
      <c r="N145" s="40">
        <v>44766</v>
      </c>
      <c r="O145" s="40" t="s">
        <v>147</v>
      </c>
      <c r="P145" s="39">
        <f t="shared" si="25"/>
        <v>28.666666666666668</v>
      </c>
      <c r="Q145" s="39">
        <f t="shared" si="24"/>
        <v>17</v>
      </c>
      <c r="R145" s="38">
        <v>1</v>
      </c>
      <c r="S145" s="39">
        <f t="shared" si="22"/>
        <v>0</v>
      </c>
      <c r="T145" s="39">
        <f t="shared" si="23"/>
        <v>1.1666666666666679</v>
      </c>
    </row>
    <row r="146" spans="12:20" x14ac:dyDescent="0.25">
      <c r="L146" s="39">
        <f t="shared" si="21"/>
        <v>6.8</v>
      </c>
      <c r="M146" s="38">
        <v>204</v>
      </c>
      <c r="N146" s="40">
        <v>44767</v>
      </c>
      <c r="O146" s="40" t="s">
        <v>146</v>
      </c>
      <c r="P146" s="39">
        <f t="shared" si="25"/>
        <v>28.666666666666668</v>
      </c>
      <c r="Q146" s="39">
        <f>(15+7+10+7+8+5+1+5+2+6+7+7+4+4+2+6+6+7)/6</f>
        <v>18.166666666666668</v>
      </c>
      <c r="R146" s="38">
        <v>1</v>
      </c>
      <c r="S146" s="39">
        <f t="shared" si="22"/>
        <v>0</v>
      </c>
      <c r="T146" s="39">
        <f t="shared" si="23"/>
        <v>0</v>
      </c>
    </row>
    <row r="147" spans="12:20" x14ac:dyDescent="0.25">
      <c r="L147" s="39">
        <f t="shared" si="21"/>
        <v>6.833333333333333</v>
      </c>
      <c r="M147" s="38">
        <v>205</v>
      </c>
      <c r="N147" s="40">
        <v>44768</v>
      </c>
      <c r="O147" s="40" t="s">
        <v>145</v>
      </c>
      <c r="P147" s="39">
        <f t="shared" si="25"/>
        <v>28.666666666666668</v>
      </c>
      <c r="Q147" s="39">
        <f>(15+7+10+7+8+5+1+5+2+6+7+7+4+4+2+6+6+7)/6</f>
        <v>18.166666666666668</v>
      </c>
      <c r="R147" s="38">
        <v>1</v>
      </c>
      <c r="S147" s="39">
        <f t="shared" si="22"/>
        <v>0</v>
      </c>
      <c r="T147" s="39">
        <f t="shared" si="23"/>
        <v>0</v>
      </c>
    </row>
    <row r="148" spans="12:20" x14ac:dyDescent="0.25">
      <c r="L148" s="39">
        <f t="shared" si="21"/>
        <v>6.8666666666666663</v>
      </c>
      <c r="M148" s="38">
        <v>206</v>
      </c>
      <c r="N148" s="40">
        <v>44769</v>
      </c>
      <c r="O148" s="40" t="s">
        <v>144</v>
      </c>
      <c r="P148" s="39">
        <f t="shared" si="25"/>
        <v>28.666666666666668</v>
      </c>
      <c r="Q148" s="39">
        <f>(15+7+10+7+8+5+1+5+2+6+7+7+4+4+2+6+6+7)/6</f>
        <v>18.166666666666668</v>
      </c>
      <c r="R148" s="38">
        <v>1</v>
      </c>
      <c r="S148" s="39">
        <f t="shared" si="22"/>
        <v>0</v>
      </c>
      <c r="T148" s="39">
        <f t="shared" si="23"/>
        <v>1.3333333333333321</v>
      </c>
    </row>
    <row r="149" spans="12:20" x14ac:dyDescent="0.25">
      <c r="L149" s="39">
        <f t="shared" si="21"/>
        <v>6.9</v>
      </c>
      <c r="M149" s="38">
        <v>207</v>
      </c>
      <c r="N149" s="40">
        <v>44770</v>
      </c>
      <c r="O149" s="40" t="s">
        <v>143</v>
      </c>
      <c r="P149" s="39">
        <f t="shared" si="25"/>
        <v>28.666666666666668</v>
      </c>
      <c r="Q149" s="39">
        <f t="shared" ref="Q149:Q154" si="26">(15+7+10+7+8+5+1+5+2+6+7+7+4+4+2+6+6+7+8)/6</f>
        <v>19.5</v>
      </c>
      <c r="R149" s="38">
        <v>1</v>
      </c>
      <c r="S149" s="39">
        <f t="shared" si="22"/>
        <v>1.3333333333333321</v>
      </c>
      <c r="T149" s="39">
        <f t="shared" si="23"/>
        <v>0</v>
      </c>
    </row>
    <row r="150" spans="12:20" x14ac:dyDescent="0.25">
      <c r="L150" s="39">
        <f t="shared" si="21"/>
        <v>6.9333333333333336</v>
      </c>
      <c r="M150" s="38">
        <v>208</v>
      </c>
      <c r="N150" s="40">
        <v>44771</v>
      </c>
      <c r="O150" s="40" t="s">
        <v>142</v>
      </c>
      <c r="P150" s="39">
        <f>(5+7+7+9+8+3+10+11+9+7+10+13+6+11+7+8+10+8+3+9+11+8)/6</f>
        <v>30</v>
      </c>
      <c r="Q150" s="39">
        <f t="shared" si="26"/>
        <v>19.5</v>
      </c>
      <c r="R150" s="38">
        <v>1</v>
      </c>
      <c r="S150" s="39">
        <f t="shared" si="22"/>
        <v>0</v>
      </c>
      <c r="T150" s="39">
        <f t="shared" si="23"/>
        <v>0</v>
      </c>
    </row>
    <row r="151" spans="12:20" x14ac:dyDescent="0.25">
      <c r="L151" s="39">
        <f t="shared" si="21"/>
        <v>6.9666666666666668</v>
      </c>
      <c r="M151" s="38">
        <v>209</v>
      </c>
      <c r="N151" s="40">
        <v>44772</v>
      </c>
      <c r="O151" s="40" t="s">
        <v>141</v>
      </c>
      <c r="P151" s="39">
        <f>(5+7+7+9+8+3+10+11+9+7+10+13+6+11+7+8+10+8+3+9+11+8)/6</f>
        <v>30</v>
      </c>
      <c r="Q151" s="39">
        <f t="shared" si="26"/>
        <v>19.5</v>
      </c>
      <c r="R151" s="38">
        <v>1</v>
      </c>
      <c r="S151" s="39">
        <f t="shared" si="22"/>
        <v>0</v>
      </c>
      <c r="T151" s="39">
        <f t="shared" si="23"/>
        <v>0</v>
      </c>
    </row>
    <row r="152" spans="12:20" x14ac:dyDescent="0.25">
      <c r="L152" s="39">
        <f t="shared" si="21"/>
        <v>7</v>
      </c>
      <c r="M152" s="38">
        <v>210</v>
      </c>
      <c r="N152" s="40">
        <v>44773</v>
      </c>
      <c r="O152" s="40" t="s">
        <v>140</v>
      </c>
      <c r="P152" s="39">
        <f>(5+7+7+9+8+3+10+11+9+7+10+13+6+11+7+8+10+8+3+9+11+8)/6</f>
        <v>30</v>
      </c>
      <c r="Q152" s="39">
        <f t="shared" si="26"/>
        <v>19.5</v>
      </c>
      <c r="R152" s="38">
        <v>1</v>
      </c>
      <c r="S152" s="39">
        <f t="shared" si="22"/>
        <v>0</v>
      </c>
      <c r="T152" s="39">
        <f t="shared" si="23"/>
        <v>0</v>
      </c>
    </row>
    <row r="153" spans="12:20" x14ac:dyDescent="0.25">
      <c r="L153" s="39">
        <f t="shared" si="21"/>
        <v>7.0333333333333332</v>
      </c>
      <c r="M153" s="38">
        <v>211</v>
      </c>
      <c r="N153" s="40">
        <v>44774</v>
      </c>
      <c r="O153" s="40" t="s">
        <v>139</v>
      </c>
      <c r="P153" s="39">
        <f>(5+7+7+9+8+3+10+11+9+7+10+13+6+11+7+8+10+8+3+9+11+8)/6</f>
        <v>30</v>
      </c>
      <c r="Q153" s="39">
        <f t="shared" si="26"/>
        <v>19.5</v>
      </c>
      <c r="R153" s="38">
        <v>1</v>
      </c>
      <c r="S153" s="39">
        <f t="shared" si="22"/>
        <v>1.6666666666666679</v>
      </c>
      <c r="T153" s="39">
        <f t="shared" si="23"/>
        <v>0</v>
      </c>
    </row>
    <row r="154" spans="12:20" x14ac:dyDescent="0.25">
      <c r="L154" s="39">
        <f t="shared" si="21"/>
        <v>7.0666666666666664</v>
      </c>
      <c r="M154" s="38">
        <v>212</v>
      </c>
      <c r="N154" s="40">
        <v>44775</v>
      </c>
      <c r="O154" s="40" t="s">
        <v>138</v>
      </c>
      <c r="P154" s="39">
        <f t="shared" ref="P154:P160" si="27">(5+7+7+9+8+3+10+11+9+7+10+13+6+11+7+8+10+8+3+9+11+8+10)/6</f>
        <v>31.666666666666668</v>
      </c>
      <c r="Q154" s="39">
        <f t="shared" si="26"/>
        <v>19.5</v>
      </c>
      <c r="R154" s="38">
        <v>1</v>
      </c>
      <c r="S154" s="39">
        <f t="shared" si="22"/>
        <v>0</v>
      </c>
      <c r="T154" s="39">
        <f t="shared" si="23"/>
        <v>0.66666666666666785</v>
      </c>
    </row>
    <row r="155" spans="12:20" x14ac:dyDescent="0.25">
      <c r="L155" s="39">
        <f t="shared" si="21"/>
        <v>7.1</v>
      </c>
      <c r="M155" s="38">
        <v>213</v>
      </c>
      <c r="N155" s="40">
        <v>44776</v>
      </c>
      <c r="O155" s="40" t="s">
        <v>137</v>
      </c>
      <c r="P155" s="39">
        <f t="shared" si="27"/>
        <v>31.666666666666668</v>
      </c>
      <c r="Q155" s="39">
        <f>(15+7+10+7+8+5+1+5+2+6+7+7+4+4+2+6+6+7+8+4)/6</f>
        <v>20.166666666666668</v>
      </c>
      <c r="R155" s="38">
        <v>1</v>
      </c>
      <c r="S155" s="39">
        <f t="shared" si="22"/>
        <v>0</v>
      </c>
      <c r="T155" s="39">
        <f t="shared" si="23"/>
        <v>0</v>
      </c>
    </row>
    <row r="156" spans="12:20" x14ac:dyDescent="0.25">
      <c r="L156" s="39">
        <f t="shared" si="21"/>
        <v>7.1333333333333337</v>
      </c>
      <c r="M156" s="38">
        <v>214</v>
      </c>
      <c r="N156" s="40">
        <v>44777</v>
      </c>
      <c r="O156" s="40" t="s">
        <v>136</v>
      </c>
      <c r="P156" s="39">
        <f t="shared" si="27"/>
        <v>31.666666666666668</v>
      </c>
      <c r="Q156" s="39">
        <f>(15+7+10+7+8+5+1+5+2+6+7+7+4+4+2+6+6+7+8+4)/6</f>
        <v>20.166666666666668</v>
      </c>
      <c r="R156" s="38">
        <v>1</v>
      </c>
      <c r="S156" s="39">
        <f t="shared" si="22"/>
        <v>0</v>
      </c>
      <c r="T156" s="39">
        <f t="shared" si="23"/>
        <v>0</v>
      </c>
    </row>
    <row r="157" spans="12:20" x14ac:dyDescent="0.25">
      <c r="L157" s="39">
        <f t="shared" si="21"/>
        <v>7.166666666666667</v>
      </c>
      <c r="M157" s="38">
        <v>215</v>
      </c>
      <c r="N157" s="40">
        <v>44778</v>
      </c>
      <c r="O157" s="40" t="s">
        <v>135</v>
      </c>
      <c r="P157" s="39">
        <f t="shared" si="27"/>
        <v>31.666666666666668</v>
      </c>
      <c r="Q157" s="39">
        <f>(15+7+10+7+8+5+1+5+2+6+7+7+4+4+2+6+6+7+8+4)/6</f>
        <v>20.166666666666668</v>
      </c>
      <c r="R157" s="38">
        <v>1</v>
      </c>
      <c r="S157" s="39">
        <f t="shared" si="22"/>
        <v>0</v>
      </c>
      <c r="T157" s="39">
        <f t="shared" si="23"/>
        <v>0</v>
      </c>
    </row>
    <row r="158" spans="12:20" x14ac:dyDescent="0.25">
      <c r="L158" s="39">
        <f t="shared" si="21"/>
        <v>7.2</v>
      </c>
      <c r="M158" s="38">
        <v>216</v>
      </c>
      <c r="N158" s="40">
        <v>44779</v>
      </c>
      <c r="O158" s="40" t="s">
        <v>134</v>
      </c>
      <c r="P158" s="39">
        <f t="shared" si="27"/>
        <v>31.666666666666668</v>
      </c>
      <c r="Q158" s="39">
        <f>(15+7+10+7+8+5+1+5+2+6+7+7+4+4+2+6+6+7+8+4)/6</f>
        <v>20.166666666666668</v>
      </c>
      <c r="R158" s="38">
        <v>1</v>
      </c>
      <c r="S158" s="39">
        <f t="shared" si="22"/>
        <v>0</v>
      </c>
      <c r="T158" s="39">
        <f t="shared" si="23"/>
        <v>0.83333333333333215</v>
      </c>
    </row>
    <row r="159" spans="12:20" x14ac:dyDescent="0.25">
      <c r="L159" s="39">
        <f t="shared" si="21"/>
        <v>7.2333333333333334</v>
      </c>
      <c r="M159" s="38">
        <v>217</v>
      </c>
      <c r="N159" s="40">
        <v>44780</v>
      </c>
      <c r="O159" s="40" t="s">
        <v>133</v>
      </c>
      <c r="P159" s="39">
        <f t="shared" si="27"/>
        <v>31.666666666666668</v>
      </c>
      <c r="Q159" s="39">
        <f>(15+7+10+7+8+5+1+5+2+6+7+7+4+4+2+6+6+7+8+4+5)/6</f>
        <v>21</v>
      </c>
      <c r="R159" s="38">
        <v>1</v>
      </c>
      <c r="S159" s="39">
        <f t="shared" si="22"/>
        <v>0</v>
      </c>
      <c r="T159" s="39">
        <f t="shared" si="23"/>
        <v>0</v>
      </c>
    </row>
    <row r="160" spans="12:20" x14ac:dyDescent="0.25">
      <c r="L160" s="39">
        <f t="shared" si="21"/>
        <v>7.2666666666666666</v>
      </c>
      <c r="M160" s="38">
        <v>218</v>
      </c>
      <c r="N160" s="40">
        <v>44781</v>
      </c>
      <c r="O160" s="40" t="s">
        <v>132</v>
      </c>
      <c r="P160" s="39">
        <f t="shared" si="27"/>
        <v>31.666666666666668</v>
      </c>
      <c r="Q160" s="39">
        <f>(15+7+10+7+8+5+1+5+2+6+7+7+4+4+2+6+6+7+8+4+5)/6</f>
        <v>21</v>
      </c>
      <c r="R160" s="38">
        <v>1</v>
      </c>
      <c r="S160" s="39">
        <f t="shared" si="22"/>
        <v>1.3333333333333321</v>
      </c>
      <c r="T160" s="39">
        <f t="shared" si="23"/>
        <v>0.5</v>
      </c>
    </row>
    <row r="161" spans="12:20" x14ac:dyDescent="0.25">
      <c r="L161" s="39">
        <f t="shared" si="21"/>
        <v>7.3</v>
      </c>
      <c r="M161" s="38">
        <v>219</v>
      </c>
      <c r="N161" s="40">
        <v>44782</v>
      </c>
      <c r="O161" s="40" t="s">
        <v>131</v>
      </c>
      <c r="P161" s="39">
        <f>(5+7+7+9+8+3+10+11+9+7+10+13+6+11+7+8+10+8+3+9+11+8+10+8)/6</f>
        <v>33</v>
      </c>
      <c r="Q161" s="39">
        <f t="shared" ref="Q161:Q171" si="28">(15+7+10+7+8+5+1+5+2+6+7+7+4+4+2+6+6+7+8+4+5+3)/6</f>
        <v>21.5</v>
      </c>
      <c r="R161" s="38">
        <v>1</v>
      </c>
      <c r="S161" s="39">
        <f t="shared" si="22"/>
        <v>0</v>
      </c>
      <c r="T161" s="39">
        <f t="shared" si="23"/>
        <v>0</v>
      </c>
    </row>
    <row r="162" spans="12:20" x14ac:dyDescent="0.25">
      <c r="L162" s="39">
        <f t="shared" si="21"/>
        <v>7.333333333333333</v>
      </c>
      <c r="M162" s="38">
        <v>220</v>
      </c>
      <c r="N162" s="40">
        <v>44783</v>
      </c>
      <c r="O162" s="40" t="s">
        <v>130</v>
      </c>
      <c r="P162" s="39">
        <f>(5+7+7+9+8+3+10+11+9+7+10+13+6+11+7+8+10+8+3+9+11+8+10+8)/6</f>
        <v>33</v>
      </c>
      <c r="Q162" s="39">
        <f t="shared" si="28"/>
        <v>21.5</v>
      </c>
      <c r="R162" s="38">
        <v>1</v>
      </c>
      <c r="S162" s="39">
        <f t="shared" si="22"/>
        <v>0</v>
      </c>
      <c r="T162" s="39">
        <f t="shared" si="23"/>
        <v>0</v>
      </c>
    </row>
    <row r="163" spans="12:20" x14ac:dyDescent="0.25">
      <c r="L163" s="39">
        <f t="shared" si="21"/>
        <v>7.3666666666666663</v>
      </c>
      <c r="M163" s="38">
        <v>221</v>
      </c>
      <c r="N163" s="40">
        <v>44784</v>
      </c>
      <c r="O163" s="40" t="s">
        <v>129</v>
      </c>
      <c r="P163" s="39">
        <f>(5+7+7+9+8+3+10+11+9+7+10+13+6+11+7+8+10+8+3+9+11+8+10+8)/6</f>
        <v>33</v>
      </c>
      <c r="Q163" s="39">
        <f t="shared" si="28"/>
        <v>21.5</v>
      </c>
      <c r="R163" s="38">
        <v>1</v>
      </c>
      <c r="S163" s="39">
        <f t="shared" si="22"/>
        <v>0</v>
      </c>
      <c r="T163" s="39">
        <f t="shared" si="23"/>
        <v>0</v>
      </c>
    </row>
    <row r="164" spans="12:20" x14ac:dyDescent="0.25">
      <c r="L164" s="39">
        <f t="shared" si="21"/>
        <v>7.4</v>
      </c>
      <c r="M164" s="38">
        <v>222</v>
      </c>
      <c r="N164" s="40">
        <v>44785</v>
      </c>
      <c r="O164" s="40" t="s">
        <v>128</v>
      </c>
      <c r="P164" s="39">
        <f>(5+7+7+9+8+3+10+11+9+7+10+13+6+11+7+8+10+8+3+9+11+8+10+8)/6</f>
        <v>33</v>
      </c>
      <c r="Q164" s="39">
        <f t="shared" si="28"/>
        <v>21.5</v>
      </c>
      <c r="R164" s="38">
        <v>1</v>
      </c>
      <c r="S164" s="39">
        <f t="shared" si="22"/>
        <v>0</v>
      </c>
      <c r="T164" s="39">
        <f t="shared" si="23"/>
        <v>0</v>
      </c>
    </row>
    <row r="165" spans="12:20" x14ac:dyDescent="0.25">
      <c r="L165" s="39">
        <f t="shared" si="21"/>
        <v>7.4333333333333336</v>
      </c>
      <c r="M165" s="38">
        <v>223</v>
      </c>
      <c r="N165" s="40">
        <v>44786</v>
      </c>
      <c r="O165" s="40" t="s">
        <v>127</v>
      </c>
      <c r="P165" s="39">
        <f>(5+7+7+9+8+3+10+11+9+7+10+13+6+11+7+8+10+8+3+9+11+8+10+8)/6</f>
        <v>33</v>
      </c>
      <c r="Q165" s="39">
        <f t="shared" si="28"/>
        <v>21.5</v>
      </c>
      <c r="R165" s="38">
        <v>1</v>
      </c>
      <c r="S165" s="39">
        <f t="shared" si="22"/>
        <v>1.1666666666666643</v>
      </c>
      <c r="T165" s="39">
        <f t="shared" si="23"/>
        <v>0</v>
      </c>
    </row>
    <row r="166" spans="12:20" x14ac:dyDescent="0.25">
      <c r="L166" s="39">
        <f t="shared" si="21"/>
        <v>7.4666666666666668</v>
      </c>
      <c r="M166" s="38">
        <v>224</v>
      </c>
      <c r="N166" s="40">
        <v>44787</v>
      </c>
      <c r="O166" s="40" t="s">
        <v>126</v>
      </c>
      <c r="P166" s="39">
        <f t="shared" ref="P166:P177" si="29">(5+7+7+9+8+3+10+11+9+7+10+13+6+11+7+8+10+8+3+9+11+8+10+8+7)/6</f>
        <v>34.166666666666664</v>
      </c>
      <c r="Q166" s="39">
        <f t="shared" si="28"/>
        <v>21.5</v>
      </c>
      <c r="R166" s="38">
        <v>1</v>
      </c>
      <c r="S166" s="39">
        <f t="shared" si="22"/>
        <v>0</v>
      </c>
      <c r="T166" s="39">
        <f t="shared" si="23"/>
        <v>0</v>
      </c>
    </row>
    <row r="167" spans="12:20" x14ac:dyDescent="0.25">
      <c r="L167" s="39">
        <f t="shared" si="21"/>
        <v>7.5</v>
      </c>
      <c r="M167" s="38">
        <v>225</v>
      </c>
      <c r="N167" s="40">
        <v>44788</v>
      </c>
      <c r="O167" s="40" t="s">
        <v>125</v>
      </c>
      <c r="P167" s="39">
        <f t="shared" si="29"/>
        <v>34.166666666666664</v>
      </c>
      <c r="Q167" s="39">
        <f t="shared" si="28"/>
        <v>21.5</v>
      </c>
      <c r="R167" s="38">
        <v>1</v>
      </c>
      <c r="S167" s="39">
        <f t="shared" si="22"/>
        <v>0</v>
      </c>
      <c r="T167" s="39">
        <f t="shared" si="23"/>
        <v>0</v>
      </c>
    </row>
    <row r="168" spans="12:20" x14ac:dyDescent="0.25">
      <c r="L168" s="39">
        <f t="shared" si="21"/>
        <v>7.5333333333333332</v>
      </c>
      <c r="M168" s="38">
        <v>226</v>
      </c>
      <c r="N168" s="40">
        <v>44789</v>
      </c>
      <c r="O168" s="40" t="s">
        <v>124</v>
      </c>
      <c r="P168" s="39">
        <f t="shared" si="29"/>
        <v>34.166666666666664</v>
      </c>
      <c r="Q168" s="39">
        <f t="shared" si="28"/>
        <v>21.5</v>
      </c>
      <c r="R168" s="38">
        <v>1</v>
      </c>
      <c r="S168" s="39">
        <f t="shared" si="22"/>
        <v>0</v>
      </c>
      <c r="T168" s="39">
        <f t="shared" si="23"/>
        <v>0</v>
      </c>
    </row>
    <row r="169" spans="12:20" x14ac:dyDescent="0.25">
      <c r="L169" s="39">
        <f t="shared" si="21"/>
        <v>7.5666666666666664</v>
      </c>
      <c r="M169" s="38">
        <v>227</v>
      </c>
      <c r="N169" s="40">
        <v>44790</v>
      </c>
      <c r="O169" s="40" t="s">
        <v>123</v>
      </c>
      <c r="P169" s="39">
        <f t="shared" si="29"/>
        <v>34.166666666666664</v>
      </c>
      <c r="Q169" s="39">
        <f t="shared" si="28"/>
        <v>21.5</v>
      </c>
      <c r="R169" s="38">
        <v>1</v>
      </c>
      <c r="S169" s="39">
        <f t="shared" si="22"/>
        <v>0</v>
      </c>
      <c r="T169" s="39">
        <f t="shared" si="23"/>
        <v>0</v>
      </c>
    </row>
    <row r="170" spans="12:20" x14ac:dyDescent="0.25">
      <c r="L170" s="39">
        <f t="shared" si="21"/>
        <v>7.6</v>
      </c>
      <c r="M170" s="38">
        <v>228</v>
      </c>
      <c r="N170" s="40">
        <v>44791</v>
      </c>
      <c r="O170" s="40" t="s">
        <v>122</v>
      </c>
      <c r="P170" s="39">
        <f t="shared" si="29"/>
        <v>34.166666666666664</v>
      </c>
      <c r="Q170" s="39">
        <f t="shared" si="28"/>
        <v>21.5</v>
      </c>
      <c r="R170" s="38">
        <v>1</v>
      </c>
      <c r="S170" s="39">
        <f t="shared" si="22"/>
        <v>0</v>
      </c>
      <c r="T170" s="39">
        <f t="shared" si="23"/>
        <v>0</v>
      </c>
    </row>
    <row r="171" spans="12:20" x14ac:dyDescent="0.25">
      <c r="L171" s="39">
        <f t="shared" si="21"/>
        <v>7.6333333333333337</v>
      </c>
      <c r="M171" s="38">
        <v>229</v>
      </c>
      <c r="N171" s="40">
        <v>44792</v>
      </c>
      <c r="O171" s="40" t="s">
        <v>121</v>
      </c>
      <c r="P171" s="39">
        <f t="shared" si="29"/>
        <v>34.166666666666664</v>
      </c>
      <c r="Q171" s="39">
        <f t="shared" si="28"/>
        <v>21.5</v>
      </c>
      <c r="R171" s="38">
        <v>1</v>
      </c>
      <c r="S171" s="39">
        <f t="shared" si="22"/>
        <v>0</v>
      </c>
      <c r="T171" s="39">
        <f t="shared" si="23"/>
        <v>0.33333333333333215</v>
      </c>
    </row>
    <row r="172" spans="12:20" x14ac:dyDescent="0.25">
      <c r="L172" s="39">
        <f t="shared" si="21"/>
        <v>7.666666666666667</v>
      </c>
      <c r="M172" s="38">
        <v>230</v>
      </c>
      <c r="N172" s="40">
        <v>44793</v>
      </c>
      <c r="O172" s="40" t="s">
        <v>120</v>
      </c>
      <c r="P172" s="39">
        <f t="shared" si="29"/>
        <v>34.166666666666664</v>
      </c>
      <c r="Q172" s="39">
        <f>(15+7+10+7+8+5+1+5+2+6+7+7+4+4+2+6+6+7+8+4+5+3+2)/6</f>
        <v>21.833333333333332</v>
      </c>
      <c r="R172" s="38">
        <v>1</v>
      </c>
      <c r="S172" s="39">
        <f t="shared" si="22"/>
        <v>0</v>
      </c>
      <c r="T172" s="39">
        <f t="shared" si="23"/>
        <v>1</v>
      </c>
    </row>
    <row r="173" spans="12:20" x14ac:dyDescent="0.25">
      <c r="L173" s="39">
        <f t="shared" si="21"/>
        <v>7.7</v>
      </c>
      <c r="M173" s="38">
        <v>231</v>
      </c>
      <c r="N173" s="40">
        <v>44794</v>
      </c>
      <c r="O173" s="40" t="s">
        <v>119</v>
      </c>
      <c r="P173" s="39">
        <f t="shared" si="29"/>
        <v>34.166666666666664</v>
      </c>
      <c r="Q173" s="39">
        <f t="shared" ref="Q173:Q181" si="30">(15+7+10+7+8+5+1+5+2+6+7+7+4+4+2+6+6+7+8+4+5+3+2+6)/6</f>
        <v>22.833333333333332</v>
      </c>
      <c r="R173" s="38">
        <v>1</v>
      </c>
      <c r="S173" s="39">
        <f t="shared" si="22"/>
        <v>0</v>
      </c>
      <c r="T173" s="39">
        <f t="shared" si="23"/>
        <v>0</v>
      </c>
    </row>
    <row r="174" spans="12:20" x14ac:dyDescent="0.25">
      <c r="L174" s="39">
        <f t="shared" si="21"/>
        <v>7.7333333333333334</v>
      </c>
      <c r="M174" s="38">
        <v>232</v>
      </c>
      <c r="N174" s="40">
        <v>44795</v>
      </c>
      <c r="O174" s="40" t="s">
        <v>118</v>
      </c>
      <c r="P174" s="39">
        <f t="shared" si="29"/>
        <v>34.166666666666664</v>
      </c>
      <c r="Q174" s="39">
        <f t="shared" si="30"/>
        <v>22.833333333333332</v>
      </c>
      <c r="R174" s="38">
        <v>1</v>
      </c>
      <c r="S174" s="39">
        <f t="shared" si="22"/>
        <v>0</v>
      </c>
      <c r="T174" s="39">
        <f t="shared" si="23"/>
        <v>0</v>
      </c>
    </row>
    <row r="175" spans="12:20" x14ac:dyDescent="0.25">
      <c r="L175" s="39">
        <f t="shared" si="21"/>
        <v>7.7666666666666666</v>
      </c>
      <c r="M175" s="38">
        <v>233</v>
      </c>
      <c r="N175" s="40">
        <v>44796</v>
      </c>
      <c r="O175" s="40" t="s">
        <v>117</v>
      </c>
      <c r="P175" s="39">
        <f t="shared" si="29"/>
        <v>34.166666666666664</v>
      </c>
      <c r="Q175" s="39">
        <f t="shared" si="30"/>
        <v>22.833333333333332</v>
      </c>
      <c r="R175" s="38">
        <v>1</v>
      </c>
      <c r="S175" s="39">
        <f t="shared" si="22"/>
        <v>0</v>
      </c>
      <c r="T175" s="39">
        <f t="shared" si="23"/>
        <v>0</v>
      </c>
    </row>
    <row r="176" spans="12:20" x14ac:dyDescent="0.25">
      <c r="L176" s="39">
        <f t="shared" si="21"/>
        <v>7.8</v>
      </c>
      <c r="M176" s="38">
        <v>234</v>
      </c>
      <c r="N176" s="40">
        <v>44797</v>
      </c>
      <c r="O176" s="40" t="s">
        <v>116</v>
      </c>
      <c r="P176" s="39">
        <f t="shared" si="29"/>
        <v>34.166666666666664</v>
      </c>
      <c r="Q176" s="39">
        <f t="shared" si="30"/>
        <v>22.833333333333332</v>
      </c>
      <c r="R176" s="38">
        <v>1</v>
      </c>
      <c r="S176" s="39">
        <f t="shared" si="22"/>
        <v>0</v>
      </c>
      <c r="T176" s="39">
        <f t="shared" si="23"/>
        <v>0</v>
      </c>
    </row>
    <row r="177" spans="12:20" x14ac:dyDescent="0.25">
      <c r="L177" s="39">
        <f t="shared" si="21"/>
        <v>7.833333333333333</v>
      </c>
      <c r="M177" s="38">
        <v>235</v>
      </c>
      <c r="N177" s="40">
        <v>44798</v>
      </c>
      <c r="O177" s="40" t="s">
        <v>115</v>
      </c>
      <c r="P177" s="39">
        <f t="shared" si="29"/>
        <v>34.166666666666664</v>
      </c>
      <c r="Q177" s="39">
        <f t="shared" si="30"/>
        <v>22.833333333333332</v>
      </c>
      <c r="R177" s="38">
        <v>1</v>
      </c>
      <c r="S177" s="39">
        <f t="shared" si="22"/>
        <v>1</v>
      </c>
      <c r="T177" s="39">
        <f t="shared" si="23"/>
        <v>0</v>
      </c>
    </row>
    <row r="178" spans="12:20" x14ac:dyDescent="0.25">
      <c r="L178" s="39">
        <f t="shared" si="21"/>
        <v>7.8666666666666663</v>
      </c>
      <c r="M178" s="38">
        <v>236</v>
      </c>
      <c r="N178" s="40">
        <v>44799</v>
      </c>
      <c r="O178" s="40" t="s">
        <v>114</v>
      </c>
      <c r="P178" s="39">
        <f>(5+7+7+9+8+3+10+11+9+7+10+13+6+11+7+8+10+8+3+9+11+8+10+8+7+6)/6</f>
        <v>35.166666666666664</v>
      </c>
      <c r="Q178" s="39">
        <f t="shared" si="30"/>
        <v>22.833333333333332</v>
      </c>
      <c r="R178" s="38">
        <v>1</v>
      </c>
      <c r="S178" s="39">
        <f t="shared" si="22"/>
        <v>1.8333333333333357</v>
      </c>
      <c r="T178" s="39">
        <f t="shared" si="23"/>
        <v>0</v>
      </c>
    </row>
    <row r="179" spans="12:20" x14ac:dyDescent="0.25">
      <c r="L179" s="39">
        <f t="shared" si="21"/>
        <v>7.9</v>
      </c>
      <c r="M179" s="38">
        <v>237</v>
      </c>
      <c r="N179" s="40">
        <v>44800</v>
      </c>
      <c r="O179" s="40" t="s">
        <v>113</v>
      </c>
      <c r="P179" s="39">
        <f>(5+7+7+9+8+3+10+11+9+7+10+13+6+11+7+8+10+8+3+9+11+8+10+8+7+6+11)/6</f>
        <v>37</v>
      </c>
      <c r="Q179" s="39">
        <f t="shared" si="30"/>
        <v>22.833333333333332</v>
      </c>
      <c r="R179" s="38">
        <v>1</v>
      </c>
      <c r="S179" s="39">
        <f t="shared" si="22"/>
        <v>1.3333333333333357</v>
      </c>
      <c r="T179" s="39">
        <f t="shared" si="23"/>
        <v>0</v>
      </c>
    </row>
    <row r="180" spans="12:20" x14ac:dyDescent="0.25">
      <c r="L180" s="39">
        <f t="shared" si="21"/>
        <v>7.9333333333333336</v>
      </c>
      <c r="M180" s="38">
        <v>238</v>
      </c>
      <c r="N180" s="40">
        <v>44801</v>
      </c>
      <c r="O180" s="40" t="s">
        <v>112</v>
      </c>
      <c r="P180" s="39">
        <f t="shared" ref="P180:P196" si="31">(5+7+7+9+8+3+10+11+9+7+10+13+6+11+7+8+10+8+3+9+11+8+10+8+7+6+11+8)/6</f>
        <v>38.333333333333336</v>
      </c>
      <c r="Q180" s="39">
        <f t="shared" si="30"/>
        <v>22.833333333333332</v>
      </c>
      <c r="R180" s="38">
        <v>1</v>
      </c>
      <c r="S180" s="39">
        <f t="shared" si="22"/>
        <v>0</v>
      </c>
      <c r="T180" s="39">
        <f t="shared" si="23"/>
        <v>0</v>
      </c>
    </row>
    <row r="181" spans="12:20" x14ac:dyDescent="0.25">
      <c r="L181" s="39">
        <f t="shared" si="21"/>
        <v>7.9666666666666668</v>
      </c>
      <c r="M181" s="38">
        <v>239</v>
      </c>
      <c r="N181" s="40">
        <v>44802</v>
      </c>
      <c r="O181" s="40" t="s">
        <v>111</v>
      </c>
      <c r="P181" s="39">
        <f t="shared" si="31"/>
        <v>38.333333333333336</v>
      </c>
      <c r="Q181" s="39">
        <f t="shared" si="30"/>
        <v>22.833333333333332</v>
      </c>
      <c r="R181" s="38">
        <v>1</v>
      </c>
      <c r="S181" s="39">
        <f t="shared" si="22"/>
        <v>0</v>
      </c>
      <c r="T181" s="39">
        <f t="shared" si="23"/>
        <v>1.1666666666666679</v>
      </c>
    </row>
    <row r="182" spans="12:20" x14ac:dyDescent="0.25">
      <c r="L182" s="39">
        <f t="shared" si="21"/>
        <v>8</v>
      </c>
      <c r="M182" s="38">
        <v>240</v>
      </c>
      <c r="N182" s="40">
        <v>44803</v>
      </c>
      <c r="O182" s="40" t="s">
        <v>110</v>
      </c>
      <c r="P182" s="39">
        <f t="shared" si="31"/>
        <v>38.333333333333336</v>
      </c>
      <c r="Q182" s="39">
        <f>(15+7+10+7+8+5+1+5+2+6+7+7+4+4+2+6+6+7+8+4+5+3+2+6+7)/6</f>
        <v>24</v>
      </c>
      <c r="R182" s="38">
        <v>1</v>
      </c>
      <c r="S182" s="39">
        <f t="shared" si="22"/>
        <v>0</v>
      </c>
      <c r="T182" s="39">
        <f t="shared" si="23"/>
        <v>0</v>
      </c>
    </row>
    <row r="183" spans="12:20" x14ac:dyDescent="0.25">
      <c r="L183" s="39">
        <f t="shared" si="21"/>
        <v>8.0333333333333332</v>
      </c>
      <c r="M183" s="38">
        <v>241</v>
      </c>
      <c r="N183" s="40">
        <v>44804</v>
      </c>
      <c r="O183" s="40" t="s">
        <v>109</v>
      </c>
      <c r="P183" s="39">
        <f t="shared" si="31"/>
        <v>38.333333333333336</v>
      </c>
      <c r="Q183" s="39">
        <f>(15+7+10+7+8+5+1+5+2+6+7+7+4+4+2+6+6+7+8+4+5+3+2+6+7)/6</f>
        <v>24</v>
      </c>
      <c r="R183" s="38">
        <v>1</v>
      </c>
      <c r="S183" s="39">
        <f t="shared" si="22"/>
        <v>0</v>
      </c>
      <c r="T183" s="39">
        <f t="shared" si="23"/>
        <v>0</v>
      </c>
    </row>
    <row r="184" spans="12:20" x14ac:dyDescent="0.25">
      <c r="L184" s="39">
        <f t="shared" si="21"/>
        <v>8.0666666666666664</v>
      </c>
      <c r="M184" s="38">
        <v>242</v>
      </c>
      <c r="N184" s="40">
        <v>44805</v>
      </c>
      <c r="O184" s="40" t="s">
        <v>108</v>
      </c>
      <c r="P184" s="39">
        <f t="shared" si="31"/>
        <v>38.333333333333336</v>
      </c>
      <c r="Q184" s="39">
        <f>(15+7+10+7+8+5+1+5+2+6+7+7+4+4+2+6+6+7+8+4+5+3+2+6+7)/6</f>
        <v>24</v>
      </c>
      <c r="R184" s="38">
        <v>1</v>
      </c>
      <c r="S184" s="39">
        <f t="shared" si="22"/>
        <v>0</v>
      </c>
      <c r="T184" s="39">
        <f t="shared" si="23"/>
        <v>1.3333333333333321</v>
      </c>
    </row>
    <row r="185" spans="12:20" x14ac:dyDescent="0.25">
      <c r="L185" s="39">
        <f t="shared" si="21"/>
        <v>8.1</v>
      </c>
      <c r="M185" s="38">
        <v>243</v>
      </c>
      <c r="N185" s="40">
        <v>44806</v>
      </c>
      <c r="O185" s="40" t="s">
        <v>107</v>
      </c>
      <c r="P185" s="39">
        <f t="shared" si="31"/>
        <v>38.333333333333336</v>
      </c>
      <c r="Q185" s="39">
        <f t="shared" ref="Q185:Q193" si="32">(15+7+10+7+8+5+1+5+2+6+7+7+4+4+2+6+6+7+8+4+5+3+2+6+7+8)/6</f>
        <v>25.333333333333332</v>
      </c>
      <c r="R185" s="38">
        <v>1</v>
      </c>
      <c r="S185" s="39">
        <f t="shared" si="22"/>
        <v>0</v>
      </c>
      <c r="T185" s="39">
        <f t="shared" si="23"/>
        <v>0</v>
      </c>
    </row>
    <row r="186" spans="12:20" x14ac:dyDescent="0.25">
      <c r="L186" s="39">
        <f t="shared" si="21"/>
        <v>8.1333333333333329</v>
      </c>
      <c r="M186" s="38">
        <v>244</v>
      </c>
      <c r="N186" s="40">
        <v>44807</v>
      </c>
      <c r="O186" s="40" t="s">
        <v>106</v>
      </c>
      <c r="P186" s="39">
        <f t="shared" si="31"/>
        <v>38.333333333333336</v>
      </c>
      <c r="Q186" s="39">
        <f t="shared" si="32"/>
        <v>25.333333333333332</v>
      </c>
      <c r="R186" s="38">
        <v>1</v>
      </c>
      <c r="S186" s="39">
        <f t="shared" si="22"/>
        <v>0</v>
      </c>
      <c r="T186" s="39">
        <f t="shared" si="23"/>
        <v>0</v>
      </c>
    </row>
    <row r="187" spans="12:20" x14ac:dyDescent="0.25">
      <c r="L187" s="39">
        <f t="shared" si="21"/>
        <v>8.1666666666666661</v>
      </c>
      <c r="M187" s="38">
        <v>245</v>
      </c>
      <c r="N187" s="40">
        <v>44808</v>
      </c>
      <c r="O187" s="40" t="s">
        <v>105</v>
      </c>
      <c r="P187" s="39">
        <f t="shared" si="31"/>
        <v>38.333333333333336</v>
      </c>
      <c r="Q187" s="39">
        <f t="shared" si="32"/>
        <v>25.333333333333332</v>
      </c>
      <c r="R187" s="38">
        <v>1</v>
      </c>
      <c r="S187" s="39">
        <f t="shared" si="22"/>
        <v>0</v>
      </c>
      <c r="T187" s="39">
        <f t="shared" si="23"/>
        <v>0</v>
      </c>
    </row>
    <row r="188" spans="12:20" x14ac:dyDescent="0.25">
      <c r="L188" s="39">
        <f t="shared" si="21"/>
        <v>8.1999999999999993</v>
      </c>
      <c r="M188" s="38">
        <v>246</v>
      </c>
      <c r="N188" s="40">
        <v>44809</v>
      </c>
      <c r="O188" s="40" t="s">
        <v>104</v>
      </c>
      <c r="P188" s="39">
        <f t="shared" si="31"/>
        <v>38.333333333333336</v>
      </c>
      <c r="Q188" s="39">
        <f t="shared" si="32"/>
        <v>25.333333333333332</v>
      </c>
      <c r="R188" s="38">
        <v>1</v>
      </c>
      <c r="S188" s="39">
        <f t="shared" si="22"/>
        <v>0</v>
      </c>
      <c r="T188" s="39">
        <f t="shared" si="23"/>
        <v>0</v>
      </c>
    </row>
    <row r="189" spans="12:20" x14ac:dyDescent="0.25">
      <c r="L189" s="39">
        <f t="shared" si="21"/>
        <v>8.2333333333333325</v>
      </c>
      <c r="M189" s="38">
        <v>247</v>
      </c>
      <c r="N189" s="40">
        <v>44810</v>
      </c>
      <c r="O189" s="40" t="s">
        <v>103</v>
      </c>
      <c r="P189" s="39">
        <f t="shared" si="31"/>
        <v>38.333333333333336</v>
      </c>
      <c r="Q189" s="39">
        <f t="shared" si="32"/>
        <v>25.333333333333332</v>
      </c>
      <c r="R189" s="38">
        <v>1</v>
      </c>
      <c r="S189" s="39">
        <f t="shared" si="22"/>
        <v>0</v>
      </c>
      <c r="T189" s="39">
        <f t="shared" si="23"/>
        <v>0</v>
      </c>
    </row>
    <row r="190" spans="12:20" x14ac:dyDescent="0.25">
      <c r="L190" s="39">
        <f t="shared" si="21"/>
        <v>8.2666666666666675</v>
      </c>
      <c r="M190" s="38">
        <v>248</v>
      </c>
      <c r="N190" s="40">
        <v>44811</v>
      </c>
      <c r="O190" s="40" t="s">
        <v>102</v>
      </c>
      <c r="P190" s="39">
        <f t="shared" si="31"/>
        <v>38.333333333333336</v>
      </c>
      <c r="Q190" s="39">
        <f t="shared" si="32"/>
        <v>25.333333333333332</v>
      </c>
      <c r="R190" s="38">
        <v>1</v>
      </c>
      <c r="S190" s="39">
        <f t="shared" si="22"/>
        <v>0</v>
      </c>
      <c r="T190" s="39">
        <f t="shared" si="23"/>
        <v>0</v>
      </c>
    </row>
    <row r="191" spans="12:20" x14ac:dyDescent="0.25">
      <c r="L191" s="39">
        <f t="shared" si="21"/>
        <v>8.3000000000000007</v>
      </c>
      <c r="M191" s="38">
        <v>249</v>
      </c>
      <c r="N191" s="40">
        <v>44812</v>
      </c>
      <c r="O191" s="40" t="s">
        <v>101</v>
      </c>
      <c r="P191" s="39">
        <f t="shared" si="31"/>
        <v>38.333333333333336</v>
      </c>
      <c r="Q191" s="39">
        <f t="shared" si="32"/>
        <v>25.333333333333332</v>
      </c>
      <c r="R191" s="38">
        <v>1</v>
      </c>
      <c r="S191" s="39">
        <f t="shared" si="22"/>
        <v>0</v>
      </c>
      <c r="T191" s="39">
        <f t="shared" si="23"/>
        <v>0</v>
      </c>
    </row>
    <row r="192" spans="12:20" x14ac:dyDescent="0.25">
      <c r="L192" s="39">
        <f t="shared" si="21"/>
        <v>8.3333333333333339</v>
      </c>
      <c r="M192" s="38">
        <v>250</v>
      </c>
      <c r="N192" s="40">
        <v>44813</v>
      </c>
      <c r="O192" s="40" t="s">
        <v>100</v>
      </c>
      <c r="P192" s="39">
        <f t="shared" si="31"/>
        <v>38.333333333333336</v>
      </c>
      <c r="Q192" s="39">
        <f t="shared" si="32"/>
        <v>25.333333333333332</v>
      </c>
      <c r="R192" s="38">
        <v>1</v>
      </c>
      <c r="S192" s="39">
        <f t="shared" si="22"/>
        <v>0</v>
      </c>
      <c r="T192" s="39">
        <f t="shared" si="23"/>
        <v>0</v>
      </c>
    </row>
    <row r="193" spans="12:20" x14ac:dyDescent="0.25">
      <c r="L193" s="39">
        <f t="shared" si="21"/>
        <v>8.3666666666666671</v>
      </c>
      <c r="M193" s="38">
        <v>251</v>
      </c>
      <c r="N193" s="40">
        <v>44814</v>
      </c>
      <c r="O193" s="40" t="s">
        <v>99</v>
      </c>
      <c r="P193" s="39">
        <f t="shared" si="31"/>
        <v>38.333333333333336</v>
      </c>
      <c r="Q193" s="39">
        <f t="shared" si="32"/>
        <v>25.333333333333332</v>
      </c>
      <c r="R193" s="38">
        <v>1</v>
      </c>
      <c r="S193" s="39">
        <f t="shared" si="22"/>
        <v>0</v>
      </c>
      <c r="T193" s="39">
        <f t="shared" si="23"/>
        <v>1</v>
      </c>
    </row>
    <row r="194" spans="12:20" x14ac:dyDescent="0.25">
      <c r="L194" s="39">
        <f t="shared" si="21"/>
        <v>8.4</v>
      </c>
      <c r="M194" s="38">
        <v>252</v>
      </c>
      <c r="N194" s="40">
        <v>44815</v>
      </c>
      <c r="O194" s="40" t="s">
        <v>98</v>
      </c>
      <c r="P194" s="39">
        <f t="shared" si="31"/>
        <v>38.333333333333336</v>
      </c>
      <c r="Q194" s="39">
        <f t="shared" ref="Q194:Q199" si="33">(15+7+10+7+8+5+1+5+2+6+7+7+4+4+2+6+6+7+8+4+5+3+2+6+7+8+6)/6</f>
        <v>26.333333333333332</v>
      </c>
      <c r="R194" s="38">
        <v>1</v>
      </c>
      <c r="S194" s="39">
        <f t="shared" si="22"/>
        <v>0</v>
      </c>
      <c r="T194" s="39">
        <f t="shared" si="23"/>
        <v>0</v>
      </c>
    </row>
    <row r="195" spans="12:20" x14ac:dyDescent="0.25">
      <c r="L195" s="39">
        <f t="shared" ref="L195:L258" si="34">M195/30</f>
        <v>8.4333333333333336</v>
      </c>
      <c r="M195" s="38">
        <v>253</v>
      </c>
      <c r="N195" s="40">
        <v>44816</v>
      </c>
      <c r="O195" s="40" t="s">
        <v>97</v>
      </c>
      <c r="P195" s="39">
        <f t="shared" si="31"/>
        <v>38.333333333333336</v>
      </c>
      <c r="Q195" s="39">
        <f t="shared" si="33"/>
        <v>26.333333333333332</v>
      </c>
      <c r="R195" s="38">
        <v>1</v>
      </c>
      <c r="S195" s="39">
        <f t="shared" ref="S195:S258" si="35">P196-P195</f>
        <v>0</v>
      </c>
      <c r="T195" s="39">
        <f t="shared" ref="T195:T258" si="36">Q196-Q195</f>
        <v>0</v>
      </c>
    </row>
    <row r="196" spans="12:20" x14ac:dyDescent="0.25">
      <c r="L196" s="39">
        <f t="shared" si="34"/>
        <v>8.4666666666666668</v>
      </c>
      <c r="M196" s="38">
        <v>254</v>
      </c>
      <c r="N196" s="40">
        <v>44817</v>
      </c>
      <c r="O196" s="40" t="s">
        <v>96</v>
      </c>
      <c r="P196" s="39">
        <f t="shared" si="31"/>
        <v>38.333333333333336</v>
      </c>
      <c r="Q196" s="39">
        <f t="shared" si="33"/>
        <v>26.333333333333332</v>
      </c>
      <c r="R196" s="38">
        <v>1</v>
      </c>
      <c r="S196" s="39">
        <f t="shared" si="35"/>
        <v>1</v>
      </c>
      <c r="T196" s="39">
        <f t="shared" si="36"/>
        <v>0</v>
      </c>
    </row>
    <row r="197" spans="12:20" x14ac:dyDescent="0.25">
      <c r="L197" s="39">
        <f t="shared" si="34"/>
        <v>8.5</v>
      </c>
      <c r="M197" s="38">
        <v>255</v>
      </c>
      <c r="N197" s="40">
        <v>44818</v>
      </c>
      <c r="O197" s="40" t="s">
        <v>95</v>
      </c>
      <c r="P197" s="39">
        <f>(5+7+7+9+8+3+10+11+9+7+10+13+6+11+7+8+10+8+3+9+11+8+10+8+7+6+11+8+6)/6</f>
        <v>39.333333333333336</v>
      </c>
      <c r="Q197" s="39">
        <f t="shared" si="33"/>
        <v>26.333333333333332</v>
      </c>
      <c r="R197" s="38">
        <v>1</v>
      </c>
      <c r="S197" s="39">
        <f t="shared" si="35"/>
        <v>1.1666666666666643</v>
      </c>
      <c r="T197" s="39">
        <f t="shared" si="36"/>
        <v>0</v>
      </c>
    </row>
    <row r="198" spans="12:20" x14ac:dyDescent="0.25">
      <c r="L198" s="39">
        <f t="shared" si="34"/>
        <v>8.5333333333333332</v>
      </c>
      <c r="M198" s="38">
        <v>256</v>
      </c>
      <c r="N198" s="40">
        <v>44819</v>
      </c>
      <c r="O198" s="40" t="s">
        <v>94</v>
      </c>
      <c r="P198" s="39">
        <f>(5+7+7+9+8+3+10+11+9+7+10+13+6+11+7+8+10+8+3+9+11+8+10+8+7+6+11+8+6+7)/6</f>
        <v>40.5</v>
      </c>
      <c r="Q198" s="39">
        <f t="shared" si="33"/>
        <v>26.333333333333332</v>
      </c>
      <c r="R198" s="38">
        <v>1</v>
      </c>
      <c r="S198" s="39">
        <f t="shared" si="35"/>
        <v>1.5</v>
      </c>
      <c r="T198" s="39">
        <f t="shared" si="36"/>
        <v>0</v>
      </c>
    </row>
    <row r="199" spans="12:20" x14ac:dyDescent="0.25">
      <c r="L199" s="39">
        <f t="shared" si="34"/>
        <v>8.5666666666666664</v>
      </c>
      <c r="M199" s="38">
        <v>257</v>
      </c>
      <c r="N199" s="40">
        <v>44820</v>
      </c>
      <c r="O199" s="40" t="s">
        <v>93</v>
      </c>
      <c r="P199" s="39">
        <f t="shared" ref="P199:P206" si="37">(5+7+7+9+8+3+10+11+9+7+10+13+6+11+7+8+10+8+3+9+11+8+10+8+7+6+11+8+6+7+9)/6</f>
        <v>42</v>
      </c>
      <c r="Q199" s="39">
        <f t="shared" si="33"/>
        <v>26.333333333333332</v>
      </c>
      <c r="R199" s="38">
        <v>1</v>
      </c>
      <c r="S199" s="39">
        <f t="shared" si="35"/>
        <v>0</v>
      </c>
      <c r="T199" s="39">
        <f t="shared" si="36"/>
        <v>0.3333333333333357</v>
      </c>
    </row>
    <row r="200" spans="12:20" x14ac:dyDescent="0.25">
      <c r="L200" s="39">
        <f t="shared" si="34"/>
        <v>8.6</v>
      </c>
      <c r="M200" s="38">
        <v>258</v>
      </c>
      <c r="N200" s="40">
        <v>44821</v>
      </c>
      <c r="O200" s="40" t="s">
        <v>92</v>
      </c>
      <c r="P200" s="39">
        <f t="shared" si="37"/>
        <v>42</v>
      </c>
      <c r="Q200" s="39">
        <f t="shared" ref="Q200:Q206" si="38">(15+7+10+7+8+5+1+5+2+6+7+7+4+4+2+6+6+7+8+4+5+3+2+6+7+8+6+2)/6</f>
        <v>26.666666666666668</v>
      </c>
      <c r="R200" s="38">
        <v>1</v>
      </c>
      <c r="S200" s="39">
        <f t="shared" si="35"/>
        <v>0</v>
      </c>
      <c r="T200" s="39">
        <f t="shared" si="36"/>
        <v>0</v>
      </c>
    </row>
    <row r="201" spans="12:20" x14ac:dyDescent="0.25">
      <c r="L201" s="39">
        <f t="shared" si="34"/>
        <v>8.6333333333333329</v>
      </c>
      <c r="M201" s="38">
        <v>259</v>
      </c>
      <c r="N201" s="40">
        <v>44822</v>
      </c>
      <c r="O201" s="40" t="s">
        <v>91</v>
      </c>
      <c r="P201" s="39">
        <f t="shared" si="37"/>
        <v>42</v>
      </c>
      <c r="Q201" s="39">
        <f t="shared" si="38"/>
        <v>26.666666666666668</v>
      </c>
      <c r="R201" s="38">
        <v>1</v>
      </c>
      <c r="S201" s="39">
        <f t="shared" si="35"/>
        <v>0</v>
      </c>
      <c r="T201" s="39">
        <f t="shared" si="36"/>
        <v>0</v>
      </c>
    </row>
    <row r="202" spans="12:20" x14ac:dyDescent="0.25">
      <c r="L202" s="39">
        <f t="shared" si="34"/>
        <v>8.6666666666666661</v>
      </c>
      <c r="M202" s="38">
        <v>260</v>
      </c>
      <c r="N202" s="40">
        <v>44823</v>
      </c>
      <c r="O202" s="40" t="s">
        <v>90</v>
      </c>
      <c r="P202" s="39">
        <f t="shared" si="37"/>
        <v>42</v>
      </c>
      <c r="Q202" s="39">
        <f t="shared" si="38"/>
        <v>26.666666666666668</v>
      </c>
      <c r="R202" s="38">
        <v>1</v>
      </c>
      <c r="S202" s="39">
        <f t="shared" si="35"/>
        <v>0</v>
      </c>
      <c r="T202" s="39">
        <f t="shared" si="36"/>
        <v>0</v>
      </c>
    </row>
    <row r="203" spans="12:20" x14ac:dyDescent="0.25">
      <c r="L203" s="39">
        <f t="shared" si="34"/>
        <v>8.6999999999999993</v>
      </c>
      <c r="M203" s="38">
        <v>261</v>
      </c>
      <c r="N203" s="40">
        <v>44824</v>
      </c>
      <c r="O203" s="40" t="s">
        <v>89</v>
      </c>
      <c r="P203" s="39">
        <f t="shared" si="37"/>
        <v>42</v>
      </c>
      <c r="Q203" s="39">
        <f t="shared" si="38"/>
        <v>26.666666666666668</v>
      </c>
      <c r="R203" s="38">
        <v>1</v>
      </c>
      <c r="S203" s="39">
        <f t="shared" si="35"/>
        <v>0</v>
      </c>
      <c r="T203" s="39">
        <f t="shared" si="36"/>
        <v>0</v>
      </c>
    </row>
    <row r="204" spans="12:20" x14ac:dyDescent="0.25">
      <c r="L204" s="39">
        <f t="shared" si="34"/>
        <v>8.7333333333333325</v>
      </c>
      <c r="M204" s="38">
        <v>262</v>
      </c>
      <c r="N204" s="40">
        <v>44825</v>
      </c>
      <c r="O204" s="40" t="s">
        <v>88</v>
      </c>
      <c r="P204" s="39">
        <f t="shared" si="37"/>
        <v>42</v>
      </c>
      <c r="Q204" s="39">
        <f t="shared" si="38"/>
        <v>26.666666666666668</v>
      </c>
      <c r="R204" s="38">
        <v>1</v>
      </c>
      <c r="S204" s="39">
        <f t="shared" si="35"/>
        <v>0</v>
      </c>
      <c r="T204" s="39">
        <f t="shared" si="36"/>
        <v>0</v>
      </c>
    </row>
    <row r="205" spans="12:20" x14ac:dyDescent="0.25">
      <c r="L205" s="39">
        <f t="shared" si="34"/>
        <v>8.7666666666666675</v>
      </c>
      <c r="M205" s="38">
        <v>263</v>
      </c>
      <c r="N205" s="40">
        <v>44826</v>
      </c>
      <c r="O205" s="40" t="s">
        <v>87</v>
      </c>
      <c r="P205" s="39">
        <f t="shared" si="37"/>
        <v>42</v>
      </c>
      <c r="Q205" s="39">
        <f t="shared" si="38"/>
        <v>26.666666666666668</v>
      </c>
      <c r="R205" s="38">
        <v>1</v>
      </c>
      <c r="S205" s="39">
        <f t="shared" si="35"/>
        <v>0</v>
      </c>
      <c r="T205" s="39">
        <f t="shared" si="36"/>
        <v>0</v>
      </c>
    </row>
    <row r="206" spans="12:20" x14ac:dyDescent="0.25">
      <c r="L206" s="39">
        <f t="shared" si="34"/>
        <v>8.8000000000000007</v>
      </c>
      <c r="M206" s="38">
        <v>264</v>
      </c>
      <c r="N206" s="40">
        <v>44827</v>
      </c>
      <c r="O206" s="40" t="s">
        <v>86</v>
      </c>
      <c r="P206" s="39">
        <f t="shared" si="37"/>
        <v>42</v>
      </c>
      <c r="Q206" s="39">
        <f t="shared" si="38"/>
        <v>26.666666666666668</v>
      </c>
      <c r="R206" s="38">
        <v>1</v>
      </c>
      <c r="S206" s="39">
        <f t="shared" si="35"/>
        <v>0.6666666666666643</v>
      </c>
      <c r="T206" s="39">
        <f t="shared" si="36"/>
        <v>0.6666666666666643</v>
      </c>
    </row>
    <row r="207" spans="12:20" x14ac:dyDescent="0.25">
      <c r="L207" s="39">
        <f t="shared" si="34"/>
        <v>8.8333333333333339</v>
      </c>
      <c r="M207" s="38">
        <v>265</v>
      </c>
      <c r="N207" s="40">
        <v>44828</v>
      </c>
      <c r="O207" s="40" t="s">
        <v>85</v>
      </c>
      <c r="P207" s="39">
        <f>(5+7+7+9+8+3+10+11+9+7+10+13+6+11+7+8+10+8+3+9+11+8+10+8+7+6+11+8+6+7+9+4)/6</f>
        <v>42.666666666666664</v>
      </c>
      <c r="Q207" s="39">
        <f>(15+7+10+7+8+5+1+5+2+6+7+7+4+4+2+6+6+7+8+4+5+3+2+6+7+8+6+2+4)/6</f>
        <v>27.333333333333332</v>
      </c>
      <c r="R207" s="38">
        <v>1</v>
      </c>
      <c r="S207" s="39">
        <f t="shared" si="35"/>
        <v>0</v>
      </c>
      <c r="T207" s="39">
        <f t="shared" si="36"/>
        <v>0.66666666666666785</v>
      </c>
    </row>
    <row r="208" spans="12:20" x14ac:dyDescent="0.25">
      <c r="L208" s="39">
        <f t="shared" si="34"/>
        <v>8.8666666666666671</v>
      </c>
      <c r="M208" s="38">
        <v>266</v>
      </c>
      <c r="N208" s="40">
        <v>44829</v>
      </c>
      <c r="O208" s="40" t="s">
        <v>84</v>
      </c>
      <c r="P208" s="39">
        <f>(5+7+7+9+8+3+10+11+9+7+10+13+6+11+7+8+10+8+3+9+11+8+10+8+7+6+11+8+6+7+9+4)/6</f>
        <v>42.666666666666664</v>
      </c>
      <c r="Q208" s="39">
        <f>(15+7+10+7+8+5+1+5+2+6+7+7+4+4+2+6+6+7+8+4+5+3+2+6+7+8+6+2+4+4)/6</f>
        <v>28</v>
      </c>
      <c r="R208" s="38">
        <v>1</v>
      </c>
      <c r="S208" s="39">
        <f t="shared" si="35"/>
        <v>0</v>
      </c>
      <c r="T208" s="39">
        <f t="shared" si="36"/>
        <v>0.5</v>
      </c>
    </row>
    <row r="209" spans="12:20" x14ac:dyDescent="0.25">
      <c r="L209" s="39">
        <f t="shared" si="34"/>
        <v>8.9</v>
      </c>
      <c r="M209" s="38">
        <v>267</v>
      </c>
      <c r="N209" s="40">
        <v>44830</v>
      </c>
      <c r="O209" s="40" t="s">
        <v>83</v>
      </c>
      <c r="P209" s="39">
        <f>(5+7+7+9+8+3+10+11+9+7+10+13+6+11+7+8+10+8+3+9+11+8+10+8+7+6+11+8+6+7+9+4)/6</f>
        <v>42.666666666666664</v>
      </c>
      <c r="Q209" s="39">
        <f>(15+7+10+7+8+5+1+5+2+6+7+7+4+4+2+6+6+7+8+4+5+3+2+6+7+8+6+2+4+4+3)/6</f>
        <v>28.5</v>
      </c>
      <c r="R209" s="38">
        <v>1</v>
      </c>
      <c r="S209" s="39">
        <f t="shared" si="35"/>
        <v>0</v>
      </c>
      <c r="T209" s="39">
        <f t="shared" si="36"/>
        <v>0</v>
      </c>
    </row>
    <row r="210" spans="12:20" x14ac:dyDescent="0.25">
      <c r="L210" s="39">
        <f t="shared" si="34"/>
        <v>8.9333333333333336</v>
      </c>
      <c r="M210" s="38">
        <v>268</v>
      </c>
      <c r="N210" s="40">
        <v>44831</v>
      </c>
      <c r="O210" s="40" t="s">
        <v>82</v>
      </c>
      <c r="P210" s="39">
        <f>(5+7+7+9+8+3+10+11+9+7+10+13+6+11+7+8+10+8+3+9+11+8+10+8+7+6+11+8+6+7+9+4)/6</f>
        <v>42.666666666666664</v>
      </c>
      <c r="Q210" s="39">
        <f>(15+7+10+7+8+5+1+5+2+6+7+7+4+4+2+6+6+7+8+4+5+3+2+6+7+8+6+2+4+4+3)/6</f>
        <v>28.5</v>
      </c>
      <c r="R210" s="38">
        <v>1</v>
      </c>
      <c r="S210" s="39">
        <f t="shared" si="35"/>
        <v>1.3333333333333357</v>
      </c>
      <c r="T210" s="39">
        <f t="shared" si="36"/>
        <v>0</v>
      </c>
    </row>
    <row r="211" spans="12:20" x14ac:dyDescent="0.25">
      <c r="L211" s="39">
        <f t="shared" si="34"/>
        <v>8.9666666666666668</v>
      </c>
      <c r="M211" s="38">
        <v>269</v>
      </c>
      <c r="N211" s="40">
        <v>44832</v>
      </c>
      <c r="O211" s="40" t="s">
        <v>81</v>
      </c>
      <c r="P211" s="39">
        <f t="shared" ref="P211:P223" si="39">(5+7+7+9+8+3+10+11+9+7+10+13+6+11+7+8+10+8+3+9+11+8+10+8+7+6+11+8+6+7+9+4+8)/6</f>
        <v>44</v>
      </c>
      <c r="Q211" s="39">
        <f>(15+7+10+7+8+5+1+5+2+6+7+7+4+4+2+6+6+7+8+4+5+3+2+6+7+8+6+2+4+4+3)/6</f>
        <v>28.5</v>
      </c>
      <c r="R211" s="38">
        <v>1</v>
      </c>
      <c r="S211" s="39">
        <f t="shared" si="35"/>
        <v>0</v>
      </c>
      <c r="T211" s="39">
        <f t="shared" si="36"/>
        <v>0</v>
      </c>
    </row>
    <row r="212" spans="12:20" x14ac:dyDescent="0.25">
      <c r="L212" s="39">
        <f t="shared" si="34"/>
        <v>9</v>
      </c>
      <c r="M212" s="38">
        <v>270</v>
      </c>
      <c r="N212" s="40">
        <v>44833</v>
      </c>
      <c r="O212" s="40" t="s">
        <v>80</v>
      </c>
      <c r="P212" s="39">
        <f t="shared" si="39"/>
        <v>44</v>
      </c>
      <c r="Q212" s="39">
        <f>(15+7+10+7+8+5+1+5+2+6+7+7+4+4+2+6+6+7+8+4+5+3+2+6+7+8+6+2+4+4+3)/6</f>
        <v>28.5</v>
      </c>
      <c r="R212" s="38">
        <v>1</v>
      </c>
      <c r="S212" s="39">
        <f t="shared" si="35"/>
        <v>0</v>
      </c>
      <c r="T212" s="39">
        <f t="shared" si="36"/>
        <v>0.33333333333333215</v>
      </c>
    </row>
    <row r="213" spans="12:20" x14ac:dyDescent="0.25">
      <c r="L213" s="39">
        <f t="shared" si="34"/>
        <v>9.0333333333333332</v>
      </c>
      <c r="M213" s="38">
        <v>271</v>
      </c>
      <c r="N213" s="40">
        <v>44834</v>
      </c>
      <c r="O213" s="40" t="s">
        <v>79</v>
      </c>
      <c r="P213" s="39">
        <f t="shared" si="39"/>
        <v>44</v>
      </c>
      <c r="Q213" s="39">
        <f t="shared" ref="Q213:Q219" si="40">(15+7+10+7+8+5+1+5+2+6+7+7+4+4+2+6+6+7+8+4+5+3+2+6+7+8+6+2+4+4+3+2)/6</f>
        <v>28.833333333333332</v>
      </c>
      <c r="R213" s="38">
        <v>1</v>
      </c>
      <c r="S213" s="39">
        <f t="shared" si="35"/>
        <v>0</v>
      </c>
      <c r="T213" s="39">
        <f t="shared" si="36"/>
        <v>0</v>
      </c>
    </row>
    <row r="214" spans="12:20" x14ac:dyDescent="0.25">
      <c r="L214" s="39">
        <f t="shared" si="34"/>
        <v>9.0666666666666664</v>
      </c>
      <c r="M214" s="38">
        <v>272</v>
      </c>
      <c r="N214" s="40">
        <v>44835</v>
      </c>
      <c r="O214" s="40" t="s">
        <v>78</v>
      </c>
      <c r="P214" s="39">
        <f t="shared" si="39"/>
        <v>44</v>
      </c>
      <c r="Q214" s="39">
        <f t="shared" si="40"/>
        <v>28.833333333333332</v>
      </c>
      <c r="R214" s="38">
        <v>1</v>
      </c>
      <c r="S214" s="39">
        <f t="shared" si="35"/>
        <v>0</v>
      </c>
      <c r="T214" s="39">
        <f t="shared" si="36"/>
        <v>0</v>
      </c>
    </row>
    <row r="215" spans="12:20" x14ac:dyDescent="0.25">
      <c r="L215" s="39">
        <f t="shared" si="34"/>
        <v>9.1</v>
      </c>
      <c r="M215" s="38">
        <v>273</v>
      </c>
      <c r="N215" s="40">
        <v>44836</v>
      </c>
      <c r="O215" s="40" t="s">
        <v>77</v>
      </c>
      <c r="P215" s="39">
        <f t="shared" si="39"/>
        <v>44</v>
      </c>
      <c r="Q215" s="39">
        <f t="shared" si="40"/>
        <v>28.833333333333332</v>
      </c>
      <c r="R215" s="38">
        <v>1</v>
      </c>
      <c r="S215" s="39">
        <f t="shared" si="35"/>
        <v>0</v>
      </c>
      <c r="T215" s="39">
        <f t="shared" si="36"/>
        <v>0</v>
      </c>
    </row>
    <row r="216" spans="12:20" x14ac:dyDescent="0.25">
      <c r="L216" s="39">
        <f t="shared" si="34"/>
        <v>9.1333333333333329</v>
      </c>
      <c r="M216" s="38">
        <v>274</v>
      </c>
      <c r="N216" s="40">
        <v>44837</v>
      </c>
      <c r="O216" s="40" t="s">
        <v>76</v>
      </c>
      <c r="P216" s="39">
        <f t="shared" si="39"/>
        <v>44</v>
      </c>
      <c r="Q216" s="39">
        <f t="shared" si="40"/>
        <v>28.833333333333332</v>
      </c>
      <c r="R216" s="38">
        <v>1</v>
      </c>
      <c r="S216" s="39">
        <f t="shared" si="35"/>
        <v>0</v>
      </c>
      <c r="T216" s="39">
        <f t="shared" si="36"/>
        <v>0</v>
      </c>
    </row>
    <row r="217" spans="12:20" x14ac:dyDescent="0.25">
      <c r="L217" s="39">
        <f t="shared" si="34"/>
        <v>9.1666666666666661</v>
      </c>
      <c r="M217" s="38">
        <v>275</v>
      </c>
      <c r="N217" s="40">
        <v>44838</v>
      </c>
      <c r="O217" s="40" t="s">
        <v>75</v>
      </c>
      <c r="P217" s="39">
        <f t="shared" si="39"/>
        <v>44</v>
      </c>
      <c r="Q217" s="39">
        <f t="shared" si="40"/>
        <v>28.833333333333332</v>
      </c>
      <c r="R217" s="38">
        <v>1</v>
      </c>
      <c r="S217" s="39">
        <f t="shared" si="35"/>
        <v>0</v>
      </c>
      <c r="T217" s="39">
        <f t="shared" si="36"/>
        <v>0</v>
      </c>
    </row>
    <row r="218" spans="12:20" x14ac:dyDescent="0.25">
      <c r="L218" s="39">
        <f t="shared" si="34"/>
        <v>9.1999999999999993</v>
      </c>
      <c r="M218" s="38">
        <v>276</v>
      </c>
      <c r="N218" s="40">
        <v>44839</v>
      </c>
      <c r="O218" s="40" t="s">
        <v>74</v>
      </c>
      <c r="P218" s="39">
        <f t="shared" si="39"/>
        <v>44</v>
      </c>
      <c r="Q218" s="39">
        <f t="shared" si="40"/>
        <v>28.833333333333332</v>
      </c>
      <c r="R218" s="38">
        <v>1</v>
      </c>
      <c r="S218" s="39">
        <f t="shared" si="35"/>
        <v>0</v>
      </c>
      <c r="T218" s="39">
        <f t="shared" si="36"/>
        <v>0</v>
      </c>
    </row>
    <row r="219" spans="12:20" x14ac:dyDescent="0.25">
      <c r="L219" s="39">
        <f t="shared" si="34"/>
        <v>9.2333333333333325</v>
      </c>
      <c r="M219" s="38">
        <v>277</v>
      </c>
      <c r="N219" s="40">
        <v>44840</v>
      </c>
      <c r="O219" s="40" t="s">
        <v>73</v>
      </c>
      <c r="P219" s="39">
        <f t="shared" si="39"/>
        <v>44</v>
      </c>
      <c r="Q219" s="39">
        <f t="shared" si="40"/>
        <v>28.833333333333332</v>
      </c>
      <c r="R219" s="38">
        <v>1</v>
      </c>
      <c r="S219" s="39">
        <f t="shared" si="35"/>
        <v>0</v>
      </c>
      <c r="T219" s="39">
        <f t="shared" si="36"/>
        <v>0.66666666666666785</v>
      </c>
    </row>
    <row r="220" spans="12:20" x14ac:dyDescent="0.25">
      <c r="L220" s="39">
        <f t="shared" si="34"/>
        <v>9.2666666666666675</v>
      </c>
      <c r="M220" s="38">
        <v>278</v>
      </c>
      <c r="N220" s="40">
        <v>44841</v>
      </c>
      <c r="O220" s="40" t="s">
        <v>72</v>
      </c>
      <c r="P220" s="39">
        <f t="shared" si="39"/>
        <v>44</v>
      </c>
      <c r="Q220" s="39">
        <f t="shared" ref="Q220:Q232" si="41">(15+7+10+7+8+5+1+5+2+6+7+7+4+4+2+6+6+7+8+4+5+3+2+6+7+8+6+2+4+4+3+2+4)/6</f>
        <v>29.5</v>
      </c>
      <c r="R220" s="38">
        <v>1</v>
      </c>
      <c r="S220" s="39">
        <f t="shared" si="35"/>
        <v>0</v>
      </c>
      <c r="T220" s="39">
        <f t="shared" si="36"/>
        <v>0</v>
      </c>
    </row>
    <row r="221" spans="12:20" x14ac:dyDescent="0.25">
      <c r="L221" s="39">
        <f t="shared" si="34"/>
        <v>9.3000000000000007</v>
      </c>
      <c r="M221" s="38">
        <v>279</v>
      </c>
      <c r="N221" s="40">
        <v>44842</v>
      </c>
      <c r="O221" s="40" t="s">
        <v>71</v>
      </c>
      <c r="P221" s="39">
        <f t="shared" si="39"/>
        <v>44</v>
      </c>
      <c r="Q221" s="39">
        <f t="shared" si="41"/>
        <v>29.5</v>
      </c>
      <c r="R221" s="38">
        <v>1</v>
      </c>
      <c r="S221" s="39">
        <f t="shared" si="35"/>
        <v>0</v>
      </c>
      <c r="T221" s="39">
        <f t="shared" si="36"/>
        <v>0</v>
      </c>
    </row>
    <row r="222" spans="12:20" x14ac:dyDescent="0.25">
      <c r="L222" s="39">
        <f t="shared" si="34"/>
        <v>9.3333333333333339</v>
      </c>
      <c r="M222" s="38">
        <v>280</v>
      </c>
      <c r="N222" s="40">
        <v>44843</v>
      </c>
      <c r="O222" s="40" t="s">
        <v>70</v>
      </c>
      <c r="P222" s="39">
        <f t="shared" si="39"/>
        <v>44</v>
      </c>
      <c r="Q222" s="39">
        <f t="shared" si="41"/>
        <v>29.5</v>
      </c>
      <c r="R222" s="38">
        <v>1</v>
      </c>
      <c r="S222" s="39">
        <f t="shared" si="35"/>
        <v>0</v>
      </c>
      <c r="T222" s="39">
        <f t="shared" si="36"/>
        <v>0</v>
      </c>
    </row>
    <row r="223" spans="12:20" x14ac:dyDescent="0.25">
      <c r="L223" s="39">
        <f t="shared" si="34"/>
        <v>9.3666666666666671</v>
      </c>
      <c r="M223" s="38">
        <v>281</v>
      </c>
      <c r="N223" s="40">
        <v>44844</v>
      </c>
      <c r="O223" s="40" t="s">
        <v>69</v>
      </c>
      <c r="P223" s="39">
        <f t="shared" si="39"/>
        <v>44</v>
      </c>
      <c r="Q223" s="39">
        <f t="shared" si="41"/>
        <v>29.5</v>
      </c>
      <c r="R223" s="38">
        <v>1</v>
      </c>
      <c r="S223" s="39">
        <f t="shared" si="35"/>
        <v>0.8333333333333357</v>
      </c>
      <c r="T223" s="39">
        <f t="shared" si="36"/>
        <v>0</v>
      </c>
    </row>
    <row r="224" spans="12:20" x14ac:dyDescent="0.25">
      <c r="L224" s="39">
        <f t="shared" si="34"/>
        <v>9.4</v>
      </c>
      <c r="M224" s="38">
        <v>282</v>
      </c>
      <c r="N224" s="40">
        <v>44845</v>
      </c>
      <c r="O224" s="40" t="s">
        <v>68</v>
      </c>
      <c r="P224" s="39">
        <f>(5+7+7+9+8+3+10+11+9+7+10+13+6+11+7+8+10+8+3+9+11+8+10+8+7+6+11+8+6+7+9+4+8+5)/6</f>
        <v>44.833333333333336</v>
      </c>
      <c r="Q224" s="39">
        <f t="shared" si="41"/>
        <v>29.5</v>
      </c>
      <c r="R224" s="38">
        <v>1</v>
      </c>
      <c r="S224" s="39">
        <f t="shared" si="35"/>
        <v>0</v>
      </c>
      <c r="T224" s="39">
        <f t="shared" si="36"/>
        <v>0</v>
      </c>
    </row>
    <row r="225" spans="12:20" x14ac:dyDescent="0.25">
      <c r="L225" s="39">
        <f t="shared" si="34"/>
        <v>9.4333333333333336</v>
      </c>
      <c r="M225" s="38">
        <v>283</v>
      </c>
      <c r="N225" s="40">
        <v>44846</v>
      </c>
      <c r="O225" s="40" t="s">
        <v>67</v>
      </c>
      <c r="P225" s="39">
        <f>(5+7+7+9+8+3+10+11+9+7+10+13+6+11+7+8+10+8+3+9+11+8+10+8+7+6+11+8+6+7+9+4+8+5)/6</f>
        <v>44.833333333333336</v>
      </c>
      <c r="Q225" s="39">
        <f t="shared" si="41"/>
        <v>29.5</v>
      </c>
      <c r="R225" s="38">
        <v>1</v>
      </c>
      <c r="S225" s="39">
        <f t="shared" si="35"/>
        <v>0</v>
      </c>
      <c r="T225" s="39">
        <f t="shared" si="36"/>
        <v>0</v>
      </c>
    </row>
    <row r="226" spans="12:20" x14ac:dyDescent="0.25">
      <c r="L226" s="39">
        <f t="shared" si="34"/>
        <v>9.4666666666666668</v>
      </c>
      <c r="M226" s="38">
        <v>284</v>
      </c>
      <c r="N226" s="40">
        <v>44847</v>
      </c>
      <c r="O226" s="40" t="s">
        <v>66</v>
      </c>
      <c r="P226" s="39">
        <f>(5+7+7+9+8+3+10+11+9+7+10+13+6+11+7+8+10+8+3+9+11+8+10+8+7+6+11+8+6+7+9+4+8+5)/6</f>
        <v>44.833333333333336</v>
      </c>
      <c r="Q226" s="39">
        <f t="shared" si="41"/>
        <v>29.5</v>
      </c>
      <c r="R226" s="38">
        <v>1</v>
      </c>
      <c r="S226" s="39">
        <f t="shared" si="35"/>
        <v>0</v>
      </c>
      <c r="T226" s="39">
        <f t="shared" si="36"/>
        <v>0</v>
      </c>
    </row>
    <row r="227" spans="12:20" x14ac:dyDescent="0.25">
      <c r="L227" s="39">
        <f t="shared" si="34"/>
        <v>9.5</v>
      </c>
      <c r="M227" s="38">
        <v>285</v>
      </c>
      <c r="N227" s="40">
        <v>44848</v>
      </c>
      <c r="O227" s="40" t="s">
        <v>65</v>
      </c>
      <c r="P227" s="39">
        <f>(5+7+7+9+8+3+10+11+9+7+10+13+6+11+7+8+10+8+3+9+11+8+10+8+7+6+11+8+6+7+9+4+8+5)/6</f>
        <v>44.833333333333336</v>
      </c>
      <c r="Q227" s="39">
        <f t="shared" si="41"/>
        <v>29.5</v>
      </c>
      <c r="R227" s="38">
        <v>1</v>
      </c>
      <c r="S227" s="39">
        <f t="shared" si="35"/>
        <v>0.6666666666666643</v>
      </c>
      <c r="T227" s="39">
        <f t="shared" si="36"/>
        <v>0</v>
      </c>
    </row>
    <row r="228" spans="12:20" x14ac:dyDescent="0.25">
      <c r="L228" s="39">
        <f t="shared" si="34"/>
        <v>9.5333333333333332</v>
      </c>
      <c r="M228" s="38">
        <v>286</v>
      </c>
      <c r="N228" s="40">
        <v>44849</v>
      </c>
      <c r="O228" s="40" t="s">
        <v>64</v>
      </c>
      <c r="P228" s="39">
        <f t="shared" ref="P228:P244" si="42">(5+7+7+9+8+3+10+11+9+7+10+13+6+11+7+8+10+8+3+9+11+8+10+8+7+6+11+8+6+7+9+4+8+5+4)/6</f>
        <v>45.5</v>
      </c>
      <c r="Q228" s="39">
        <f t="shared" si="41"/>
        <v>29.5</v>
      </c>
      <c r="R228" s="38">
        <v>1</v>
      </c>
      <c r="S228" s="39">
        <f t="shared" si="35"/>
        <v>0</v>
      </c>
      <c r="T228" s="39">
        <f t="shared" si="36"/>
        <v>0</v>
      </c>
    </row>
    <row r="229" spans="12:20" x14ac:dyDescent="0.25">
      <c r="L229" s="39">
        <f t="shared" si="34"/>
        <v>9.5666666666666664</v>
      </c>
      <c r="M229" s="38">
        <v>287</v>
      </c>
      <c r="N229" s="40">
        <v>44850</v>
      </c>
      <c r="O229" s="40" t="s">
        <v>63</v>
      </c>
      <c r="P229" s="39">
        <f t="shared" si="42"/>
        <v>45.5</v>
      </c>
      <c r="Q229" s="39">
        <f t="shared" si="41"/>
        <v>29.5</v>
      </c>
      <c r="R229" s="38">
        <v>1</v>
      </c>
      <c r="S229" s="39">
        <f t="shared" si="35"/>
        <v>0</v>
      </c>
      <c r="T229" s="39">
        <f t="shared" si="36"/>
        <v>0</v>
      </c>
    </row>
    <row r="230" spans="12:20" x14ac:dyDescent="0.25">
      <c r="L230" s="39">
        <f t="shared" si="34"/>
        <v>9.6</v>
      </c>
      <c r="M230" s="38">
        <v>288</v>
      </c>
      <c r="N230" s="40">
        <v>44851</v>
      </c>
      <c r="O230" s="40" t="s">
        <v>62</v>
      </c>
      <c r="P230" s="39">
        <f t="shared" si="42"/>
        <v>45.5</v>
      </c>
      <c r="Q230" s="39">
        <f t="shared" si="41"/>
        <v>29.5</v>
      </c>
      <c r="R230" s="38">
        <v>1</v>
      </c>
      <c r="S230" s="39">
        <f t="shared" si="35"/>
        <v>0</v>
      </c>
      <c r="T230" s="39">
        <f t="shared" si="36"/>
        <v>0</v>
      </c>
    </row>
    <row r="231" spans="12:20" x14ac:dyDescent="0.25">
      <c r="L231" s="39">
        <f t="shared" si="34"/>
        <v>9.6333333333333329</v>
      </c>
      <c r="M231" s="38">
        <v>289</v>
      </c>
      <c r="N231" s="40">
        <v>44852</v>
      </c>
      <c r="O231" s="40" t="s">
        <v>61</v>
      </c>
      <c r="P231" s="39">
        <f t="shared" si="42"/>
        <v>45.5</v>
      </c>
      <c r="Q231" s="39">
        <f t="shared" si="41"/>
        <v>29.5</v>
      </c>
      <c r="R231" s="38">
        <v>1</v>
      </c>
      <c r="S231" s="39">
        <f t="shared" si="35"/>
        <v>0</v>
      </c>
      <c r="T231" s="39">
        <f t="shared" si="36"/>
        <v>0</v>
      </c>
    </row>
    <row r="232" spans="12:20" x14ac:dyDescent="0.25">
      <c r="L232" s="39">
        <f t="shared" si="34"/>
        <v>9.6666666666666661</v>
      </c>
      <c r="M232" s="38">
        <v>290</v>
      </c>
      <c r="N232" s="40">
        <v>44853</v>
      </c>
      <c r="O232" s="40" t="s">
        <v>60</v>
      </c>
      <c r="P232" s="39">
        <f t="shared" si="42"/>
        <v>45.5</v>
      </c>
      <c r="Q232" s="39">
        <f t="shared" si="41"/>
        <v>29.5</v>
      </c>
      <c r="R232" s="38">
        <v>1</v>
      </c>
      <c r="S232" s="39">
        <f t="shared" si="35"/>
        <v>0</v>
      </c>
      <c r="T232" s="39">
        <f t="shared" si="36"/>
        <v>0.5</v>
      </c>
    </row>
    <row r="233" spans="12:20" x14ac:dyDescent="0.25">
      <c r="L233" s="39">
        <f t="shared" si="34"/>
        <v>9.6999999999999993</v>
      </c>
      <c r="M233" s="38">
        <v>291</v>
      </c>
      <c r="N233" s="40">
        <v>44854</v>
      </c>
      <c r="O233" s="40" t="s">
        <v>59</v>
      </c>
      <c r="P233" s="39">
        <f t="shared" si="42"/>
        <v>45.5</v>
      </c>
      <c r="Q233" s="39">
        <f>(15+7+10+7+8+5+1+5+2+6+7+7+4+4+2+6+6+7+8+4+5+3+2+6+7+8+6+2+4+4+3+2+4+3)/6</f>
        <v>30</v>
      </c>
      <c r="R233" s="38">
        <v>1</v>
      </c>
      <c r="S233" s="39">
        <f t="shared" si="35"/>
        <v>0</v>
      </c>
      <c r="T233" s="39">
        <f t="shared" si="36"/>
        <v>0.66666666666666785</v>
      </c>
    </row>
    <row r="234" spans="12:20" x14ac:dyDescent="0.25">
      <c r="L234" s="39">
        <f t="shared" si="34"/>
        <v>9.7333333333333325</v>
      </c>
      <c r="M234" s="38">
        <v>292</v>
      </c>
      <c r="N234" s="40">
        <v>44855</v>
      </c>
      <c r="O234" s="40" t="s">
        <v>58</v>
      </c>
      <c r="P234" s="39">
        <f t="shared" si="42"/>
        <v>45.5</v>
      </c>
      <c r="Q234" s="39">
        <f>(15+7+10+7+8+5+1+5+2+6+7+7+4+4+2+6+6+7+8+4+5+3+2+6+7+8+6+2+4+4+3+2+4+3+4)/6</f>
        <v>30.666666666666668</v>
      </c>
      <c r="R234" s="38">
        <v>1</v>
      </c>
      <c r="S234" s="39">
        <f t="shared" si="35"/>
        <v>0</v>
      </c>
      <c r="T234" s="39">
        <f t="shared" si="36"/>
        <v>0.33333333333333215</v>
      </c>
    </row>
    <row r="235" spans="12:20" x14ac:dyDescent="0.25">
      <c r="L235" s="39">
        <f t="shared" si="34"/>
        <v>9.7666666666666675</v>
      </c>
      <c r="M235" s="38">
        <v>293</v>
      </c>
      <c r="N235" s="40">
        <v>44856</v>
      </c>
      <c r="O235" s="40" t="s">
        <v>57</v>
      </c>
      <c r="P235" s="39">
        <f t="shared" si="42"/>
        <v>45.5</v>
      </c>
      <c r="Q235" s="39">
        <f t="shared" ref="Q235:Q256" si="43">(15+7+10+7+8+5+1+5+2+6+7+7+4+4+2+6+6+7+8+4+5+3+2+6+7+8+6+2+4+4+3+2+4+3+4+2)/6</f>
        <v>31</v>
      </c>
      <c r="R235" s="38">
        <v>1</v>
      </c>
      <c r="S235" s="39">
        <f t="shared" si="35"/>
        <v>0</v>
      </c>
      <c r="T235" s="39">
        <f t="shared" si="36"/>
        <v>0</v>
      </c>
    </row>
    <row r="236" spans="12:20" x14ac:dyDescent="0.25">
      <c r="L236" s="39">
        <f t="shared" si="34"/>
        <v>9.8000000000000007</v>
      </c>
      <c r="M236" s="38">
        <v>294</v>
      </c>
      <c r="N236" s="40">
        <v>44857</v>
      </c>
      <c r="O236" s="40" t="s">
        <v>56</v>
      </c>
      <c r="P236" s="39">
        <f t="shared" si="42"/>
        <v>45.5</v>
      </c>
      <c r="Q236" s="39">
        <f t="shared" si="43"/>
        <v>31</v>
      </c>
      <c r="R236" s="38">
        <v>1</v>
      </c>
      <c r="S236" s="39">
        <f t="shared" si="35"/>
        <v>0</v>
      </c>
      <c r="T236" s="39">
        <f t="shared" si="36"/>
        <v>0</v>
      </c>
    </row>
    <row r="237" spans="12:20" x14ac:dyDescent="0.25">
      <c r="L237" s="39">
        <f t="shared" si="34"/>
        <v>9.8333333333333339</v>
      </c>
      <c r="M237" s="38">
        <v>295</v>
      </c>
      <c r="N237" s="40">
        <v>44858</v>
      </c>
      <c r="O237" s="40" t="s">
        <v>55</v>
      </c>
      <c r="P237" s="39">
        <f t="shared" si="42"/>
        <v>45.5</v>
      </c>
      <c r="Q237" s="39">
        <f t="shared" si="43"/>
        <v>31</v>
      </c>
      <c r="R237" s="38">
        <v>1</v>
      </c>
      <c r="S237" s="39">
        <f t="shared" si="35"/>
        <v>0</v>
      </c>
      <c r="T237" s="39">
        <f t="shared" si="36"/>
        <v>0</v>
      </c>
    </row>
    <row r="238" spans="12:20" x14ac:dyDescent="0.25">
      <c r="L238" s="39">
        <f t="shared" si="34"/>
        <v>9.8666666666666671</v>
      </c>
      <c r="M238" s="38">
        <v>296</v>
      </c>
      <c r="N238" s="40">
        <v>44859</v>
      </c>
      <c r="O238" s="40" t="s">
        <v>54</v>
      </c>
      <c r="P238" s="39">
        <f t="shared" si="42"/>
        <v>45.5</v>
      </c>
      <c r="Q238" s="39">
        <f t="shared" si="43"/>
        <v>31</v>
      </c>
      <c r="R238" s="38">
        <v>1</v>
      </c>
      <c r="S238" s="39">
        <f t="shared" si="35"/>
        <v>0</v>
      </c>
      <c r="T238" s="39">
        <f t="shared" si="36"/>
        <v>0</v>
      </c>
    </row>
    <row r="239" spans="12:20" x14ac:dyDescent="0.25">
      <c r="L239" s="39">
        <f t="shared" si="34"/>
        <v>9.9</v>
      </c>
      <c r="M239" s="38">
        <v>297</v>
      </c>
      <c r="N239" s="40">
        <v>44860</v>
      </c>
      <c r="O239" s="40" t="s">
        <v>53</v>
      </c>
      <c r="P239" s="39">
        <f t="shared" si="42"/>
        <v>45.5</v>
      </c>
      <c r="Q239" s="39">
        <f t="shared" si="43"/>
        <v>31</v>
      </c>
      <c r="R239" s="38">
        <v>1</v>
      </c>
      <c r="S239" s="39">
        <f t="shared" si="35"/>
        <v>0</v>
      </c>
      <c r="T239" s="39">
        <f t="shared" si="36"/>
        <v>0</v>
      </c>
    </row>
    <row r="240" spans="12:20" x14ac:dyDescent="0.25">
      <c r="L240" s="39">
        <f t="shared" si="34"/>
        <v>9.9333333333333336</v>
      </c>
      <c r="M240" s="38">
        <v>298</v>
      </c>
      <c r="N240" s="40">
        <v>44861</v>
      </c>
      <c r="O240" s="40" t="s">
        <v>52</v>
      </c>
      <c r="P240" s="39">
        <f t="shared" si="42"/>
        <v>45.5</v>
      </c>
      <c r="Q240" s="39">
        <f t="shared" si="43"/>
        <v>31</v>
      </c>
      <c r="R240" s="38">
        <v>1</v>
      </c>
      <c r="S240" s="39">
        <f t="shared" si="35"/>
        <v>0</v>
      </c>
      <c r="T240" s="39">
        <f t="shared" si="36"/>
        <v>0</v>
      </c>
    </row>
    <row r="241" spans="12:20" x14ac:dyDescent="0.25">
      <c r="L241" s="39">
        <f t="shared" si="34"/>
        <v>9.9666666666666668</v>
      </c>
      <c r="M241" s="38">
        <v>299</v>
      </c>
      <c r="N241" s="40">
        <v>44862</v>
      </c>
      <c r="O241" s="40" t="s">
        <v>51</v>
      </c>
      <c r="P241" s="39">
        <f t="shared" si="42"/>
        <v>45.5</v>
      </c>
      <c r="Q241" s="39">
        <f t="shared" si="43"/>
        <v>31</v>
      </c>
      <c r="R241" s="38">
        <v>1</v>
      </c>
      <c r="S241" s="39">
        <f t="shared" si="35"/>
        <v>0</v>
      </c>
      <c r="T241" s="39">
        <f t="shared" si="36"/>
        <v>0</v>
      </c>
    </row>
    <row r="242" spans="12:20" x14ac:dyDescent="0.25">
      <c r="L242" s="39">
        <f t="shared" si="34"/>
        <v>10</v>
      </c>
      <c r="M242" s="38">
        <v>300</v>
      </c>
      <c r="N242" s="40">
        <v>44863</v>
      </c>
      <c r="O242" s="40" t="s">
        <v>50</v>
      </c>
      <c r="P242" s="39">
        <f t="shared" si="42"/>
        <v>45.5</v>
      </c>
      <c r="Q242" s="39">
        <f t="shared" si="43"/>
        <v>31</v>
      </c>
      <c r="R242" s="38">
        <v>1</v>
      </c>
      <c r="S242" s="39">
        <f t="shared" si="35"/>
        <v>0</v>
      </c>
      <c r="T242" s="39">
        <f t="shared" si="36"/>
        <v>0</v>
      </c>
    </row>
    <row r="243" spans="12:20" x14ac:dyDescent="0.25">
      <c r="L243" s="39">
        <f t="shared" si="34"/>
        <v>10.033333333333333</v>
      </c>
      <c r="M243" s="38">
        <v>301</v>
      </c>
      <c r="N243" s="40">
        <v>44864</v>
      </c>
      <c r="O243" s="40" t="s">
        <v>49</v>
      </c>
      <c r="P243" s="39">
        <f t="shared" si="42"/>
        <v>45.5</v>
      </c>
      <c r="Q243" s="39">
        <f t="shared" si="43"/>
        <v>31</v>
      </c>
      <c r="R243" s="38">
        <v>1</v>
      </c>
      <c r="S243" s="39">
        <f t="shared" si="35"/>
        <v>0</v>
      </c>
      <c r="T243" s="39">
        <f t="shared" si="36"/>
        <v>0</v>
      </c>
    </row>
    <row r="244" spans="12:20" x14ac:dyDescent="0.25">
      <c r="L244" s="39">
        <f t="shared" si="34"/>
        <v>10.066666666666666</v>
      </c>
      <c r="M244" s="38">
        <v>302</v>
      </c>
      <c r="N244" s="40">
        <v>44865</v>
      </c>
      <c r="O244" s="40" t="s">
        <v>48</v>
      </c>
      <c r="P244" s="39">
        <f t="shared" si="42"/>
        <v>45.5</v>
      </c>
      <c r="Q244" s="39">
        <f t="shared" si="43"/>
        <v>31</v>
      </c>
      <c r="R244" s="38">
        <v>1</v>
      </c>
      <c r="S244" s="39">
        <f t="shared" si="35"/>
        <v>1.8333333333333357</v>
      </c>
      <c r="T244" s="39">
        <f t="shared" si="36"/>
        <v>0</v>
      </c>
    </row>
    <row r="245" spans="12:20" x14ac:dyDescent="0.25">
      <c r="L245" s="39">
        <f t="shared" si="34"/>
        <v>10.1</v>
      </c>
      <c r="M245" s="38">
        <v>303</v>
      </c>
      <c r="N245" s="40">
        <v>44866</v>
      </c>
      <c r="O245" s="40" t="s">
        <v>47</v>
      </c>
      <c r="P245" s="39">
        <f>(5+7+7+9+8+3+10+11+9+7+10+13+6+11+7+8+10+8+3+9+11+8+10+8+7+6+11+8+6+7+9+4+8+5+4+4+7)/6</f>
        <v>47.333333333333336</v>
      </c>
      <c r="Q245" s="39">
        <f t="shared" si="43"/>
        <v>31</v>
      </c>
      <c r="R245" s="38">
        <v>1</v>
      </c>
      <c r="S245" s="39">
        <f t="shared" si="35"/>
        <v>0</v>
      </c>
      <c r="T245" s="39">
        <f t="shared" si="36"/>
        <v>0</v>
      </c>
    </row>
    <row r="246" spans="12:20" x14ac:dyDescent="0.25">
      <c r="L246" s="39">
        <f t="shared" si="34"/>
        <v>10.133333333333333</v>
      </c>
      <c r="M246" s="38">
        <v>304</v>
      </c>
      <c r="N246" s="40">
        <v>44867</v>
      </c>
      <c r="O246" s="40" t="s">
        <v>46</v>
      </c>
      <c r="P246" s="39">
        <f>(5+7+7+9+8+3+10+11+9+7+10+13+6+11+7+8+10+8+3+9+11+8+10+8+7+6+11+8+6+7+9+4+8+5+4+4+7)/6</f>
        <v>47.333333333333336</v>
      </c>
      <c r="Q246" s="39">
        <f t="shared" si="43"/>
        <v>31</v>
      </c>
      <c r="R246" s="38">
        <v>1</v>
      </c>
      <c r="S246" s="39">
        <f t="shared" si="35"/>
        <v>0</v>
      </c>
      <c r="T246" s="39">
        <f t="shared" si="36"/>
        <v>0</v>
      </c>
    </row>
    <row r="247" spans="12:20" x14ac:dyDescent="0.25">
      <c r="L247" s="39">
        <f t="shared" si="34"/>
        <v>10.166666666666666</v>
      </c>
      <c r="M247" s="38">
        <v>305</v>
      </c>
      <c r="N247" s="40">
        <v>44868</v>
      </c>
      <c r="O247" s="40" t="s">
        <v>45</v>
      </c>
      <c r="P247" s="39">
        <f>(5+7+7+9+8+3+10+11+9+7+10+13+6+11+7+8+10+8+3+9+11+8+10+8+7+6+11+8+6+7+9+4+8+5+4+4+7)/6</f>
        <v>47.333333333333336</v>
      </c>
      <c r="Q247" s="39">
        <f t="shared" si="43"/>
        <v>31</v>
      </c>
      <c r="R247" s="38">
        <v>1</v>
      </c>
      <c r="S247" s="39">
        <f t="shared" si="35"/>
        <v>0</v>
      </c>
      <c r="T247" s="39">
        <f t="shared" si="36"/>
        <v>0</v>
      </c>
    </row>
    <row r="248" spans="12:20" x14ac:dyDescent="0.25">
      <c r="L248" s="39">
        <f t="shared" si="34"/>
        <v>10.199999999999999</v>
      </c>
      <c r="M248" s="38">
        <v>306</v>
      </c>
      <c r="N248" s="40">
        <v>44869</v>
      </c>
      <c r="O248" s="40" t="s">
        <v>44</v>
      </c>
      <c r="P248" s="39">
        <f>(5+7+7+9+8+3+10+11+9+7+10+13+6+11+7+8+10+8+3+9+11+8+10+8+7+6+11+8+6+7+9+4+8+5+4+4+7)/6</f>
        <v>47.333333333333336</v>
      </c>
      <c r="Q248" s="39">
        <f t="shared" si="43"/>
        <v>31</v>
      </c>
      <c r="R248" s="38">
        <v>1</v>
      </c>
      <c r="S248" s="39">
        <f t="shared" si="35"/>
        <v>0</v>
      </c>
      <c r="T248" s="39">
        <f t="shared" si="36"/>
        <v>0</v>
      </c>
    </row>
    <row r="249" spans="12:20" x14ac:dyDescent="0.25">
      <c r="L249" s="39">
        <f t="shared" si="34"/>
        <v>10.233333333333333</v>
      </c>
      <c r="M249" s="38">
        <v>307</v>
      </c>
      <c r="N249" s="40">
        <v>44870</v>
      </c>
      <c r="O249" s="40" t="s">
        <v>43</v>
      </c>
      <c r="P249" s="39">
        <f>(5+7+7+9+8+3+10+11+9+7+10+13+6+11+7+8+10+8+3+9+11+8+10+8+7+6+11+8+6+7+9+4+8+5+4+4+7)/6</f>
        <v>47.333333333333336</v>
      </c>
      <c r="Q249" s="39">
        <f t="shared" si="43"/>
        <v>31</v>
      </c>
      <c r="R249" s="38">
        <v>1</v>
      </c>
      <c r="S249" s="39">
        <f t="shared" si="35"/>
        <v>0.6666666666666643</v>
      </c>
      <c r="T249" s="39">
        <f t="shared" si="36"/>
        <v>0</v>
      </c>
    </row>
    <row r="250" spans="12:20" x14ac:dyDescent="0.25">
      <c r="L250" s="39">
        <f t="shared" si="34"/>
        <v>10.266666666666667</v>
      </c>
      <c r="M250" s="38">
        <v>308</v>
      </c>
      <c r="N250" s="40">
        <v>44871</v>
      </c>
      <c r="O250" s="40" t="s">
        <v>42</v>
      </c>
      <c r="P250" s="39">
        <f t="shared" ref="P250:P265" si="44">(5+7+7+9+8+3+10+11+9+7+10+13+6+11+7+8+10+8+3+9+11+8+10+8+7+6+11+8+6+7+9+4+8+5+4+4+7+4)/6</f>
        <v>48</v>
      </c>
      <c r="Q250" s="39">
        <f t="shared" si="43"/>
        <v>31</v>
      </c>
      <c r="R250" s="38">
        <v>1</v>
      </c>
      <c r="S250" s="39">
        <f t="shared" si="35"/>
        <v>0</v>
      </c>
      <c r="T250" s="39">
        <f t="shared" si="36"/>
        <v>0</v>
      </c>
    </row>
    <row r="251" spans="12:20" x14ac:dyDescent="0.25">
      <c r="L251" s="39">
        <f t="shared" si="34"/>
        <v>10.3</v>
      </c>
      <c r="M251" s="38">
        <v>309</v>
      </c>
      <c r="N251" s="40">
        <v>44872</v>
      </c>
      <c r="O251" s="40" t="s">
        <v>41</v>
      </c>
      <c r="P251" s="39">
        <f t="shared" si="44"/>
        <v>48</v>
      </c>
      <c r="Q251" s="39">
        <f t="shared" si="43"/>
        <v>31</v>
      </c>
      <c r="R251" s="38">
        <v>1</v>
      </c>
      <c r="S251" s="39">
        <f t="shared" si="35"/>
        <v>0</v>
      </c>
      <c r="T251" s="39">
        <f t="shared" si="36"/>
        <v>0</v>
      </c>
    </row>
    <row r="252" spans="12:20" x14ac:dyDescent="0.25">
      <c r="L252" s="39">
        <f t="shared" si="34"/>
        <v>10.333333333333334</v>
      </c>
      <c r="M252" s="38">
        <v>310</v>
      </c>
      <c r="N252" s="40">
        <v>44873</v>
      </c>
      <c r="O252" s="40" t="s">
        <v>40</v>
      </c>
      <c r="P252" s="39">
        <f t="shared" si="44"/>
        <v>48</v>
      </c>
      <c r="Q252" s="39">
        <f t="shared" si="43"/>
        <v>31</v>
      </c>
      <c r="R252" s="38">
        <v>1</v>
      </c>
      <c r="S252" s="39">
        <f t="shared" si="35"/>
        <v>0</v>
      </c>
      <c r="T252" s="39">
        <f t="shared" si="36"/>
        <v>0</v>
      </c>
    </row>
    <row r="253" spans="12:20" x14ac:dyDescent="0.25">
      <c r="L253" s="39">
        <f t="shared" si="34"/>
        <v>10.366666666666667</v>
      </c>
      <c r="M253" s="38">
        <v>311</v>
      </c>
      <c r="N253" s="40">
        <v>44874</v>
      </c>
      <c r="O253" s="40" t="s">
        <v>39</v>
      </c>
      <c r="P253" s="39">
        <f t="shared" si="44"/>
        <v>48</v>
      </c>
      <c r="Q253" s="39">
        <f t="shared" si="43"/>
        <v>31</v>
      </c>
      <c r="R253" s="38">
        <v>1</v>
      </c>
      <c r="S253" s="39">
        <f t="shared" si="35"/>
        <v>0</v>
      </c>
      <c r="T253" s="39">
        <f t="shared" si="36"/>
        <v>0</v>
      </c>
    </row>
    <row r="254" spans="12:20" x14ac:dyDescent="0.25">
      <c r="L254" s="39">
        <f t="shared" si="34"/>
        <v>10.4</v>
      </c>
      <c r="M254" s="38">
        <v>312</v>
      </c>
      <c r="N254" s="40">
        <v>44875</v>
      </c>
      <c r="O254" s="40" t="s">
        <v>38</v>
      </c>
      <c r="P254" s="39">
        <f t="shared" si="44"/>
        <v>48</v>
      </c>
      <c r="Q254" s="39">
        <f t="shared" si="43"/>
        <v>31</v>
      </c>
      <c r="R254" s="38">
        <v>1</v>
      </c>
      <c r="S254" s="39">
        <f t="shared" si="35"/>
        <v>0</v>
      </c>
      <c r="T254" s="39">
        <f t="shared" si="36"/>
        <v>0</v>
      </c>
    </row>
    <row r="255" spans="12:20" x14ac:dyDescent="0.25">
      <c r="L255" s="39">
        <f t="shared" si="34"/>
        <v>10.433333333333334</v>
      </c>
      <c r="M255" s="38">
        <v>313</v>
      </c>
      <c r="N255" s="40">
        <v>44876</v>
      </c>
      <c r="O255" s="40" t="s">
        <v>37</v>
      </c>
      <c r="P255" s="39">
        <f t="shared" si="44"/>
        <v>48</v>
      </c>
      <c r="Q255" s="39">
        <f t="shared" si="43"/>
        <v>31</v>
      </c>
      <c r="R255" s="38">
        <v>1</v>
      </c>
      <c r="S255" s="39">
        <f t="shared" si="35"/>
        <v>0</v>
      </c>
      <c r="T255" s="39">
        <f t="shared" si="36"/>
        <v>0</v>
      </c>
    </row>
    <row r="256" spans="12:20" x14ac:dyDescent="0.25">
      <c r="L256" s="39">
        <f t="shared" si="34"/>
        <v>10.466666666666667</v>
      </c>
      <c r="M256" s="38">
        <v>314</v>
      </c>
      <c r="N256" s="40">
        <v>44877</v>
      </c>
      <c r="O256" s="40" t="s">
        <v>36</v>
      </c>
      <c r="P256" s="39">
        <f t="shared" si="44"/>
        <v>48</v>
      </c>
      <c r="Q256" s="39">
        <f t="shared" si="43"/>
        <v>31</v>
      </c>
      <c r="R256" s="38">
        <v>1</v>
      </c>
      <c r="S256" s="39">
        <f t="shared" si="35"/>
        <v>0</v>
      </c>
      <c r="T256" s="39">
        <f t="shared" si="36"/>
        <v>0.16666666666666785</v>
      </c>
    </row>
    <row r="257" spans="12:20" x14ac:dyDescent="0.25">
      <c r="L257" s="39">
        <f t="shared" si="34"/>
        <v>10.5</v>
      </c>
      <c r="M257" s="38">
        <v>315</v>
      </c>
      <c r="N257" s="40">
        <v>44878</v>
      </c>
      <c r="O257" s="40" t="s">
        <v>35</v>
      </c>
      <c r="P257" s="39">
        <f t="shared" si="44"/>
        <v>48</v>
      </c>
      <c r="Q257" s="39">
        <f>(15+7+10+7+8+5+1+5+2+6+7+7+4+4+2+6+6+7+8+4+5+3+2+6+7+8+6+2+4+4+3+2+4+3+4+2+1)/6</f>
        <v>31.166666666666668</v>
      </c>
      <c r="R257" s="38">
        <v>1</v>
      </c>
      <c r="S257" s="39">
        <f t="shared" si="35"/>
        <v>0</v>
      </c>
      <c r="T257" s="39">
        <f t="shared" si="36"/>
        <v>0</v>
      </c>
    </row>
    <row r="258" spans="12:20" x14ac:dyDescent="0.25">
      <c r="L258" s="39">
        <f t="shared" si="34"/>
        <v>10.533333333333333</v>
      </c>
      <c r="M258" s="38">
        <v>316</v>
      </c>
      <c r="N258" s="40">
        <v>44879</v>
      </c>
      <c r="O258" s="40" t="s">
        <v>34</v>
      </c>
      <c r="P258" s="39">
        <f t="shared" si="44"/>
        <v>48</v>
      </c>
      <c r="Q258" s="39">
        <f>(15+7+10+7+8+5+1+5+2+6+7+7+4+4+2+6+6+7+8+4+5+3+2+6+7+8+6+2+4+4+3+2+4+3+4+2+1)/6</f>
        <v>31.166666666666668</v>
      </c>
      <c r="R258" s="38">
        <v>1</v>
      </c>
      <c r="S258" s="39">
        <f t="shared" si="35"/>
        <v>0</v>
      </c>
      <c r="T258" s="39">
        <f t="shared" si="36"/>
        <v>0</v>
      </c>
    </row>
    <row r="259" spans="12:20" x14ac:dyDescent="0.25">
      <c r="L259" s="39">
        <f t="shared" ref="L259:L272" si="45">M259/30</f>
        <v>10.566666666666666</v>
      </c>
      <c r="M259" s="38">
        <v>317</v>
      </c>
      <c r="N259" s="40">
        <v>44880</v>
      </c>
      <c r="O259" s="40" t="s">
        <v>33</v>
      </c>
      <c r="P259" s="39">
        <f t="shared" si="44"/>
        <v>48</v>
      </c>
      <c r="Q259" s="39">
        <f>(15+7+10+7+8+5+1+5+2+6+7+7+4+4+2+6+6+7+8+4+5+3+2+6+7+8+6+2+4+4+3+2+4+3+4+2+1)/6</f>
        <v>31.166666666666668</v>
      </c>
      <c r="R259" s="38">
        <v>1</v>
      </c>
      <c r="S259" s="39">
        <f t="shared" ref="S259:S271" si="46">P260-P259</f>
        <v>0</v>
      </c>
      <c r="T259" s="39">
        <f t="shared" ref="T259:T271" si="47">Q260-Q259</f>
        <v>0.33333333333333215</v>
      </c>
    </row>
    <row r="260" spans="12:20" x14ac:dyDescent="0.25">
      <c r="L260" s="39">
        <f t="shared" si="45"/>
        <v>10.6</v>
      </c>
      <c r="M260" s="38">
        <v>318</v>
      </c>
      <c r="N260" s="40">
        <v>44881</v>
      </c>
      <c r="O260" s="40" t="s">
        <v>32</v>
      </c>
      <c r="P260" s="39">
        <f t="shared" si="44"/>
        <v>48</v>
      </c>
      <c r="Q260" s="39">
        <f>(15+7+10+7+8+5+1+5+2+6+7+7+4+4+2+6+6+7+8+4+5+3+2+6+7+8+6+2+4+4+3+2+4+3+4+2+1+2)/6</f>
        <v>31.5</v>
      </c>
      <c r="R260" s="38">
        <v>1</v>
      </c>
      <c r="S260" s="39">
        <f t="shared" si="46"/>
        <v>0</v>
      </c>
      <c r="T260" s="39">
        <f t="shared" si="47"/>
        <v>0.5</v>
      </c>
    </row>
    <row r="261" spans="12:20" x14ac:dyDescent="0.25">
      <c r="L261" s="39">
        <f t="shared" si="45"/>
        <v>10.633333333333333</v>
      </c>
      <c r="M261" s="38">
        <v>319</v>
      </c>
      <c r="N261" s="40">
        <v>44882</v>
      </c>
      <c r="O261" s="40" t="s">
        <v>31</v>
      </c>
      <c r="P261" s="39">
        <f t="shared" si="44"/>
        <v>48</v>
      </c>
      <c r="Q261" s="39">
        <f>(15+7+10+7+8+5+1+5+2+6+7+7+4+4+2+6+6+7+8+4+5+3+2+6+7+8+6+2+4+4+3+2+4+3+4+2+1+2+3)/6</f>
        <v>32</v>
      </c>
      <c r="R261" s="38">
        <v>1</v>
      </c>
      <c r="S261" s="39">
        <f t="shared" si="46"/>
        <v>0</v>
      </c>
      <c r="T261" s="39">
        <f t="shared" si="47"/>
        <v>0</v>
      </c>
    </row>
    <row r="262" spans="12:20" x14ac:dyDescent="0.25">
      <c r="L262" s="39">
        <f t="shared" si="45"/>
        <v>10.666666666666666</v>
      </c>
      <c r="M262" s="38">
        <v>320</v>
      </c>
      <c r="N262" s="40">
        <v>44883</v>
      </c>
      <c r="O262" s="40" t="s">
        <v>30</v>
      </c>
      <c r="P262" s="39">
        <f t="shared" si="44"/>
        <v>48</v>
      </c>
      <c r="Q262" s="39">
        <f>(15+7+10+7+8+5+1+5+2+6+7+7+4+4+2+6+6+7+8+4+5+3+2+6+7+8+6+2+4+4+3+2+4+3+4+2+1+2+3)/6</f>
        <v>32</v>
      </c>
      <c r="R262" s="38">
        <v>1</v>
      </c>
      <c r="S262" s="39">
        <f t="shared" si="46"/>
        <v>0</v>
      </c>
      <c r="T262" s="39">
        <f t="shared" si="47"/>
        <v>0</v>
      </c>
    </row>
    <row r="263" spans="12:20" x14ac:dyDescent="0.25">
      <c r="L263" s="39">
        <f t="shared" si="45"/>
        <v>10.7</v>
      </c>
      <c r="M263" s="38">
        <v>321</v>
      </c>
      <c r="N263" s="40">
        <v>44884</v>
      </c>
      <c r="O263" s="40" t="s">
        <v>29</v>
      </c>
      <c r="P263" s="39">
        <f t="shared" si="44"/>
        <v>48</v>
      </c>
      <c r="Q263" s="39">
        <f>(15+7+10+7+8+5+1+5+2+6+7+7+4+4+2+6+6+7+8+4+5+3+2+6+7+8+6+2+4+4+3+2+4+3+4+2+1+2+3)/6</f>
        <v>32</v>
      </c>
      <c r="R263" s="38">
        <v>1</v>
      </c>
      <c r="S263" s="39">
        <f t="shared" si="46"/>
        <v>0</v>
      </c>
      <c r="T263" s="39">
        <f t="shared" si="47"/>
        <v>0</v>
      </c>
    </row>
    <row r="264" spans="12:20" x14ac:dyDescent="0.25">
      <c r="L264" s="39">
        <f t="shared" si="45"/>
        <v>10.733333333333333</v>
      </c>
      <c r="M264" s="38">
        <v>322</v>
      </c>
      <c r="N264" s="40">
        <v>44885</v>
      </c>
      <c r="O264" s="40" t="s">
        <v>28</v>
      </c>
      <c r="P264" s="39">
        <f t="shared" si="44"/>
        <v>48</v>
      </c>
      <c r="Q264" s="39">
        <f>(15+7+10+7+8+5+1+5+2+6+7+7+4+4+2+6+6+7+8+4+5+3+2+6+7+8+6+2+4+4+3+2+4+3+4+2+1+2+3)/6</f>
        <v>32</v>
      </c>
      <c r="R264" s="38">
        <v>1</v>
      </c>
      <c r="S264" s="39">
        <f t="shared" si="46"/>
        <v>0</v>
      </c>
      <c r="T264" s="39">
        <f t="shared" si="47"/>
        <v>1</v>
      </c>
    </row>
    <row r="265" spans="12:20" x14ac:dyDescent="0.25">
      <c r="L265" s="39">
        <f t="shared" si="45"/>
        <v>10.766666666666667</v>
      </c>
      <c r="M265" s="38">
        <v>323</v>
      </c>
      <c r="N265" s="40">
        <v>44886</v>
      </c>
      <c r="O265" s="40" t="s">
        <v>27</v>
      </c>
      <c r="P265" s="39">
        <f t="shared" si="44"/>
        <v>48</v>
      </c>
      <c r="Q265" s="39">
        <f t="shared" ref="Q265:Q272" si="48">(15+7+10+7+8+5+1+5+2+6+7+7+4+4+2+6+6+7+8+4+5+3+2+6+7+8+6+2+4+4+3+2+4+3+4+2+1+2+3+6)/6</f>
        <v>33</v>
      </c>
      <c r="R265" s="38">
        <v>1</v>
      </c>
      <c r="S265" s="39">
        <f t="shared" si="46"/>
        <v>0.6666666666666643</v>
      </c>
      <c r="T265" s="39">
        <f t="shared" si="47"/>
        <v>0</v>
      </c>
    </row>
    <row r="266" spans="12:20" x14ac:dyDescent="0.25">
      <c r="L266" s="39">
        <f t="shared" si="45"/>
        <v>10.8</v>
      </c>
      <c r="M266" s="38">
        <v>324</v>
      </c>
      <c r="N266" s="40">
        <v>44887</v>
      </c>
      <c r="O266" s="40" t="s">
        <v>26</v>
      </c>
      <c r="P266" s="39">
        <f>(5+7+7+9+8+3+10+11+9+7+10+13+6+11+7+8+10+8+3+9+11+8+10+8+7+6+11+8+6+7+9+4+8+5+4+4+7+4+4)/6</f>
        <v>48.666666666666664</v>
      </c>
      <c r="Q266" s="39">
        <f t="shared" si="48"/>
        <v>33</v>
      </c>
      <c r="R266" s="38">
        <v>1</v>
      </c>
      <c r="S266" s="39">
        <f t="shared" si="46"/>
        <v>0</v>
      </c>
      <c r="T266" s="39">
        <f t="shared" si="47"/>
        <v>0</v>
      </c>
    </row>
    <row r="267" spans="12:20" x14ac:dyDescent="0.25">
      <c r="L267" s="39">
        <f t="shared" si="45"/>
        <v>10.833333333333334</v>
      </c>
      <c r="M267" s="38">
        <v>325</v>
      </c>
      <c r="N267" s="40">
        <v>44888</v>
      </c>
      <c r="O267" s="40" t="s">
        <v>25</v>
      </c>
      <c r="P267" s="39">
        <f>(5+7+7+9+8+3+10+11+9+7+10+13+6+11+7+8+10+8+3+9+11+8+10+8+7+6+11+8+6+7+9+4+8+5+4+4+7+4+4)/6</f>
        <v>48.666666666666664</v>
      </c>
      <c r="Q267" s="39">
        <f t="shared" si="48"/>
        <v>33</v>
      </c>
      <c r="R267" s="38">
        <v>1</v>
      </c>
      <c r="S267" s="39">
        <f t="shared" si="46"/>
        <v>0</v>
      </c>
      <c r="T267" s="39">
        <f t="shared" si="47"/>
        <v>0</v>
      </c>
    </row>
    <row r="268" spans="12:20" x14ac:dyDescent="0.25">
      <c r="L268" s="39">
        <f t="shared" si="45"/>
        <v>10.866666666666667</v>
      </c>
      <c r="M268" s="38">
        <v>326</v>
      </c>
      <c r="N268" s="40">
        <v>44889</v>
      </c>
      <c r="O268" s="40" t="s">
        <v>24</v>
      </c>
      <c r="P268" s="39">
        <f>(5+7+7+9+8+3+10+11+9+7+10+13+6+11+7+8+10+8+3+9+11+8+10+8+7+6+11+8+6+7+9+4+8+5+4+4+7+4+4)/6</f>
        <v>48.666666666666664</v>
      </c>
      <c r="Q268" s="39">
        <f t="shared" si="48"/>
        <v>33</v>
      </c>
      <c r="R268" s="38">
        <v>1</v>
      </c>
      <c r="S268" s="39">
        <f t="shared" si="46"/>
        <v>0</v>
      </c>
      <c r="T268" s="39">
        <f t="shared" si="47"/>
        <v>0</v>
      </c>
    </row>
    <row r="269" spans="12:20" x14ac:dyDescent="0.25">
      <c r="L269" s="39">
        <f t="shared" si="45"/>
        <v>10.9</v>
      </c>
      <c r="M269" s="38">
        <v>327</v>
      </c>
      <c r="N269" s="40">
        <v>44890</v>
      </c>
      <c r="O269" s="40" t="s">
        <v>23</v>
      </c>
      <c r="P269" s="39">
        <f>(5+7+7+9+8+3+10+11+9+7+10+13+6+11+7+8+10+8+3+9+11+8+10+8+7+6+11+8+6+7+9+4+8+5+4+4+7+4+4)/6</f>
        <v>48.666666666666664</v>
      </c>
      <c r="Q269" s="39">
        <f t="shared" si="48"/>
        <v>33</v>
      </c>
      <c r="R269" s="38">
        <v>1</v>
      </c>
      <c r="S269" s="39">
        <f t="shared" si="46"/>
        <v>0</v>
      </c>
      <c r="T269" s="39">
        <f t="shared" si="47"/>
        <v>0</v>
      </c>
    </row>
    <row r="270" spans="12:20" x14ac:dyDescent="0.25">
      <c r="L270" s="39">
        <f t="shared" si="45"/>
        <v>10.933333333333334</v>
      </c>
      <c r="M270" s="38">
        <v>328</v>
      </c>
      <c r="N270" s="40">
        <v>44891</v>
      </c>
      <c r="O270" s="40" t="s">
        <v>22</v>
      </c>
      <c r="P270" s="39">
        <f>(5+7+7+9+8+3+10+11+9+7+10+13+6+11+7+8+10+8+3+9+11+8+10+8+7+6+11+8+6+7+9+4+8+5+4+4+7+4+4)/6</f>
        <v>48.666666666666664</v>
      </c>
      <c r="Q270" s="39">
        <f t="shared" si="48"/>
        <v>33</v>
      </c>
      <c r="R270" s="38">
        <v>1</v>
      </c>
      <c r="S270" s="39">
        <f t="shared" si="46"/>
        <v>1</v>
      </c>
      <c r="T270" s="39">
        <f t="shared" si="47"/>
        <v>0</v>
      </c>
    </row>
    <row r="271" spans="12:20" x14ac:dyDescent="0.25">
      <c r="L271" s="39">
        <f t="shared" si="45"/>
        <v>10.966666666666667</v>
      </c>
      <c r="M271" s="38">
        <v>329</v>
      </c>
      <c r="N271" s="40">
        <v>44892</v>
      </c>
      <c r="O271" s="40" t="s">
        <v>21</v>
      </c>
      <c r="P271" s="39">
        <f>(5+7+7+9+8+3+10+11+9+7+10+13+6+11+7+8+10+8+3+9+11+8+10+8+7+6+11+8+6+7+9+4+8+5+4+4+7+4+4+6)/6</f>
        <v>49.666666666666664</v>
      </c>
      <c r="Q271" s="39">
        <f t="shared" si="48"/>
        <v>33</v>
      </c>
      <c r="R271" s="38">
        <v>1</v>
      </c>
      <c r="S271" s="39">
        <f t="shared" si="46"/>
        <v>1.1666666666666714</v>
      </c>
      <c r="T271" s="39">
        <f t="shared" si="47"/>
        <v>0</v>
      </c>
    </row>
    <row r="272" spans="12:20" x14ac:dyDescent="0.25">
      <c r="L272" s="39">
        <f t="shared" si="45"/>
        <v>11</v>
      </c>
      <c r="M272" s="38">
        <v>330</v>
      </c>
      <c r="N272" s="40">
        <v>44893</v>
      </c>
      <c r="O272" s="40" t="s">
        <v>20</v>
      </c>
      <c r="P272" s="39">
        <f>(5+7+7+9+8+3+10+11+9+7+10+13+6+11+7+8+10+8+3+9+11+8+10+8+7+6+11+8+6+7+9+4+8+5+4+4+7+4+4+6+7)/6</f>
        <v>50.833333333333336</v>
      </c>
      <c r="Q272" s="39">
        <f t="shared" si="48"/>
        <v>33</v>
      </c>
      <c r="R272" s="38">
        <v>2</v>
      </c>
      <c r="S272" s="39"/>
      <c r="T272" s="39"/>
    </row>
    <row r="273" spans="14:20" x14ac:dyDescent="0.25">
      <c r="N273" s="40"/>
      <c r="O273" s="40"/>
      <c r="S273" s="39"/>
      <c r="T273" s="39"/>
    </row>
    <row r="274" spans="14:20" x14ac:dyDescent="0.25">
      <c r="N274" s="40"/>
      <c r="O274" s="40"/>
      <c r="S274" s="39"/>
      <c r="T274" s="39"/>
    </row>
    <row r="275" spans="14:20" x14ac:dyDescent="0.25">
      <c r="N275" s="40"/>
      <c r="O275" s="40"/>
      <c r="S275" s="39"/>
      <c r="T275" s="39"/>
    </row>
    <row r="276" spans="14:20" x14ac:dyDescent="0.25">
      <c r="N276" s="40"/>
      <c r="O276" s="40"/>
      <c r="S276" s="39"/>
      <c r="T276" s="39"/>
    </row>
    <row r="277" spans="14:20" x14ac:dyDescent="0.25">
      <c r="N277" s="40"/>
      <c r="O277" s="40"/>
    </row>
    <row r="278" spans="14:20" x14ac:dyDescent="0.25">
      <c r="N278" s="40"/>
      <c r="O278" s="40"/>
    </row>
    <row r="279" spans="14:20" x14ac:dyDescent="0.25">
      <c r="N279" s="40"/>
      <c r="O279" s="40"/>
    </row>
    <row r="280" spans="14:20" x14ac:dyDescent="0.25">
      <c r="N280" s="40"/>
      <c r="O280" s="40"/>
    </row>
    <row r="281" spans="14:20" x14ac:dyDescent="0.25">
      <c r="N281" s="40"/>
      <c r="O281" s="40"/>
    </row>
    <row r="282" spans="14:20" x14ac:dyDescent="0.25">
      <c r="N282" s="40"/>
      <c r="O282" s="40"/>
    </row>
    <row r="283" spans="14:20" x14ac:dyDescent="0.25">
      <c r="N283" s="40"/>
      <c r="O283" s="40"/>
    </row>
    <row r="284" spans="14:20" x14ac:dyDescent="0.25">
      <c r="N284" s="40"/>
      <c r="O284" s="40"/>
    </row>
    <row r="285" spans="14:20" x14ac:dyDescent="0.25">
      <c r="N285" s="40"/>
      <c r="O285" s="40"/>
    </row>
    <row r="286" spans="14:20" x14ac:dyDescent="0.25">
      <c r="N286" s="40"/>
      <c r="O286" s="40"/>
    </row>
    <row r="287" spans="14:20" x14ac:dyDescent="0.25">
      <c r="N287" s="40"/>
      <c r="O287" s="40"/>
    </row>
    <row r="288" spans="14:20" x14ac:dyDescent="0.25">
      <c r="N288" s="40"/>
      <c r="O288" s="40"/>
    </row>
    <row r="289" spans="14:15" x14ac:dyDescent="0.25">
      <c r="N289" s="40"/>
      <c r="O289" s="40"/>
    </row>
    <row r="290" spans="14:15" x14ac:dyDescent="0.25">
      <c r="N290" s="40"/>
      <c r="O290" s="40"/>
    </row>
    <row r="291" spans="14:15" x14ac:dyDescent="0.25">
      <c r="N291" s="40"/>
      <c r="O291" s="40"/>
    </row>
    <row r="292" spans="14:15" x14ac:dyDescent="0.25">
      <c r="N292" s="40"/>
      <c r="O292" s="40"/>
    </row>
    <row r="293" spans="14:15" x14ac:dyDescent="0.25">
      <c r="N293" s="40"/>
      <c r="O293" s="40"/>
    </row>
    <row r="294" spans="14:15" x14ac:dyDescent="0.25">
      <c r="N294" s="40"/>
      <c r="O294" s="40"/>
    </row>
    <row r="295" spans="14:15" x14ac:dyDescent="0.25">
      <c r="N295" s="40"/>
      <c r="O295" s="40"/>
    </row>
    <row r="296" spans="14:15" x14ac:dyDescent="0.25">
      <c r="N296" s="40"/>
      <c r="O296" s="40"/>
    </row>
    <row r="297" spans="14:15" x14ac:dyDescent="0.25">
      <c r="N297" s="40"/>
      <c r="O297" s="40"/>
    </row>
    <row r="298" spans="14:15" x14ac:dyDescent="0.25">
      <c r="N298" s="40"/>
      <c r="O298" s="40"/>
    </row>
    <row r="299" spans="14:15" x14ac:dyDescent="0.25">
      <c r="N299" s="40"/>
      <c r="O299" s="40"/>
    </row>
    <row r="300" spans="14:15" x14ac:dyDescent="0.25">
      <c r="N300" s="40"/>
      <c r="O300" s="40"/>
    </row>
    <row r="301" spans="14:15" x14ac:dyDescent="0.25">
      <c r="N301" s="40"/>
      <c r="O301" s="40"/>
    </row>
    <row r="302" spans="14:15" x14ac:dyDescent="0.25">
      <c r="N302" s="40"/>
      <c r="O302" s="40"/>
    </row>
    <row r="303" spans="14:15" x14ac:dyDescent="0.25">
      <c r="O303" s="40"/>
    </row>
    <row r="304" spans="14:15" x14ac:dyDescent="0.25">
      <c r="O304" s="40"/>
    </row>
  </sheetData>
  <mergeCells count="1">
    <mergeCell ref="B22:D22"/>
  </mergeCells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529F-69EE-4B5A-8385-F3D7A15785F2}">
  <dimension ref="A1:AD168"/>
  <sheetViews>
    <sheetView topLeftCell="V130" zoomScale="85" zoomScaleNormal="85" workbookViewId="0">
      <selection activeCell="X140" sqref="X140"/>
    </sheetView>
  </sheetViews>
  <sheetFormatPr defaultRowHeight="13.8" x14ac:dyDescent="0.25"/>
  <cols>
    <col min="1" max="2" width="8.88671875" style="55"/>
    <col min="3" max="8" width="13.77734375" style="55" customWidth="1"/>
    <col min="9" max="11" width="8.88671875" style="55"/>
    <col min="12" max="17" width="13.21875" style="55" customWidth="1"/>
    <col min="18" max="19" width="8.88671875" style="55"/>
    <col min="20" max="27" width="15.109375" style="55" customWidth="1"/>
    <col min="28" max="28" width="37.44140625" style="55" customWidth="1"/>
    <col min="29" max="30" width="15.109375" style="55" customWidth="1"/>
    <col min="31" max="16384" width="8.88671875" style="55"/>
  </cols>
  <sheetData>
    <row r="1" spans="1:29" x14ac:dyDescent="0.25">
      <c r="C1" s="55" t="s">
        <v>476</v>
      </c>
      <c r="D1" s="55" t="s">
        <v>477</v>
      </c>
      <c r="E1" s="55" t="s">
        <v>478</v>
      </c>
      <c r="F1" s="55" t="s">
        <v>479</v>
      </c>
      <c r="G1" s="55" t="s">
        <v>480</v>
      </c>
      <c r="H1" s="55" t="s">
        <v>481</v>
      </c>
      <c r="J1" s="55" t="s">
        <v>482</v>
      </c>
      <c r="L1" s="55" t="s">
        <v>476</v>
      </c>
      <c r="M1" s="55" t="s">
        <v>477</v>
      </c>
      <c r="N1" s="55" t="s">
        <v>478</v>
      </c>
      <c r="O1" s="55" t="s">
        <v>479</v>
      </c>
      <c r="P1" s="55" t="s">
        <v>480</v>
      </c>
      <c r="Q1" s="55" t="s">
        <v>481</v>
      </c>
      <c r="AA1" s="53" t="s">
        <v>451</v>
      </c>
    </row>
    <row r="2" spans="1:29" x14ac:dyDescent="0.25">
      <c r="A2" s="55" t="s">
        <v>393</v>
      </c>
      <c r="B2" s="55" t="s">
        <v>483</v>
      </c>
      <c r="C2" s="55">
        <v>24</v>
      </c>
      <c r="D2" s="55">
        <v>9</v>
      </c>
      <c r="E2" s="55">
        <v>6</v>
      </c>
      <c r="F2" s="55">
        <v>2</v>
      </c>
      <c r="G2" s="55">
        <v>3</v>
      </c>
      <c r="H2" s="55">
        <v>2</v>
      </c>
      <c r="K2" s="55" t="s">
        <v>483</v>
      </c>
      <c r="L2" s="55">
        <f>C2*5</f>
        <v>120</v>
      </c>
      <c r="M2" s="55">
        <f>D2</f>
        <v>9</v>
      </c>
      <c r="N2" s="55">
        <f t="shared" ref="N2:P6" si="0">E2</f>
        <v>6</v>
      </c>
      <c r="O2" s="55">
        <f t="shared" si="0"/>
        <v>2</v>
      </c>
      <c r="P2" s="55">
        <f t="shared" si="0"/>
        <v>3</v>
      </c>
      <c r="Q2" s="55">
        <f t="shared" ref="Q2:Q5" si="1">H2*5</f>
        <v>10</v>
      </c>
      <c r="T2" t="s">
        <v>484</v>
      </c>
      <c r="U2"/>
      <c r="AB2" s="52" t="s">
        <v>513</v>
      </c>
    </row>
    <row r="3" spans="1:29" x14ac:dyDescent="0.25">
      <c r="B3" s="55" t="s">
        <v>485</v>
      </c>
      <c r="C3" s="55">
        <v>16</v>
      </c>
      <c r="D3" s="55">
        <v>11</v>
      </c>
      <c r="E3" s="55">
        <v>6</v>
      </c>
      <c r="F3" s="55">
        <v>1</v>
      </c>
      <c r="G3" s="55">
        <v>2</v>
      </c>
      <c r="H3" s="55">
        <v>5</v>
      </c>
      <c r="K3" s="55" t="s">
        <v>485</v>
      </c>
      <c r="L3" s="55">
        <f t="shared" ref="L3:L5" si="2">C3*5</f>
        <v>80</v>
      </c>
      <c r="M3" s="55">
        <f t="shared" ref="M3:M6" si="3">D3</f>
        <v>11</v>
      </c>
      <c r="N3" s="55">
        <f t="shared" si="0"/>
        <v>6</v>
      </c>
      <c r="O3" s="55">
        <f t="shared" si="0"/>
        <v>1</v>
      </c>
      <c r="P3" s="55">
        <f t="shared" si="0"/>
        <v>2</v>
      </c>
      <c r="Q3" s="55">
        <f t="shared" si="1"/>
        <v>25</v>
      </c>
      <c r="T3" s="152" t="s">
        <v>486</v>
      </c>
      <c r="U3" s="152"/>
      <c r="AB3" s="53"/>
      <c r="AC3" s="52"/>
    </row>
    <row r="4" spans="1:29" x14ac:dyDescent="0.25">
      <c r="B4" s="55" t="s">
        <v>487</v>
      </c>
      <c r="C4" s="55">
        <v>22</v>
      </c>
      <c r="D4" s="55">
        <v>10</v>
      </c>
      <c r="E4" s="55">
        <v>12</v>
      </c>
      <c r="F4" s="55">
        <v>5</v>
      </c>
      <c r="G4" s="55">
        <v>0</v>
      </c>
      <c r="H4" s="55">
        <v>4</v>
      </c>
      <c r="K4" s="55" t="s">
        <v>487</v>
      </c>
      <c r="L4" s="55">
        <f t="shared" si="2"/>
        <v>110</v>
      </c>
      <c r="M4" s="55">
        <f t="shared" si="3"/>
        <v>10</v>
      </c>
      <c r="N4" s="55">
        <f t="shared" si="0"/>
        <v>12</v>
      </c>
      <c r="O4" s="55">
        <f t="shared" si="0"/>
        <v>5</v>
      </c>
      <c r="P4" s="55">
        <f t="shared" si="0"/>
        <v>0</v>
      </c>
      <c r="Q4" s="55">
        <f t="shared" si="1"/>
        <v>20</v>
      </c>
      <c r="AB4" s="53" t="s">
        <v>419</v>
      </c>
      <c r="AC4" s="52" t="s">
        <v>492</v>
      </c>
    </row>
    <row r="5" spans="1:29" x14ac:dyDescent="0.25">
      <c r="B5" s="55" t="s">
        <v>488</v>
      </c>
      <c r="C5" s="55">
        <v>16</v>
      </c>
      <c r="D5" s="55">
        <v>6</v>
      </c>
      <c r="E5" s="55">
        <v>5</v>
      </c>
      <c r="F5" s="55">
        <v>2</v>
      </c>
      <c r="G5" s="55">
        <v>4</v>
      </c>
      <c r="H5" s="55">
        <v>3</v>
      </c>
      <c r="K5" s="55" t="s">
        <v>488</v>
      </c>
      <c r="L5" s="55">
        <f t="shared" si="2"/>
        <v>80</v>
      </c>
      <c r="M5" s="55">
        <f t="shared" si="3"/>
        <v>6</v>
      </c>
      <c r="N5" s="55">
        <f t="shared" si="0"/>
        <v>5</v>
      </c>
      <c r="O5" s="55">
        <f t="shared" si="0"/>
        <v>2</v>
      </c>
      <c r="P5" s="55">
        <f t="shared" si="0"/>
        <v>4</v>
      </c>
      <c r="Q5" s="55">
        <f t="shared" si="1"/>
        <v>15</v>
      </c>
      <c r="AB5" s="53" t="s">
        <v>421</v>
      </c>
      <c r="AC5" s="52" t="s">
        <v>421</v>
      </c>
    </row>
    <row r="6" spans="1:29" x14ac:dyDescent="0.25">
      <c r="C6" s="55">
        <f>SUM(C2:C5)</f>
        <v>78</v>
      </c>
      <c r="D6" s="55">
        <f t="shared" ref="D6:H6" si="4">SUM(D2:D5)</f>
        <v>36</v>
      </c>
      <c r="E6" s="55">
        <f t="shared" si="4"/>
        <v>29</v>
      </c>
      <c r="F6" s="55">
        <f t="shared" si="4"/>
        <v>10</v>
      </c>
      <c r="G6" s="55">
        <f t="shared" si="4"/>
        <v>9</v>
      </c>
      <c r="H6" s="55">
        <f t="shared" si="4"/>
        <v>14</v>
      </c>
      <c r="I6" s="55">
        <f>SUM(C6:H6)</f>
        <v>176</v>
      </c>
      <c r="L6" s="55">
        <f>SUM(L2:L5)</f>
        <v>390</v>
      </c>
      <c r="M6" s="55">
        <f t="shared" si="3"/>
        <v>36</v>
      </c>
      <c r="N6" s="55">
        <f t="shared" si="0"/>
        <v>29</v>
      </c>
      <c r="O6" s="55">
        <f t="shared" si="0"/>
        <v>10</v>
      </c>
      <c r="P6" s="55">
        <f t="shared" si="0"/>
        <v>9</v>
      </c>
      <c r="Q6" s="55">
        <f t="shared" ref="Q6" si="5">SUM(Q2:Q5)</f>
        <v>70</v>
      </c>
      <c r="R6" s="55">
        <f>SUM(L6:Q6)</f>
        <v>544</v>
      </c>
      <c r="AB6" s="53" t="s">
        <v>422</v>
      </c>
      <c r="AC6" s="52" t="s">
        <v>491</v>
      </c>
    </row>
    <row r="7" spans="1:29" x14ac:dyDescent="0.25">
      <c r="C7" s="55">
        <f>C6/I6%</f>
        <v>44.31818181818182</v>
      </c>
      <c r="D7" s="55">
        <f>D6/$I6 %</f>
        <v>20.454545454545453</v>
      </c>
      <c r="E7" s="55">
        <f t="shared" ref="E7:H7" si="6">E6/$I6 %</f>
        <v>16.477272727272727</v>
      </c>
      <c r="F7" s="55">
        <f t="shared" si="6"/>
        <v>5.6818181818181817</v>
      </c>
      <c r="G7" s="55">
        <f t="shared" si="6"/>
        <v>5.1136363636363633</v>
      </c>
      <c r="H7" s="55">
        <f t="shared" si="6"/>
        <v>7.9545454545454541</v>
      </c>
      <c r="L7" s="55">
        <f t="shared" ref="L7:P7" si="7">L6/$R6 %</f>
        <v>71.691176470588232</v>
      </c>
      <c r="M7" s="55">
        <f t="shared" si="7"/>
        <v>6.617647058823529</v>
      </c>
      <c r="N7" s="55">
        <f t="shared" si="7"/>
        <v>5.3308823529411757</v>
      </c>
      <c r="O7" s="55">
        <f>O6/$R6 %</f>
        <v>1.838235294117647</v>
      </c>
      <c r="P7" s="55">
        <f t="shared" si="7"/>
        <v>1.6544117647058822</v>
      </c>
      <c r="Q7" s="55">
        <f>Q6/$R6 %</f>
        <v>12.867647058823529</v>
      </c>
      <c r="AB7" s="53"/>
      <c r="AC7" s="52"/>
    </row>
    <row r="8" spans="1:29" x14ac:dyDescent="0.25">
      <c r="U8" s="55" t="s">
        <v>476</v>
      </c>
      <c r="V8" s="55" t="s">
        <v>477</v>
      </c>
      <c r="W8" s="55" t="s">
        <v>478</v>
      </c>
      <c r="X8" s="55" t="s">
        <v>479</v>
      </c>
      <c r="Y8" s="55" t="s">
        <v>480</v>
      </c>
      <c r="Z8" s="55" t="s">
        <v>481</v>
      </c>
      <c r="AB8" s="53" t="s">
        <v>424</v>
      </c>
      <c r="AC8" s="52"/>
    </row>
    <row r="9" spans="1:29" x14ac:dyDescent="0.25">
      <c r="T9" s="55" t="s">
        <v>393</v>
      </c>
      <c r="U9" s="55">
        <v>390</v>
      </c>
      <c r="V9" s="55">
        <v>36</v>
      </c>
      <c r="W9" s="55">
        <v>29</v>
      </c>
      <c r="X9" s="55">
        <v>10</v>
      </c>
      <c r="Y9" s="55">
        <v>9</v>
      </c>
      <c r="Z9" s="55">
        <v>70</v>
      </c>
      <c r="AB9" s="53" t="s">
        <v>425</v>
      </c>
      <c r="AC9" s="52">
        <v>0.94650000000000001</v>
      </c>
    </row>
    <row r="10" spans="1:29" x14ac:dyDescent="0.25">
      <c r="T10" s="55" t="s">
        <v>388</v>
      </c>
      <c r="U10" s="55">
        <v>380</v>
      </c>
      <c r="V10" s="55">
        <v>33</v>
      </c>
      <c r="W10" s="55">
        <v>24</v>
      </c>
      <c r="X10" s="55">
        <v>9</v>
      </c>
      <c r="Y10" s="55">
        <v>10</v>
      </c>
      <c r="Z10" s="55">
        <v>75</v>
      </c>
      <c r="AB10" s="53" t="s">
        <v>426</v>
      </c>
      <c r="AC10" s="52" t="s">
        <v>445</v>
      </c>
    </row>
    <row r="11" spans="1:29" x14ac:dyDescent="0.25">
      <c r="A11" s="55" t="s">
        <v>489</v>
      </c>
      <c r="B11" s="55" t="s">
        <v>483</v>
      </c>
      <c r="C11" s="55">
        <v>27</v>
      </c>
      <c r="D11" s="55">
        <v>5</v>
      </c>
      <c r="E11" s="55">
        <v>4</v>
      </c>
      <c r="F11" s="55">
        <v>1</v>
      </c>
      <c r="G11" s="55">
        <v>1</v>
      </c>
      <c r="H11" s="55">
        <v>3</v>
      </c>
      <c r="K11" s="55" t="s">
        <v>483</v>
      </c>
      <c r="L11" s="55">
        <f>C11*5</f>
        <v>135</v>
      </c>
      <c r="M11" s="55">
        <f>D11</f>
        <v>5</v>
      </c>
      <c r="N11" s="55">
        <f t="shared" ref="N11:P15" si="8">E11</f>
        <v>4</v>
      </c>
      <c r="O11" s="55">
        <f t="shared" si="8"/>
        <v>1</v>
      </c>
      <c r="P11" s="55">
        <f t="shared" si="8"/>
        <v>1</v>
      </c>
      <c r="Q11" s="55">
        <f t="shared" ref="Q11:Q14" si="9">H11*5</f>
        <v>15</v>
      </c>
      <c r="T11" s="55" t="s">
        <v>383</v>
      </c>
      <c r="U11" s="55">
        <v>445</v>
      </c>
      <c r="V11" s="55">
        <v>33</v>
      </c>
      <c r="W11" s="55">
        <v>29</v>
      </c>
      <c r="X11" s="55">
        <v>15</v>
      </c>
      <c r="Y11" s="55">
        <v>15</v>
      </c>
      <c r="Z11" s="55">
        <v>90</v>
      </c>
      <c r="AB11" s="53" t="s">
        <v>428</v>
      </c>
      <c r="AC11" s="52" t="s">
        <v>446</v>
      </c>
    </row>
    <row r="12" spans="1:29" x14ac:dyDescent="0.25">
      <c r="B12" s="55" t="s">
        <v>485</v>
      </c>
      <c r="C12" s="55">
        <v>13</v>
      </c>
      <c r="D12" s="55">
        <v>14</v>
      </c>
      <c r="E12" s="55">
        <v>3</v>
      </c>
      <c r="F12" s="55">
        <v>4</v>
      </c>
      <c r="G12" s="55">
        <v>3</v>
      </c>
      <c r="H12" s="55">
        <v>4</v>
      </c>
      <c r="K12" s="55" t="s">
        <v>485</v>
      </c>
      <c r="L12" s="55">
        <f t="shared" ref="L12:L14" si="10">C12*5</f>
        <v>65</v>
      </c>
      <c r="M12" s="55">
        <f t="shared" ref="M12:M15" si="11">D12</f>
        <v>14</v>
      </c>
      <c r="N12" s="55">
        <f t="shared" si="8"/>
        <v>3</v>
      </c>
      <c r="O12" s="55">
        <f t="shared" si="8"/>
        <v>4</v>
      </c>
      <c r="P12" s="55">
        <f t="shared" si="8"/>
        <v>3</v>
      </c>
      <c r="Q12" s="55">
        <f t="shared" si="9"/>
        <v>20</v>
      </c>
      <c r="AB12" s="53" t="s">
        <v>430</v>
      </c>
      <c r="AC12" s="52" t="s">
        <v>431</v>
      </c>
    </row>
    <row r="13" spans="1:29" x14ac:dyDescent="0.25">
      <c r="B13" s="55" t="s">
        <v>487</v>
      </c>
      <c r="C13" s="55">
        <v>28</v>
      </c>
      <c r="D13" s="55">
        <v>1</v>
      </c>
      <c r="E13" s="55">
        <v>9</v>
      </c>
      <c r="F13" s="55">
        <v>3</v>
      </c>
      <c r="G13" s="55">
        <v>1</v>
      </c>
      <c r="H13" s="55">
        <v>6</v>
      </c>
      <c r="K13" s="55" t="s">
        <v>487</v>
      </c>
      <c r="L13" s="55">
        <f t="shared" si="10"/>
        <v>140</v>
      </c>
      <c r="M13" s="55">
        <f t="shared" si="11"/>
        <v>1</v>
      </c>
      <c r="N13" s="55">
        <f t="shared" si="8"/>
        <v>9</v>
      </c>
      <c r="O13" s="55">
        <f t="shared" si="8"/>
        <v>3</v>
      </c>
      <c r="P13" s="55">
        <f t="shared" si="8"/>
        <v>1</v>
      </c>
      <c r="Q13" s="55">
        <f t="shared" si="9"/>
        <v>30</v>
      </c>
      <c r="AB13" s="53" t="s">
        <v>432</v>
      </c>
      <c r="AC13" s="52" t="s">
        <v>502</v>
      </c>
    </row>
    <row r="14" spans="1:29" x14ac:dyDescent="0.25">
      <c r="B14" s="55" t="s">
        <v>488</v>
      </c>
      <c r="C14" s="55">
        <v>8</v>
      </c>
      <c r="D14" s="55">
        <v>4</v>
      </c>
      <c r="E14" s="55">
        <v>8</v>
      </c>
      <c r="F14" s="55">
        <v>1</v>
      </c>
      <c r="G14" s="55">
        <v>5</v>
      </c>
      <c r="H14" s="55">
        <v>2</v>
      </c>
      <c r="K14" s="55" t="s">
        <v>488</v>
      </c>
      <c r="L14" s="55">
        <f t="shared" si="10"/>
        <v>40</v>
      </c>
      <c r="M14" s="55">
        <f t="shared" si="11"/>
        <v>4</v>
      </c>
      <c r="N14" s="55">
        <f t="shared" si="8"/>
        <v>8</v>
      </c>
      <c r="O14" s="55">
        <f t="shared" si="8"/>
        <v>1</v>
      </c>
      <c r="P14" s="55">
        <f t="shared" si="8"/>
        <v>5</v>
      </c>
      <c r="Q14" s="55">
        <f t="shared" si="9"/>
        <v>10</v>
      </c>
      <c r="T14" s="55" t="s">
        <v>490</v>
      </c>
      <c r="U14" s="55">
        <v>385</v>
      </c>
      <c r="V14" s="55">
        <v>44</v>
      </c>
      <c r="W14" s="55">
        <v>35</v>
      </c>
      <c r="X14" s="55">
        <v>21</v>
      </c>
      <c r="Y14" s="55">
        <v>12</v>
      </c>
      <c r="Z14" s="55">
        <v>50</v>
      </c>
      <c r="AB14" s="53"/>
      <c r="AC14" s="52"/>
    </row>
    <row r="15" spans="1:29" x14ac:dyDescent="0.25">
      <c r="C15" s="55">
        <f>SUM(C11:C14)</f>
        <v>76</v>
      </c>
      <c r="D15" s="55">
        <v>33</v>
      </c>
      <c r="E15" s="55">
        <f t="shared" ref="E15:H15" si="12">SUM(E11:E14)</f>
        <v>24</v>
      </c>
      <c r="F15" s="55">
        <f t="shared" si="12"/>
        <v>9</v>
      </c>
      <c r="G15" s="55">
        <f t="shared" si="12"/>
        <v>10</v>
      </c>
      <c r="H15" s="55">
        <f t="shared" si="12"/>
        <v>15</v>
      </c>
      <c r="I15" s="55">
        <f>SUM(C15:H15)</f>
        <v>167</v>
      </c>
      <c r="L15" s="55">
        <f>SUM(L11:L14)</f>
        <v>380</v>
      </c>
      <c r="M15" s="55">
        <f t="shared" si="11"/>
        <v>33</v>
      </c>
      <c r="N15" s="55">
        <f t="shared" si="8"/>
        <v>24</v>
      </c>
      <c r="O15" s="55">
        <f t="shared" si="8"/>
        <v>9</v>
      </c>
      <c r="P15" s="55">
        <f t="shared" si="8"/>
        <v>10</v>
      </c>
      <c r="Q15" s="55">
        <f t="shared" ref="Q15" si="13">SUM(Q11:Q14)</f>
        <v>75</v>
      </c>
      <c r="R15" s="55">
        <f>SUM(L15:Q15)</f>
        <v>531</v>
      </c>
      <c r="T15" s="55" t="s">
        <v>352</v>
      </c>
      <c r="U15" s="55">
        <v>425</v>
      </c>
      <c r="V15" s="55">
        <v>49</v>
      </c>
      <c r="W15" s="55">
        <v>45</v>
      </c>
      <c r="X15" s="55">
        <v>29</v>
      </c>
      <c r="Y15" s="55">
        <v>19</v>
      </c>
      <c r="Z15" s="55">
        <v>60</v>
      </c>
      <c r="AB15" s="53" t="s">
        <v>434</v>
      </c>
      <c r="AC15" s="52"/>
    </row>
    <row r="16" spans="1:29" x14ac:dyDescent="0.25">
      <c r="C16" s="55">
        <f>C15/I15%</f>
        <v>45.508982035928149</v>
      </c>
      <c r="D16" s="55">
        <f>D15/$I15 %</f>
        <v>19.76047904191617</v>
      </c>
      <c r="E16" s="55">
        <f t="shared" ref="E16:H16" si="14">E15/$I15 %</f>
        <v>14.371257485029941</v>
      </c>
      <c r="F16" s="55">
        <f t="shared" si="14"/>
        <v>5.3892215568862278</v>
      </c>
      <c r="G16" s="55">
        <f t="shared" si="14"/>
        <v>5.9880239520958085</v>
      </c>
      <c r="H16" s="55">
        <f t="shared" si="14"/>
        <v>8.9820359281437128</v>
      </c>
      <c r="L16" s="55">
        <f t="shared" ref="L16" si="15">L15/$R15 %</f>
        <v>71.563088512241066</v>
      </c>
      <c r="M16" s="55">
        <f>M15/$R15 %</f>
        <v>6.2146892655367232</v>
      </c>
      <c r="N16" s="55">
        <f t="shared" ref="N16" si="16">N15/$R15 %</f>
        <v>4.5197740112994351</v>
      </c>
      <c r="O16" s="55">
        <f>O15/$R15 %</f>
        <v>1.6949152542372883</v>
      </c>
      <c r="P16" s="55">
        <f t="shared" ref="P16" si="17">P15/$R15 %</f>
        <v>1.8832391713747647</v>
      </c>
      <c r="Q16" s="55">
        <f>Q15/$R15 %</f>
        <v>14.124293785310735</v>
      </c>
      <c r="T16" s="55" t="s">
        <v>347</v>
      </c>
      <c r="U16" s="55">
        <v>410</v>
      </c>
      <c r="V16" s="55">
        <v>43</v>
      </c>
      <c r="W16" s="55">
        <v>34</v>
      </c>
      <c r="X16" s="55">
        <v>17</v>
      </c>
      <c r="Y16" s="55">
        <v>16</v>
      </c>
      <c r="Z16" s="55">
        <v>55</v>
      </c>
      <c r="AB16" s="53" t="s">
        <v>435</v>
      </c>
      <c r="AC16" s="52">
        <v>406.7</v>
      </c>
    </row>
    <row r="17" spans="1:30" x14ac:dyDescent="0.25">
      <c r="AB17" s="53" t="s">
        <v>436</v>
      </c>
      <c r="AC17" s="52">
        <v>405</v>
      </c>
    </row>
    <row r="18" spans="1:30" x14ac:dyDescent="0.25">
      <c r="AB18" s="53" t="s">
        <v>437</v>
      </c>
      <c r="AC18" s="52" t="s">
        <v>503</v>
      </c>
    </row>
    <row r="19" spans="1:30" x14ac:dyDescent="0.25">
      <c r="U19" s="55" t="s">
        <v>491</v>
      </c>
      <c r="V19" s="55" t="s">
        <v>352</v>
      </c>
      <c r="W19" s="55" t="s">
        <v>347</v>
      </c>
      <c r="X19" s="55" t="s">
        <v>492</v>
      </c>
      <c r="Y19" s="55" t="s">
        <v>388</v>
      </c>
      <c r="Z19" s="55" t="s">
        <v>383</v>
      </c>
      <c r="AB19" s="53" t="s">
        <v>439</v>
      </c>
      <c r="AC19" s="52" t="s">
        <v>504</v>
      </c>
    </row>
    <row r="20" spans="1:30" x14ac:dyDescent="0.25">
      <c r="A20" s="55" t="s">
        <v>489</v>
      </c>
      <c r="B20" s="55" t="s">
        <v>483</v>
      </c>
      <c r="C20" s="55">
        <v>24</v>
      </c>
      <c r="D20" s="55">
        <v>4</v>
      </c>
      <c r="E20" s="55">
        <v>6</v>
      </c>
      <c r="F20" s="55">
        <v>3</v>
      </c>
      <c r="G20" s="55">
        <v>6</v>
      </c>
      <c r="H20" s="55">
        <v>3</v>
      </c>
      <c r="K20" s="55" t="s">
        <v>483</v>
      </c>
      <c r="L20" s="55">
        <f>C20*5</f>
        <v>120</v>
      </c>
      <c r="M20" s="55">
        <f>D20</f>
        <v>4</v>
      </c>
      <c r="N20" s="55">
        <f t="shared" ref="N20:P24" si="18">E20</f>
        <v>6</v>
      </c>
      <c r="O20" s="55">
        <f t="shared" si="18"/>
        <v>3</v>
      </c>
      <c r="P20" s="55">
        <f t="shared" si="18"/>
        <v>6</v>
      </c>
      <c r="Q20" s="55">
        <f t="shared" ref="Q20:Q23" si="19">H20*5</f>
        <v>15</v>
      </c>
      <c r="T20" s="55" t="s">
        <v>476</v>
      </c>
      <c r="U20" s="55">
        <v>385</v>
      </c>
      <c r="V20" s="55">
        <v>425</v>
      </c>
      <c r="W20" s="55">
        <v>410</v>
      </c>
      <c r="X20" s="55">
        <v>390</v>
      </c>
      <c r="Y20" s="55">
        <v>380</v>
      </c>
      <c r="Z20" s="55">
        <v>445</v>
      </c>
      <c r="AB20" s="53" t="s">
        <v>441</v>
      </c>
      <c r="AC20" s="52">
        <v>1.274E-3</v>
      </c>
      <c r="AD20" s="55" t="s">
        <v>494</v>
      </c>
    </row>
    <row r="21" spans="1:30" x14ac:dyDescent="0.25">
      <c r="B21" s="55" t="s">
        <v>485</v>
      </c>
      <c r="C21" s="55">
        <v>22</v>
      </c>
      <c r="D21" s="55">
        <v>12</v>
      </c>
      <c r="E21" s="55">
        <v>9</v>
      </c>
      <c r="F21" s="55">
        <v>5</v>
      </c>
      <c r="G21" s="55">
        <v>2</v>
      </c>
      <c r="H21" s="55">
        <v>4</v>
      </c>
      <c r="K21" s="55" t="s">
        <v>485</v>
      </c>
      <c r="L21" s="55">
        <f t="shared" ref="L21:L23" si="20">C21*5</f>
        <v>110</v>
      </c>
      <c r="M21" s="55">
        <f t="shared" ref="M21:M24" si="21">D21</f>
        <v>12</v>
      </c>
      <c r="N21" s="55">
        <f t="shared" si="18"/>
        <v>9</v>
      </c>
      <c r="O21" s="55">
        <f t="shared" si="18"/>
        <v>5</v>
      </c>
      <c r="P21" s="55">
        <f t="shared" si="18"/>
        <v>2</v>
      </c>
      <c r="Q21" s="55">
        <f t="shared" si="19"/>
        <v>20</v>
      </c>
      <c r="T21" s="55" t="s">
        <v>477</v>
      </c>
      <c r="U21" s="55">
        <v>44</v>
      </c>
      <c r="V21" s="55">
        <v>49</v>
      </c>
      <c r="W21" s="55">
        <v>43</v>
      </c>
      <c r="X21" s="55">
        <v>36</v>
      </c>
      <c r="Y21" s="55">
        <v>33</v>
      </c>
      <c r="Z21" s="55">
        <v>33</v>
      </c>
      <c r="AB21" s="53"/>
      <c r="AC21" s="52"/>
      <c r="AD21" s="55" t="s">
        <v>496</v>
      </c>
    </row>
    <row r="22" spans="1:30" x14ac:dyDescent="0.25">
      <c r="B22" s="55" t="s">
        <v>487</v>
      </c>
      <c r="C22" s="55">
        <v>25</v>
      </c>
      <c r="D22" s="55">
        <v>8</v>
      </c>
      <c r="E22" s="55">
        <v>11</v>
      </c>
      <c r="F22" s="55">
        <v>4</v>
      </c>
      <c r="G22" s="55">
        <v>4</v>
      </c>
      <c r="H22" s="55">
        <v>6</v>
      </c>
      <c r="K22" s="55" t="s">
        <v>487</v>
      </c>
      <c r="L22" s="55">
        <f t="shared" si="20"/>
        <v>125</v>
      </c>
      <c r="M22" s="55">
        <f t="shared" si="21"/>
        <v>8</v>
      </c>
      <c r="N22" s="55">
        <f t="shared" si="18"/>
        <v>11</v>
      </c>
      <c r="O22" s="55">
        <f t="shared" si="18"/>
        <v>4</v>
      </c>
      <c r="P22" s="55">
        <f t="shared" si="18"/>
        <v>4</v>
      </c>
      <c r="Q22" s="55">
        <f t="shared" si="19"/>
        <v>30</v>
      </c>
      <c r="T22" s="55" t="s">
        <v>478</v>
      </c>
      <c r="U22" s="55">
        <v>35</v>
      </c>
      <c r="V22" s="55">
        <v>45</v>
      </c>
      <c r="W22" s="55">
        <v>34</v>
      </c>
      <c r="X22" s="55">
        <v>29</v>
      </c>
      <c r="Y22" s="55">
        <v>24</v>
      </c>
      <c r="Z22" s="55">
        <v>29</v>
      </c>
      <c r="AB22" s="53" t="s">
        <v>442</v>
      </c>
      <c r="AC22" s="52"/>
      <c r="AD22" s="55" t="s">
        <v>494</v>
      </c>
    </row>
    <row r="23" spans="1:30" x14ac:dyDescent="0.25">
      <c r="B23" s="55" t="s">
        <v>488</v>
      </c>
      <c r="C23" s="55">
        <v>18</v>
      </c>
      <c r="D23" s="55">
        <v>9</v>
      </c>
      <c r="E23" s="55">
        <v>3</v>
      </c>
      <c r="F23" s="55">
        <v>3</v>
      </c>
      <c r="G23" s="55">
        <v>3</v>
      </c>
      <c r="H23" s="55">
        <v>5</v>
      </c>
      <c r="K23" s="55" t="s">
        <v>488</v>
      </c>
      <c r="L23" s="55">
        <f t="shared" si="20"/>
        <v>90</v>
      </c>
      <c r="M23" s="55">
        <f t="shared" si="21"/>
        <v>9</v>
      </c>
      <c r="N23" s="55">
        <f t="shared" si="18"/>
        <v>3</v>
      </c>
      <c r="O23" s="55">
        <f t="shared" si="18"/>
        <v>3</v>
      </c>
      <c r="P23" s="55">
        <f t="shared" si="18"/>
        <v>3</v>
      </c>
      <c r="Q23" s="55">
        <f t="shared" si="19"/>
        <v>25</v>
      </c>
      <c r="T23" s="55" t="s">
        <v>479</v>
      </c>
      <c r="U23" s="55">
        <v>21</v>
      </c>
      <c r="V23" s="55">
        <v>29</v>
      </c>
      <c r="W23" s="55">
        <v>17</v>
      </c>
      <c r="X23" s="55">
        <v>10</v>
      </c>
      <c r="Y23" s="55">
        <v>9</v>
      </c>
      <c r="Z23" s="55">
        <v>15</v>
      </c>
      <c r="AB23" s="53" t="s">
        <v>443</v>
      </c>
      <c r="AC23" s="52" t="s">
        <v>505</v>
      </c>
      <c r="AD23" s="55" t="s">
        <v>494</v>
      </c>
    </row>
    <row r="24" spans="1:30" x14ac:dyDescent="0.25">
      <c r="C24" s="55">
        <f>SUM(C20:C23)</f>
        <v>89</v>
      </c>
      <c r="D24" s="55">
        <f t="shared" ref="D24:H24" si="22">SUM(D20:D23)</f>
        <v>33</v>
      </c>
      <c r="E24" s="55">
        <f t="shared" si="22"/>
        <v>29</v>
      </c>
      <c r="F24" s="55">
        <f t="shared" si="22"/>
        <v>15</v>
      </c>
      <c r="G24" s="55">
        <f t="shared" si="22"/>
        <v>15</v>
      </c>
      <c r="H24" s="55">
        <f t="shared" si="22"/>
        <v>18</v>
      </c>
      <c r="I24" s="55">
        <f>SUM(C24:H24)</f>
        <v>199</v>
      </c>
      <c r="L24" s="55">
        <f>SUM(L20:L23)</f>
        <v>445</v>
      </c>
      <c r="M24" s="55">
        <f t="shared" si="21"/>
        <v>33</v>
      </c>
      <c r="N24" s="55">
        <f t="shared" si="18"/>
        <v>29</v>
      </c>
      <c r="O24" s="55">
        <f t="shared" si="18"/>
        <v>15</v>
      </c>
      <c r="P24" s="55">
        <f t="shared" si="18"/>
        <v>15</v>
      </c>
      <c r="Q24" s="55">
        <f t="shared" ref="Q24" si="23">SUM(Q20:Q23)</f>
        <v>90</v>
      </c>
      <c r="R24" s="55">
        <f>SUM(L24:Q24)</f>
        <v>627</v>
      </c>
      <c r="T24" s="55" t="s">
        <v>501</v>
      </c>
      <c r="U24" s="55">
        <v>12</v>
      </c>
      <c r="V24" s="55">
        <v>19</v>
      </c>
      <c r="W24" s="55">
        <v>16</v>
      </c>
      <c r="X24" s="55">
        <v>9</v>
      </c>
      <c r="Y24" s="55">
        <v>10</v>
      </c>
      <c r="Z24" s="55">
        <v>15</v>
      </c>
      <c r="AB24" s="53" t="s">
        <v>425</v>
      </c>
      <c r="AC24" s="52">
        <v>0.5</v>
      </c>
      <c r="AD24" s="55" t="s">
        <v>494</v>
      </c>
    </row>
    <row r="25" spans="1:30" x14ac:dyDescent="0.25">
      <c r="C25" s="55">
        <f>C24/I24%</f>
        <v>44.723618090452263</v>
      </c>
      <c r="D25" s="55">
        <f>D24/$I24 %</f>
        <v>16.582914572864322</v>
      </c>
      <c r="E25" s="55">
        <f t="shared" ref="E25:H25" si="24">E24/$I24 %</f>
        <v>14.572864321608041</v>
      </c>
      <c r="F25" s="55">
        <f t="shared" si="24"/>
        <v>7.5376884422110555</v>
      </c>
      <c r="G25" s="55">
        <f t="shared" si="24"/>
        <v>7.5376884422110555</v>
      </c>
      <c r="H25" s="55">
        <f t="shared" si="24"/>
        <v>9.0452261306532655</v>
      </c>
      <c r="L25" s="55">
        <f t="shared" ref="L25" si="25">L24/$R24 %</f>
        <v>70.972886762360446</v>
      </c>
      <c r="M25" s="55">
        <f>M24/$R24 %</f>
        <v>5.2631578947368425</v>
      </c>
      <c r="N25" s="55">
        <f t="shared" ref="N25" si="26">N24/$R24 %</f>
        <v>4.6251993620414673</v>
      </c>
      <c r="O25" s="55">
        <f>O24/$R24 %</f>
        <v>2.3923444976076556</v>
      </c>
      <c r="P25" s="55">
        <f t="shared" ref="P25" si="27">P24/$R24 %</f>
        <v>2.3923444976076556</v>
      </c>
      <c r="Q25" s="55">
        <f>Q24/$R24 %</f>
        <v>14.354066985645934</v>
      </c>
      <c r="T25" s="55" t="s">
        <v>481</v>
      </c>
      <c r="U25" s="55">
        <v>50</v>
      </c>
      <c r="V25" s="55">
        <v>60</v>
      </c>
      <c r="W25" s="55">
        <v>55</v>
      </c>
      <c r="X25" s="55">
        <v>70</v>
      </c>
      <c r="Y25" s="55">
        <v>75</v>
      </c>
      <c r="Z25" s="55">
        <v>90</v>
      </c>
      <c r="AB25" s="53" t="s">
        <v>426</v>
      </c>
      <c r="AC25" s="52" t="s">
        <v>445</v>
      </c>
      <c r="AD25" s="55" t="s">
        <v>496</v>
      </c>
    </row>
    <row r="26" spans="1:30" x14ac:dyDescent="0.25">
      <c r="AB26" s="53" t="s">
        <v>428</v>
      </c>
      <c r="AC26" s="52" t="s">
        <v>446</v>
      </c>
    </row>
    <row r="27" spans="1:30" x14ac:dyDescent="0.25">
      <c r="Y27" s="55" t="s">
        <v>500</v>
      </c>
      <c r="AB27" s="53"/>
      <c r="AC27" s="52"/>
    </row>
    <row r="28" spans="1:30" x14ac:dyDescent="0.25">
      <c r="AB28" s="53" t="s">
        <v>447</v>
      </c>
      <c r="AC28" s="52"/>
    </row>
    <row r="29" spans="1:30" x14ac:dyDescent="0.25">
      <c r="A29" s="55" t="s">
        <v>490</v>
      </c>
      <c r="B29" s="55" t="s">
        <v>483</v>
      </c>
      <c r="C29" s="55">
        <v>22</v>
      </c>
      <c r="D29" s="55">
        <v>15</v>
      </c>
      <c r="E29" s="55">
        <v>12</v>
      </c>
      <c r="F29" s="55">
        <v>7</v>
      </c>
      <c r="G29" s="55">
        <v>10</v>
      </c>
      <c r="H29" s="55">
        <v>3</v>
      </c>
      <c r="K29" s="55" t="s">
        <v>483</v>
      </c>
      <c r="L29" s="55">
        <f>C29*5</f>
        <v>110</v>
      </c>
      <c r="M29" s="55">
        <f>D29</f>
        <v>15</v>
      </c>
      <c r="N29" s="55">
        <f t="shared" ref="N29:P33" si="28">E29</f>
        <v>12</v>
      </c>
      <c r="O29" s="55">
        <f t="shared" si="28"/>
        <v>7</v>
      </c>
      <c r="P29" s="55">
        <f t="shared" si="28"/>
        <v>10</v>
      </c>
      <c r="Q29" s="55">
        <f t="shared" ref="Q29:Q31" si="29">H29*5</f>
        <v>15</v>
      </c>
      <c r="AB29" s="53" t="s">
        <v>448</v>
      </c>
      <c r="AC29" s="52">
        <v>3</v>
      </c>
    </row>
    <row r="30" spans="1:30" x14ac:dyDescent="0.25">
      <c r="B30" s="55" t="s">
        <v>485</v>
      </c>
      <c r="C30" s="55">
        <v>28</v>
      </c>
      <c r="D30" s="55">
        <v>20</v>
      </c>
      <c r="E30" s="55">
        <v>14</v>
      </c>
      <c r="F30" s="55">
        <v>9</v>
      </c>
      <c r="G30" s="55">
        <v>2</v>
      </c>
      <c r="H30" s="55">
        <v>4</v>
      </c>
      <c r="K30" s="55" t="s">
        <v>485</v>
      </c>
      <c r="L30" s="55">
        <f t="shared" ref="L30:L31" si="30">C30*5</f>
        <v>140</v>
      </c>
      <c r="M30" s="55">
        <f t="shared" ref="M30:M33" si="31">D30</f>
        <v>20</v>
      </c>
      <c r="N30" s="55">
        <f t="shared" si="28"/>
        <v>14</v>
      </c>
      <c r="O30" s="55">
        <f t="shared" si="28"/>
        <v>9</v>
      </c>
      <c r="P30" s="55">
        <f t="shared" si="28"/>
        <v>2</v>
      </c>
      <c r="Q30" s="55">
        <f>H30*5</f>
        <v>20</v>
      </c>
      <c r="AB30" s="53" t="s">
        <v>449</v>
      </c>
      <c r="AC30" s="52">
        <v>3</v>
      </c>
    </row>
    <row r="31" spans="1:30" x14ac:dyDescent="0.25">
      <c r="B31" s="55" t="s">
        <v>487</v>
      </c>
      <c r="C31" s="55">
        <v>27</v>
      </c>
      <c r="D31" s="55">
        <v>9</v>
      </c>
      <c r="E31" s="55">
        <v>9</v>
      </c>
      <c r="F31" s="55">
        <v>5</v>
      </c>
      <c r="G31" s="55">
        <v>0</v>
      </c>
      <c r="H31" s="55">
        <v>3</v>
      </c>
      <c r="K31" s="55" t="s">
        <v>487</v>
      </c>
      <c r="L31" s="55">
        <f t="shared" si="30"/>
        <v>135</v>
      </c>
      <c r="M31" s="55">
        <f t="shared" si="31"/>
        <v>9</v>
      </c>
      <c r="N31" s="55">
        <f t="shared" si="28"/>
        <v>9</v>
      </c>
      <c r="O31" s="55">
        <f t="shared" si="28"/>
        <v>5</v>
      </c>
      <c r="P31" s="55">
        <f t="shared" si="28"/>
        <v>0</v>
      </c>
      <c r="Q31" s="55">
        <f t="shared" si="29"/>
        <v>15</v>
      </c>
    </row>
    <row r="32" spans="1:30" x14ac:dyDescent="0.25">
      <c r="C32" s="55">
        <f t="shared" ref="C32:H32" si="32">SUM(C29:C31)</f>
        <v>77</v>
      </c>
      <c r="D32" s="55">
        <f t="shared" si="32"/>
        <v>44</v>
      </c>
      <c r="E32" s="55">
        <f t="shared" si="32"/>
        <v>35</v>
      </c>
      <c r="F32" s="55">
        <f t="shared" si="32"/>
        <v>21</v>
      </c>
      <c r="G32" s="55">
        <f t="shared" si="32"/>
        <v>12</v>
      </c>
      <c r="H32" s="55">
        <f t="shared" si="32"/>
        <v>10</v>
      </c>
      <c r="I32" s="55">
        <f>SUM(C32:H32)</f>
        <v>199</v>
      </c>
      <c r="L32" s="55">
        <f t="shared" ref="L32:Q32" si="33">SUM(L29:L31)</f>
        <v>385</v>
      </c>
      <c r="M32" s="55">
        <f t="shared" si="31"/>
        <v>44</v>
      </c>
      <c r="N32" s="55">
        <f t="shared" si="28"/>
        <v>35</v>
      </c>
      <c r="O32" s="55">
        <f t="shared" si="28"/>
        <v>21</v>
      </c>
      <c r="P32" s="55">
        <f t="shared" si="28"/>
        <v>12</v>
      </c>
      <c r="Q32" s="55">
        <f t="shared" si="33"/>
        <v>50</v>
      </c>
      <c r="R32" s="55">
        <f>SUM(L32:Q32)</f>
        <v>547</v>
      </c>
      <c r="AB32" s="52" t="s">
        <v>514</v>
      </c>
      <c r="AC32" s="52"/>
    </row>
    <row r="33" spans="1:29" x14ac:dyDescent="0.25">
      <c r="C33" s="55">
        <f>C32/I32%</f>
        <v>38.693467336683419</v>
      </c>
      <c r="D33" s="55">
        <f>D32/$I32 %</f>
        <v>22.110552763819097</v>
      </c>
      <c r="E33" s="55">
        <f>E32/$I32 %</f>
        <v>17.587939698492463</v>
      </c>
      <c r="F33" s="55">
        <f>F32/$I32 %</f>
        <v>10.552763819095478</v>
      </c>
      <c r="G33" s="55">
        <f>G32/$I32 %</f>
        <v>6.0301507537688446</v>
      </c>
      <c r="H33" s="55">
        <f>H32/$I32 %</f>
        <v>5.025125628140704</v>
      </c>
      <c r="L33" s="55">
        <f t="shared" ref="L33" si="34">L32/$R32 %</f>
        <v>70.383912248628889</v>
      </c>
      <c r="M33" s="55">
        <f t="shared" si="31"/>
        <v>22.110552763819097</v>
      </c>
      <c r="N33" s="55">
        <f t="shared" si="28"/>
        <v>17.587939698492463</v>
      </c>
      <c r="O33" s="55">
        <f t="shared" si="28"/>
        <v>10.552763819095478</v>
      </c>
      <c r="P33" s="55">
        <f t="shared" si="28"/>
        <v>6.0301507537688446</v>
      </c>
      <c r="Q33" s="55">
        <f>Q32/$R32 %</f>
        <v>9.1407678244972583</v>
      </c>
      <c r="X33" s="53"/>
      <c r="AB33" s="53"/>
      <c r="AC33" s="52"/>
    </row>
    <row r="34" spans="1:29" x14ac:dyDescent="0.25">
      <c r="X34" s="53"/>
      <c r="AB34" s="53" t="s">
        <v>419</v>
      </c>
      <c r="AC34" s="52" t="s">
        <v>506</v>
      </c>
    </row>
    <row r="35" spans="1:29" x14ac:dyDescent="0.25">
      <c r="X35" s="53"/>
      <c r="AB35" s="53" t="s">
        <v>421</v>
      </c>
      <c r="AC35" s="52" t="s">
        <v>421</v>
      </c>
    </row>
    <row r="36" spans="1:29" x14ac:dyDescent="0.25">
      <c r="X36" s="53"/>
      <c r="AB36" s="53" t="s">
        <v>422</v>
      </c>
      <c r="AC36" s="52" t="s">
        <v>507</v>
      </c>
    </row>
    <row r="37" spans="1:29" x14ac:dyDescent="0.25">
      <c r="A37" s="55" t="s">
        <v>352</v>
      </c>
      <c r="B37" s="55" t="s">
        <v>483</v>
      </c>
      <c r="C37" s="55">
        <v>23</v>
      </c>
      <c r="D37" s="55">
        <v>16</v>
      </c>
      <c r="E37" s="55">
        <v>13</v>
      </c>
      <c r="F37" s="55">
        <v>5</v>
      </c>
      <c r="G37" s="55">
        <v>7</v>
      </c>
      <c r="H37" s="55">
        <v>3</v>
      </c>
      <c r="K37" s="55" t="s">
        <v>483</v>
      </c>
      <c r="L37" s="55">
        <f>C37*5</f>
        <v>115</v>
      </c>
      <c r="M37" s="55">
        <f>D37</f>
        <v>16</v>
      </c>
      <c r="N37" s="55">
        <f t="shared" ref="N37:P41" si="35">E37</f>
        <v>13</v>
      </c>
      <c r="O37" s="55">
        <f t="shared" si="35"/>
        <v>5</v>
      </c>
      <c r="P37" s="55">
        <f t="shared" si="35"/>
        <v>7</v>
      </c>
      <c r="Q37" s="55">
        <f t="shared" ref="Q37:Q40" si="36">H37*5</f>
        <v>15</v>
      </c>
      <c r="X37" s="53"/>
      <c r="AB37" s="53"/>
      <c r="AC37" s="52"/>
    </row>
    <row r="38" spans="1:29" x14ac:dyDescent="0.25">
      <c r="B38" s="55" t="s">
        <v>485</v>
      </c>
      <c r="C38" s="55">
        <v>25</v>
      </c>
      <c r="D38" s="55">
        <v>15</v>
      </c>
      <c r="E38" s="55">
        <v>12</v>
      </c>
      <c r="F38" s="55">
        <v>11</v>
      </c>
      <c r="G38" s="55">
        <v>1</v>
      </c>
      <c r="H38" s="55">
        <v>3</v>
      </c>
      <c r="K38" s="55" t="s">
        <v>485</v>
      </c>
      <c r="L38" s="55">
        <f t="shared" ref="L38:L40" si="37">C38*5</f>
        <v>125</v>
      </c>
      <c r="M38" s="55">
        <f t="shared" ref="M38:M41" si="38">D38</f>
        <v>15</v>
      </c>
      <c r="N38" s="55">
        <f t="shared" si="35"/>
        <v>12</v>
      </c>
      <c r="O38" s="55">
        <f t="shared" si="35"/>
        <v>11</v>
      </c>
      <c r="P38" s="55">
        <f t="shared" si="35"/>
        <v>1</v>
      </c>
      <c r="Q38" s="55">
        <f t="shared" si="36"/>
        <v>15</v>
      </c>
      <c r="X38" s="53"/>
      <c r="AB38" s="53" t="s">
        <v>455</v>
      </c>
      <c r="AC38" s="52"/>
    </row>
    <row r="39" spans="1:29" x14ac:dyDescent="0.25">
      <c r="B39" s="55" t="s">
        <v>487</v>
      </c>
      <c r="C39" s="55">
        <v>11</v>
      </c>
      <c r="D39" s="55">
        <v>10</v>
      </c>
      <c r="E39" s="55">
        <v>9</v>
      </c>
      <c r="F39" s="55">
        <v>7</v>
      </c>
      <c r="G39" s="55">
        <v>6</v>
      </c>
      <c r="H39" s="55">
        <v>2</v>
      </c>
      <c r="K39" s="55" t="s">
        <v>487</v>
      </c>
      <c r="L39" s="55">
        <f t="shared" si="37"/>
        <v>55</v>
      </c>
      <c r="M39" s="55">
        <f t="shared" si="38"/>
        <v>10</v>
      </c>
      <c r="N39" s="55">
        <f t="shared" si="35"/>
        <v>9</v>
      </c>
      <c r="O39" s="55">
        <f t="shared" si="35"/>
        <v>7</v>
      </c>
      <c r="P39" s="55">
        <f t="shared" si="35"/>
        <v>6</v>
      </c>
      <c r="Q39" s="55">
        <f>H39*5</f>
        <v>10</v>
      </c>
      <c r="AB39" s="53" t="s">
        <v>425</v>
      </c>
      <c r="AC39" s="52">
        <v>4.2200000000000001E-2</v>
      </c>
    </row>
    <row r="40" spans="1:29" x14ac:dyDescent="0.25">
      <c r="B40" s="55" t="s">
        <v>488</v>
      </c>
      <c r="C40" s="55">
        <v>26</v>
      </c>
      <c r="D40" s="55">
        <v>8</v>
      </c>
      <c r="E40" s="55">
        <v>11</v>
      </c>
      <c r="F40" s="55">
        <v>6</v>
      </c>
      <c r="G40" s="55">
        <v>5</v>
      </c>
      <c r="H40" s="55">
        <v>4</v>
      </c>
      <c r="K40" s="55" t="s">
        <v>488</v>
      </c>
      <c r="L40" s="55">
        <f t="shared" si="37"/>
        <v>130</v>
      </c>
      <c r="M40" s="55">
        <f t="shared" si="38"/>
        <v>8</v>
      </c>
      <c r="N40" s="55">
        <f t="shared" si="35"/>
        <v>11</v>
      </c>
      <c r="O40" s="55">
        <f t="shared" si="35"/>
        <v>6</v>
      </c>
      <c r="P40" s="55">
        <f t="shared" si="35"/>
        <v>5</v>
      </c>
      <c r="Q40" s="55">
        <f t="shared" si="36"/>
        <v>20</v>
      </c>
      <c r="AB40" s="53" t="s">
        <v>426</v>
      </c>
      <c r="AC40" s="52" t="s">
        <v>508</v>
      </c>
    </row>
    <row r="41" spans="1:29" x14ac:dyDescent="0.25">
      <c r="C41" s="55">
        <f>SUM(C37:C40)</f>
        <v>85</v>
      </c>
      <c r="D41" s="55">
        <f>SUM(D37:D40)</f>
        <v>49</v>
      </c>
      <c r="E41" s="55">
        <f t="shared" ref="E41:H41" si="39">SUM(E37:E40)</f>
        <v>45</v>
      </c>
      <c r="F41" s="55">
        <f t="shared" si="39"/>
        <v>29</v>
      </c>
      <c r="G41" s="55">
        <f t="shared" si="39"/>
        <v>19</v>
      </c>
      <c r="H41" s="55">
        <f t="shared" si="39"/>
        <v>12</v>
      </c>
      <c r="I41" s="55">
        <f>SUM(C41:H41)</f>
        <v>239</v>
      </c>
      <c r="L41" s="55">
        <f>SUM(L37:L40)</f>
        <v>425</v>
      </c>
      <c r="M41" s="55">
        <f t="shared" si="38"/>
        <v>49</v>
      </c>
      <c r="N41" s="55">
        <f t="shared" si="35"/>
        <v>45</v>
      </c>
      <c r="O41" s="55">
        <f t="shared" si="35"/>
        <v>29</v>
      </c>
      <c r="P41" s="55">
        <f t="shared" si="35"/>
        <v>19</v>
      </c>
      <c r="Q41" s="55">
        <f t="shared" ref="Q41" si="40">SUM(Q37:Q40)</f>
        <v>60</v>
      </c>
      <c r="R41" s="55">
        <f>SUM(L41:Q41)</f>
        <v>627</v>
      </c>
      <c r="AB41" s="53" t="s">
        <v>428</v>
      </c>
      <c r="AC41" s="52" t="s">
        <v>429</v>
      </c>
    </row>
    <row r="42" spans="1:29" x14ac:dyDescent="0.25">
      <c r="C42" s="55">
        <f>C41/I41%</f>
        <v>35.564853556485353</v>
      </c>
      <c r="D42" s="55">
        <f>D41/$I41 %</f>
        <v>20.502092050209203</v>
      </c>
      <c r="E42" s="55">
        <f>E41/$I41 %</f>
        <v>18.828451882845187</v>
      </c>
      <c r="F42" s="55">
        <f>F41/$I41 %</f>
        <v>12.13389121338912</v>
      </c>
      <c r="G42" s="55">
        <f>G41/$I41 %</f>
        <v>7.9497907949790791</v>
      </c>
      <c r="H42" s="55">
        <f>H41/$I41 %</f>
        <v>5.02092050209205</v>
      </c>
      <c r="L42" s="55">
        <f t="shared" ref="L42" si="41">L41/$R41 %</f>
        <v>67.783094098883581</v>
      </c>
      <c r="M42" s="55">
        <f>M41/$R41 %</f>
        <v>7.8149920255183423</v>
      </c>
      <c r="N42" s="55">
        <f t="shared" ref="N42" si="42">N41/$R41 %</f>
        <v>7.1770334928229671</v>
      </c>
      <c r="O42" s="55">
        <f>O41/$R41 %</f>
        <v>4.6251993620414673</v>
      </c>
      <c r="P42" s="55">
        <f t="shared" ref="P42" si="43">P41/$R41 %</f>
        <v>3.0303030303030307</v>
      </c>
      <c r="Q42" s="55">
        <f>Q41/$R41 %</f>
        <v>9.5693779904306222</v>
      </c>
      <c r="AB42" s="53" t="s">
        <v>430</v>
      </c>
      <c r="AC42" s="52" t="s">
        <v>431</v>
      </c>
    </row>
    <row r="43" spans="1:29" x14ac:dyDescent="0.25">
      <c r="AB43" s="53" t="s">
        <v>432</v>
      </c>
      <c r="AC43" s="52" t="s">
        <v>509</v>
      </c>
    </row>
    <row r="44" spans="1:29" x14ac:dyDescent="0.25">
      <c r="AB44" s="53" t="s">
        <v>457</v>
      </c>
      <c r="AC44" s="52">
        <v>3</v>
      </c>
    </row>
    <row r="45" spans="1:29" x14ac:dyDescent="0.25">
      <c r="A45" s="55" t="s">
        <v>347</v>
      </c>
      <c r="B45" s="55" t="s">
        <v>483</v>
      </c>
      <c r="C45" s="55">
        <v>23</v>
      </c>
      <c r="D45" s="55">
        <v>12</v>
      </c>
      <c r="E45" s="55">
        <v>11</v>
      </c>
      <c r="F45" s="55">
        <v>6</v>
      </c>
      <c r="G45" s="55">
        <v>12</v>
      </c>
      <c r="H45" s="55">
        <v>2</v>
      </c>
      <c r="K45" s="55" t="s">
        <v>483</v>
      </c>
      <c r="L45" s="55">
        <f t="shared" ref="L45:Q47" si="44">C45*5</f>
        <v>115</v>
      </c>
      <c r="M45" s="55">
        <f>D45</f>
        <v>12</v>
      </c>
      <c r="N45" s="55">
        <f t="shared" ref="N45:P49" si="45">E45</f>
        <v>11</v>
      </c>
      <c r="O45" s="55">
        <f t="shared" si="45"/>
        <v>6</v>
      </c>
      <c r="P45" s="55">
        <f t="shared" si="45"/>
        <v>12</v>
      </c>
      <c r="Q45" s="55">
        <f t="shared" si="44"/>
        <v>10</v>
      </c>
      <c r="AB45" s="53"/>
      <c r="AC45" s="52"/>
    </row>
    <row r="46" spans="1:29" x14ac:dyDescent="0.25">
      <c r="B46" s="55" t="s">
        <v>485</v>
      </c>
      <c r="C46" s="55">
        <v>29</v>
      </c>
      <c r="D46" s="55">
        <v>21</v>
      </c>
      <c r="E46" s="55">
        <v>12</v>
      </c>
      <c r="F46" s="55">
        <v>4</v>
      </c>
      <c r="G46" s="55">
        <v>2</v>
      </c>
      <c r="H46" s="55">
        <v>5</v>
      </c>
      <c r="K46" s="55" t="s">
        <v>485</v>
      </c>
      <c r="L46" s="55">
        <f t="shared" si="44"/>
        <v>145</v>
      </c>
      <c r="M46" s="55">
        <f t="shared" ref="M46:M49" si="46">D46</f>
        <v>21</v>
      </c>
      <c r="N46" s="55">
        <f t="shared" si="45"/>
        <v>12</v>
      </c>
      <c r="O46" s="55">
        <f t="shared" si="45"/>
        <v>4</v>
      </c>
      <c r="P46" s="55">
        <f t="shared" si="45"/>
        <v>2</v>
      </c>
      <c r="Q46" s="55">
        <f t="shared" si="44"/>
        <v>25</v>
      </c>
      <c r="AB46" s="53" t="s">
        <v>434</v>
      </c>
      <c r="AC46" s="52"/>
    </row>
    <row r="47" spans="1:29" x14ac:dyDescent="0.25">
      <c r="B47" s="55" t="s">
        <v>487</v>
      </c>
      <c r="C47" s="55">
        <v>30</v>
      </c>
      <c r="D47" s="55">
        <v>10</v>
      </c>
      <c r="E47" s="55">
        <v>11</v>
      </c>
      <c r="F47" s="55">
        <v>7</v>
      </c>
      <c r="G47" s="55">
        <v>2</v>
      </c>
      <c r="H47" s="55">
        <v>4</v>
      </c>
      <c r="K47" s="55" t="s">
        <v>487</v>
      </c>
      <c r="L47" s="55">
        <f t="shared" si="44"/>
        <v>150</v>
      </c>
      <c r="M47" s="55">
        <f t="shared" si="46"/>
        <v>10</v>
      </c>
      <c r="N47" s="55">
        <f t="shared" si="45"/>
        <v>11</v>
      </c>
      <c r="O47" s="55">
        <f t="shared" si="45"/>
        <v>7</v>
      </c>
      <c r="P47" s="55">
        <f t="shared" si="45"/>
        <v>2</v>
      </c>
      <c r="Q47" s="55">
        <f t="shared" si="44"/>
        <v>20</v>
      </c>
      <c r="AB47" s="53" t="s">
        <v>458</v>
      </c>
      <c r="AC47" s="52">
        <v>-11.33</v>
      </c>
    </row>
    <row r="48" spans="1:29" x14ac:dyDescent="0.25">
      <c r="C48" s="55">
        <f>SUM(C45:C47)</f>
        <v>82</v>
      </c>
      <c r="D48" s="55">
        <f t="shared" ref="D48:H48" si="47">SUM(D45:D47)</f>
        <v>43</v>
      </c>
      <c r="E48" s="55">
        <f t="shared" si="47"/>
        <v>34</v>
      </c>
      <c r="F48" s="55">
        <f t="shared" si="47"/>
        <v>17</v>
      </c>
      <c r="G48" s="55">
        <f t="shared" si="47"/>
        <v>16</v>
      </c>
      <c r="H48" s="55">
        <f t="shared" si="47"/>
        <v>11</v>
      </c>
      <c r="I48" s="55">
        <f>SUM(C48:H48)</f>
        <v>203</v>
      </c>
      <c r="L48" s="55">
        <f t="shared" ref="L48:Q48" si="48">SUM(L45:L47)</f>
        <v>410</v>
      </c>
      <c r="M48" s="55">
        <f t="shared" si="46"/>
        <v>43</v>
      </c>
      <c r="N48" s="55">
        <f t="shared" si="45"/>
        <v>34</v>
      </c>
      <c r="O48" s="55">
        <f t="shared" si="45"/>
        <v>17</v>
      </c>
      <c r="P48" s="55">
        <f t="shared" si="45"/>
        <v>16</v>
      </c>
      <c r="Q48" s="55">
        <f t="shared" si="48"/>
        <v>55</v>
      </c>
      <c r="R48" s="55">
        <f>SUM(L48:Q48)</f>
        <v>575</v>
      </c>
      <c r="AB48" s="53" t="s">
        <v>459</v>
      </c>
      <c r="AC48" s="52">
        <v>4.1630000000000003</v>
      </c>
    </row>
    <row r="49" spans="3:29" x14ac:dyDescent="0.25">
      <c r="C49" s="55">
        <f>C48/I48%</f>
        <v>40.39408866995074</v>
      </c>
      <c r="D49" s="55">
        <f>D48/$I48 %</f>
        <v>21.182266009852217</v>
      </c>
      <c r="E49" s="55">
        <f>E48/$I48 %</f>
        <v>16.748768472906406</v>
      </c>
      <c r="F49" s="55">
        <f>F48/$I48 %</f>
        <v>8.3743842364532028</v>
      </c>
      <c r="G49" s="55">
        <f>G48/$I48 %</f>
        <v>7.8817733990147794</v>
      </c>
      <c r="H49" s="55">
        <f>H48/$I48 %</f>
        <v>5.418719211822661</v>
      </c>
      <c r="L49" s="55">
        <f t="shared" ref="L49" si="49">L48/$R48 %</f>
        <v>71.304347826086953</v>
      </c>
      <c r="M49" s="55">
        <f t="shared" si="46"/>
        <v>21.182266009852217</v>
      </c>
      <c r="N49" s="55">
        <f t="shared" si="45"/>
        <v>16.748768472906406</v>
      </c>
      <c r="O49" s="55">
        <f t="shared" si="45"/>
        <v>8.3743842364532028</v>
      </c>
      <c r="P49" s="55">
        <f t="shared" si="45"/>
        <v>7.8817733990147794</v>
      </c>
      <c r="Q49" s="55">
        <f>Q48/$R48 %</f>
        <v>9.5652173913043477</v>
      </c>
      <c r="AB49" s="53" t="s">
        <v>460</v>
      </c>
      <c r="AC49" s="52">
        <v>2.4039999999999999</v>
      </c>
    </row>
    <row r="50" spans="3:29" x14ac:dyDescent="0.25">
      <c r="AB50" s="53" t="s">
        <v>439</v>
      </c>
      <c r="AC50" s="52" t="s">
        <v>510</v>
      </c>
    </row>
    <row r="51" spans="3:29" x14ac:dyDescent="0.25">
      <c r="AB51" s="53" t="s">
        <v>462</v>
      </c>
      <c r="AC51" s="52">
        <v>0.91749999999999998</v>
      </c>
    </row>
    <row r="52" spans="3:29" x14ac:dyDescent="0.25">
      <c r="AB52" s="53"/>
      <c r="AC52" s="52"/>
    </row>
    <row r="53" spans="3:29" x14ac:dyDescent="0.25">
      <c r="AB53" s="53" t="s">
        <v>463</v>
      </c>
      <c r="AC53" s="52"/>
    </row>
    <row r="54" spans="3:29" x14ac:dyDescent="0.25">
      <c r="AB54" s="53" t="s">
        <v>464</v>
      </c>
      <c r="AC54" s="52">
        <v>-0.35920000000000002</v>
      </c>
    </row>
    <row r="55" spans="3:29" x14ac:dyDescent="0.25">
      <c r="AB55" s="53" t="s">
        <v>465</v>
      </c>
      <c r="AC55" s="52">
        <v>0.38300000000000001</v>
      </c>
    </row>
    <row r="56" spans="3:29" x14ac:dyDescent="0.25">
      <c r="AB56" s="53" t="s">
        <v>426</v>
      </c>
      <c r="AC56" s="52" t="s">
        <v>445</v>
      </c>
    </row>
    <row r="57" spans="3:29" x14ac:dyDescent="0.25">
      <c r="AB57" s="53" t="s">
        <v>466</v>
      </c>
      <c r="AC57" s="52" t="s">
        <v>446</v>
      </c>
    </row>
    <row r="58" spans="3:29" x14ac:dyDescent="0.25">
      <c r="AB58" s="53"/>
      <c r="AC58" s="52"/>
    </row>
    <row r="59" spans="3:29" x14ac:dyDescent="0.25">
      <c r="AB59" s="52" t="s">
        <v>515</v>
      </c>
    </row>
    <row r="60" spans="3:29" x14ac:dyDescent="0.25">
      <c r="AB60" s="53"/>
      <c r="AC60" s="52"/>
    </row>
    <row r="61" spans="3:29" x14ac:dyDescent="0.25">
      <c r="AB61" s="53" t="s">
        <v>419</v>
      </c>
      <c r="AC61" s="52" t="s">
        <v>506</v>
      </c>
    </row>
    <row r="62" spans="3:29" x14ac:dyDescent="0.25">
      <c r="AB62" s="53" t="s">
        <v>421</v>
      </c>
      <c r="AC62" s="52" t="s">
        <v>421</v>
      </c>
    </row>
    <row r="63" spans="3:29" x14ac:dyDescent="0.25">
      <c r="AB63" s="53" t="s">
        <v>422</v>
      </c>
      <c r="AC63" s="52" t="s">
        <v>507</v>
      </c>
    </row>
    <row r="64" spans="3:29" x14ac:dyDescent="0.25">
      <c r="AB64" s="53"/>
      <c r="AC64" s="52"/>
    </row>
    <row r="65" spans="28:29" x14ac:dyDescent="0.25">
      <c r="AB65" s="53" t="s">
        <v>455</v>
      </c>
      <c r="AC65" s="52"/>
    </row>
    <row r="66" spans="28:29" x14ac:dyDescent="0.25">
      <c r="AB66" s="53" t="s">
        <v>425</v>
      </c>
      <c r="AC66" s="52">
        <v>0.1754</v>
      </c>
    </row>
    <row r="67" spans="28:29" x14ac:dyDescent="0.25">
      <c r="AB67" s="53" t="s">
        <v>426</v>
      </c>
      <c r="AC67" s="52" t="s">
        <v>445</v>
      </c>
    </row>
    <row r="68" spans="28:29" x14ac:dyDescent="0.25">
      <c r="AB68" s="53" t="s">
        <v>428</v>
      </c>
      <c r="AC68" s="52" t="s">
        <v>446</v>
      </c>
    </row>
    <row r="69" spans="28:29" x14ac:dyDescent="0.25">
      <c r="AB69" s="53" t="s">
        <v>430</v>
      </c>
      <c r="AC69" s="52" t="s">
        <v>431</v>
      </c>
    </row>
    <row r="70" spans="28:29" x14ac:dyDescent="0.25">
      <c r="AB70" s="53" t="s">
        <v>432</v>
      </c>
      <c r="AC70" s="52" t="s">
        <v>511</v>
      </c>
    </row>
    <row r="71" spans="28:29" x14ac:dyDescent="0.25">
      <c r="AB71" s="53" t="s">
        <v>457</v>
      </c>
      <c r="AC71" s="52">
        <v>3</v>
      </c>
    </row>
    <row r="72" spans="28:29" x14ac:dyDescent="0.25">
      <c r="AB72" s="53"/>
      <c r="AC72" s="52"/>
    </row>
    <row r="73" spans="28:29" x14ac:dyDescent="0.25">
      <c r="AB73" s="53" t="s">
        <v>434</v>
      </c>
      <c r="AC73" s="52"/>
    </row>
    <row r="74" spans="28:29" x14ac:dyDescent="0.25">
      <c r="AB74" s="53" t="s">
        <v>458</v>
      </c>
      <c r="AC74" s="52">
        <v>-10.67</v>
      </c>
    </row>
    <row r="75" spans="28:29" x14ac:dyDescent="0.25">
      <c r="AB75" s="53" t="s">
        <v>459</v>
      </c>
      <c r="AC75" s="52">
        <v>8.9629999999999992</v>
      </c>
    </row>
    <row r="76" spans="28:29" x14ac:dyDescent="0.25">
      <c r="AB76" s="53" t="s">
        <v>460</v>
      </c>
      <c r="AC76" s="52">
        <v>5.1749999999999998</v>
      </c>
    </row>
    <row r="77" spans="28:29" x14ac:dyDescent="0.25">
      <c r="AB77" s="53" t="s">
        <v>439</v>
      </c>
      <c r="AC77" s="52" t="s">
        <v>512</v>
      </c>
    </row>
    <row r="78" spans="28:29" x14ac:dyDescent="0.25">
      <c r="AB78" s="53" t="s">
        <v>462</v>
      </c>
      <c r="AC78" s="52">
        <v>0.67989999999999995</v>
      </c>
    </row>
    <row r="79" spans="28:29" x14ac:dyDescent="0.25">
      <c r="AB79" s="53"/>
      <c r="AC79" s="52"/>
    </row>
    <row r="80" spans="28:29" x14ac:dyDescent="0.25">
      <c r="AB80" s="53" t="s">
        <v>463</v>
      </c>
      <c r="AC80" s="52"/>
    </row>
    <row r="81" spans="28:29" x14ac:dyDescent="0.25">
      <c r="AB81" s="53" t="s">
        <v>464</v>
      </c>
      <c r="AC81" s="52">
        <v>-0.99660000000000004</v>
      </c>
    </row>
    <row r="82" spans="28:29" x14ac:dyDescent="0.25">
      <c r="AB82" s="53" t="s">
        <v>465</v>
      </c>
      <c r="AC82" s="52">
        <v>2.6200000000000001E-2</v>
      </c>
    </row>
    <row r="83" spans="28:29" x14ac:dyDescent="0.25">
      <c r="AB83" s="53" t="s">
        <v>426</v>
      </c>
      <c r="AC83" s="52" t="s">
        <v>508</v>
      </c>
    </row>
    <row r="84" spans="28:29" x14ac:dyDescent="0.25">
      <c r="AB84" s="53" t="s">
        <v>466</v>
      </c>
      <c r="AC84" s="52" t="s">
        <v>429</v>
      </c>
    </row>
    <row r="86" spans="28:29" x14ac:dyDescent="0.25">
      <c r="AB86" s="52" t="s">
        <v>518</v>
      </c>
    </row>
    <row r="87" spans="28:29" x14ac:dyDescent="0.25">
      <c r="AC87" s="52"/>
    </row>
    <row r="88" spans="28:29" x14ac:dyDescent="0.25">
      <c r="AB88" s="53" t="s">
        <v>419</v>
      </c>
      <c r="AC88" s="52" t="s">
        <v>506</v>
      </c>
    </row>
    <row r="89" spans="28:29" x14ac:dyDescent="0.25">
      <c r="AB89" s="53" t="s">
        <v>421</v>
      </c>
      <c r="AC89" s="52" t="s">
        <v>421</v>
      </c>
    </row>
    <row r="90" spans="28:29" x14ac:dyDescent="0.25">
      <c r="AB90" s="53" t="s">
        <v>422</v>
      </c>
      <c r="AC90" s="52" t="s">
        <v>507</v>
      </c>
    </row>
    <row r="91" spans="28:29" x14ac:dyDescent="0.25">
      <c r="AB91" s="53"/>
      <c r="AC91" s="52"/>
    </row>
    <row r="92" spans="28:29" x14ac:dyDescent="0.25">
      <c r="AB92" s="53" t="s">
        <v>455</v>
      </c>
      <c r="AC92" s="52"/>
    </row>
    <row r="93" spans="28:29" x14ac:dyDescent="0.25">
      <c r="AB93" s="53" t="s">
        <v>425</v>
      </c>
      <c r="AC93" s="52">
        <v>0.16850000000000001</v>
      </c>
    </row>
    <row r="94" spans="28:29" x14ac:dyDescent="0.25">
      <c r="AB94" s="53" t="s">
        <v>426</v>
      </c>
      <c r="AC94" s="52" t="s">
        <v>445</v>
      </c>
    </row>
    <row r="95" spans="28:29" x14ac:dyDescent="0.25">
      <c r="AB95" s="53" t="s">
        <v>428</v>
      </c>
      <c r="AC95" s="52" t="s">
        <v>446</v>
      </c>
    </row>
    <row r="96" spans="28:29" x14ac:dyDescent="0.25">
      <c r="AB96" s="53" t="s">
        <v>430</v>
      </c>
      <c r="AC96" s="52" t="s">
        <v>431</v>
      </c>
    </row>
    <row r="97" spans="28:29" x14ac:dyDescent="0.25">
      <c r="AB97" s="53" t="s">
        <v>432</v>
      </c>
      <c r="AC97" s="52" t="s">
        <v>516</v>
      </c>
    </row>
    <row r="98" spans="28:29" x14ac:dyDescent="0.25">
      <c r="AB98" s="53" t="s">
        <v>457</v>
      </c>
      <c r="AC98" s="52">
        <v>3</v>
      </c>
    </row>
    <row r="99" spans="28:29" x14ac:dyDescent="0.25">
      <c r="AB99" s="53"/>
      <c r="AC99" s="52"/>
    </row>
    <row r="100" spans="28:29" x14ac:dyDescent="0.25">
      <c r="AB100" s="53" t="s">
        <v>434</v>
      </c>
      <c r="AC100" s="52"/>
    </row>
    <row r="101" spans="28:29" x14ac:dyDescent="0.25">
      <c r="AB101" s="53" t="s">
        <v>458</v>
      </c>
      <c r="AC101" s="52">
        <v>-11</v>
      </c>
    </row>
    <row r="102" spans="28:29" x14ac:dyDescent="0.25">
      <c r="AB102" s="53" t="s">
        <v>459</v>
      </c>
      <c r="AC102" s="52">
        <v>9</v>
      </c>
    </row>
    <row r="103" spans="28:29" x14ac:dyDescent="0.25">
      <c r="AB103" s="53" t="s">
        <v>460</v>
      </c>
      <c r="AC103" s="52">
        <v>5.1959999999999997</v>
      </c>
    </row>
    <row r="104" spans="28:29" x14ac:dyDescent="0.25">
      <c r="AB104" s="53" t="s">
        <v>439</v>
      </c>
      <c r="AC104" s="52" t="s">
        <v>517</v>
      </c>
    </row>
    <row r="105" spans="28:29" x14ac:dyDescent="0.25">
      <c r="AB105" s="53" t="s">
        <v>462</v>
      </c>
      <c r="AC105" s="52">
        <v>0.69140000000000001</v>
      </c>
    </row>
    <row r="106" spans="28:29" x14ac:dyDescent="0.25">
      <c r="AB106" s="53"/>
      <c r="AC106" s="52"/>
    </row>
    <row r="107" spans="28:29" x14ac:dyDescent="0.25">
      <c r="AB107" s="53" t="s">
        <v>463</v>
      </c>
      <c r="AC107" s="52"/>
    </row>
    <row r="108" spans="28:29" x14ac:dyDescent="0.25">
      <c r="AB108" s="53" t="s">
        <v>464</v>
      </c>
      <c r="AC108" s="52">
        <v>-0.84860000000000002</v>
      </c>
    </row>
    <row r="109" spans="28:29" x14ac:dyDescent="0.25">
      <c r="AB109" s="53" t="s">
        <v>465</v>
      </c>
      <c r="AC109" s="52">
        <v>0.17749999999999999</v>
      </c>
    </row>
    <row r="110" spans="28:29" x14ac:dyDescent="0.25">
      <c r="AB110" s="53" t="s">
        <v>426</v>
      </c>
      <c r="AC110" s="52" t="s">
        <v>445</v>
      </c>
    </row>
    <row r="111" spans="28:29" x14ac:dyDescent="0.25">
      <c r="AB111" s="53" t="s">
        <v>466</v>
      </c>
      <c r="AC111" s="52" t="s">
        <v>446</v>
      </c>
    </row>
    <row r="113" spans="28:29" x14ac:dyDescent="0.25">
      <c r="AB113" s="52" t="s">
        <v>519</v>
      </c>
    </row>
    <row r="114" spans="28:29" x14ac:dyDescent="0.25">
      <c r="AB114" s="53"/>
      <c r="AC114" s="52"/>
    </row>
    <row r="115" spans="28:29" x14ac:dyDescent="0.25">
      <c r="AB115" s="53" t="s">
        <v>419</v>
      </c>
      <c r="AC115" s="52" t="s">
        <v>506</v>
      </c>
    </row>
    <row r="116" spans="28:29" x14ac:dyDescent="0.25">
      <c r="AB116" s="53" t="s">
        <v>421</v>
      </c>
      <c r="AC116" s="52" t="s">
        <v>421</v>
      </c>
    </row>
    <row r="117" spans="28:29" x14ac:dyDescent="0.25">
      <c r="AB117" s="53" t="s">
        <v>422</v>
      </c>
      <c r="AC117" s="52" t="s">
        <v>507</v>
      </c>
    </row>
    <row r="118" spans="28:29" x14ac:dyDescent="0.25">
      <c r="AB118" s="53"/>
      <c r="AC118" s="52"/>
    </row>
    <row r="119" spans="28:29" x14ac:dyDescent="0.25">
      <c r="AB119" s="53" t="s">
        <v>455</v>
      </c>
      <c r="AC119" s="52"/>
    </row>
    <row r="120" spans="28:29" x14ac:dyDescent="0.25">
      <c r="AB120" s="53" t="s">
        <v>425</v>
      </c>
      <c r="AC120" s="52">
        <v>0.2132</v>
      </c>
    </row>
    <row r="121" spans="28:29" x14ac:dyDescent="0.25">
      <c r="AB121" s="53" t="s">
        <v>426</v>
      </c>
      <c r="AC121" s="52" t="s">
        <v>445</v>
      </c>
    </row>
    <row r="122" spans="28:29" x14ac:dyDescent="0.25">
      <c r="AB122" s="53" t="s">
        <v>428</v>
      </c>
      <c r="AC122" s="52" t="s">
        <v>446</v>
      </c>
    </row>
    <row r="123" spans="28:29" x14ac:dyDescent="0.25">
      <c r="AB123" s="53" t="s">
        <v>430</v>
      </c>
      <c r="AC123" s="52" t="s">
        <v>431</v>
      </c>
    </row>
    <row r="124" spans="28:29" x14ac:dyDescent="0.25">
      <c r="AB124" s="53" t="s">
        <v>432</v>
      </c>
      <c r="AC124" s="52" t="s">
        <v>520</v>
      </c>
    </row>
    <row r="125" spans="28:29" x14ac:dyDescent="0.25">
      <c r="AB125" s="53" t="s">
        <v>457</v>
      </c>
      <c r="AC125" s="52">
        <v>3</v>
      </c>
    </row>
    <row r="126" spans="28:29" x14ac:dyDescent="0.25">
      <c r="AB126" s="53"/>
      <c r="AC126" s="52"/>
    </row>
    <row r="127" spans="28:29" x14ac:dyDescent="0.25">
      <c r="AB127" s="53" t="s">
        <v>434</v>
      </c>
      <c r="AC127" s="52"/>
    </row>
    <row r="128" spans="28:29" x14ac:dyDescent="0.25">
      <c r="AB128" s="53" t="s">
        <v>458</v>
      </c>
      <c r="AC128" s="52">
        <v>-4.3330000000000002</v>
      </c>
    </row>
    <row r="129" spans="28:29" x14ac:dyDescent="0.25">
      <c r="AB129" s="53" t="s">
        <v>459</v>
      </c>
      <c r="AC129" s="52">
        <v>4.1630000000000003</v>
      </c>
    </row>
    <row r="130" spans="28:29" x14ac:dyDescent="0.25">
      <c r="AB130" s="53" t="s">
        <v>460</v>
      </c>
      <c r="AC130" s="52">
        <v>2.4039999999999999</v>
      </c>
    </row>
    <row r="131" spans="28:29" x14ac:dyDescent="0.25">
      <c r="AB131" s="53" t="s">
        <v>439</v>
      </c>
      <c r="AC131" s="52" t="s">
        <v>521</v>
      </c>
    </row>
    <row r="132" spans="28:29" x14ac:dyDescent="0.25">
      <c r="AB132" s="53" t="s">
        <v>462</v>
      </c>
      <c r="AC132" s="52">
        <v>0.61899999999999999</v>
      </c>
    </row>
    <row r="133" spans="28:29" x14ac:dyDescent="0.25">
      <c r="AB133" s="53"/>
      <c r="AC133" s="52"/>
    </row>
    <row r="134" spans="28:29" x14ac:dyDescent="0.25">
      <c r="AB134" s="53" t="s">
        <v>463</v>
      </c>
      <c r="AC134" s="52"/>
    </row>
    <row r="135" spans="28:29" x14ac:dyDescent="0.25">
      <c r="AB135" s="53" t="s">
        <v>464</v>
      </c>
      <c r="AC135" s="52">
        <v>0.23619999999999999</v>
      </c>
    </row>
    <row r="136" spans="28:29" x14ac:dyDescent="0.25">
      <c r="AB136" s="53" t="s">
        <v>465</v>
      </c>
      <c r="AC136" s="52">
        <v>0.42409999999999998</v>
      </c>
    </row>
    <row r="137" spans="28:29" x14ac:dyDescent="0.25">
      <c r="AB137" s="53" t="s">
        <v>426</v>
      </c>
      <c r="AC137" s="52" t="s">
        <v>445</v>
      </c>
    </row>
    <row r="138" spans="28:29" x14ac:dyDescent="0.25">
      <c r="AB138" s="53" t="s">
        <v>466</v>
      </c>
      <c r="AC138" s="52" t="s">
        <v>446</v>
      </c>
    </row>
    <row r="140" spans="28:29" x14ac:dyDescent="0.25">
      <c r="AB140" s="52" t="s">
        <v>527</v>
      </c>
      <c r="AC140" s="52" t="s">
        <v>522</v>
      </c>
    </row>
    <row r="141" spans="28:29" x14ac:dyDescent="0.25">
      <c r="AB141" s="53"/>
      <c r="AC141" s="52"/>
    </row>
    <row r="142" spans="28:29" x14ac:dyDescent="0.25">
      <c r="AB142" s="53" t="s">
        <v>419</v>
      </c>
      <c r="AC142" s="52" t="s">
        <v>506</v>
      </c>
    </row>
    <row r="143" spans="28:29" x14ac:dyDescent="0.25">
      <c r="AB143" s="53" t="s">
        <v>421</v>
      </c>
      <c r="AC143" s="52" t="s">
        <v>421</v>
      </c>
    </row>
    <row r="144" spans="28:29" x14ac:dyDescent="0.25">
      <c r="AB144" s="53" t="s">
        <v>422</v>
      </c>
      <c r="AC144" s="52" t="s">
        <v>507</v>
      </c>
    </row>
    <row r="145" spans="28:29" x14ac:dyDescent="0.25">
      <c r="AB145" s="53"/>
      <c r="AC145" s="52"/>
    </row>
    <row r="146" spans="28:29" x14ac:dyDescent="0.25">
      <c r="AB146" s="53" t="s">
        <v>424</v>
      </c>
      <c r="AC146" s="52"/>
    </row>
    <row r="147" spans="28:29" x14ac:dyDescent="0.25">
      <c r="AB147" s="53" t="s">
        <v>425</v>
      </c>
      <c r="AC147" s="52">
        <v>2.4899999999999999E-2</v>
      </c>
    </row>
    <row r="148" spans="28:29" x14ac:dyDescent="0.25">
      <c r="AB148" s="53" t="s">
        <v>426</v>
      </c>
      <c r="AC148" s="52" t="s">
        <v>508</v>
      </c>
    </row>
    <row r="149" spans="28:29" x14ac:dyDescent="0.25">
      <c r="AB149" s="53" t="s">
        <v>428</v>
      </c>
      <c r="AC149" s="52" t="s">
        <v>429</v>
      </c>
    </row>
    <row r="150" spans="28:29" x14ac:dyDescent="0.25">
      <c r="AB150" s="53" t="s">
        <v>430</v>
      </c>
      <c r="AC150" s="52" t="s">
        <v>431</v>
      </c>
    </row>
    <row r="151" spans="28:29" x14ac:dyDescent="0.25">
      <c r="AB151" s="53" t="s">
        <v>432</v>
      </c>
      <c r="AC151" s="52" t="s">
        <v>523</v>
      </c>
    </row>
    <row r="152" spans="28:29" x14ac:dyDescent="0.25">
      <c r="AB152" s="53"/>
      <c r="AC152" s="52"/>
    </row>
    <row r="153" spans="28:29" x14ac:dyDescent="0.25">
      <c r="AB153" s="53" t="s">
        <v>434</v>
      </c>
      <c r="AC153" s="52"/>
    </row>
    <row r="154" spans="28:29" x14ac:dyDescent="0.25">
      <c r="AB154" s="53" t="s">
        <v>435</v>
      </c>
      <c r="AC154" s="52">
        <v>55</v>
      </c>
    </row>
    <row r="155" spans="28:29" x14ac:dyDescent="0.25">
      <c r="AB155" s="53" t="s">
        <v>436</v>
      </c>
      <c r="AC155" s="52">
        <v>78.33</v>
      </c>
    </row>
    <row r="156" spans="28:29" x14ac:dyDescent="0.25">
      <c r="AB156" s="53" t="s">
        <v>437</v>
      </c>
      <c r="AC156" s="52" t="s">
        <v>524</v>
      </c>
    </row>
    <row r="157" spans="28:29" x14ac:dyDescent="0.25">
      <c r="AB157" s="53" t="s">
        <v>439</v>
      </c>
      <c r="AC157" s="52" t="s">
        <v>525</v>
      </c>
    </row>
    <row r="158" spans="28:29" x14ac:dyDescent="0.25">
      <c r="AB158" s="53" t="s">
        <v>441</v>
      </c>
      <c r="AC158" s="52">
        <v>0.75380000000000003</v>
      </c>
    </row>
    <row r="159" spans="28:29" x14ac:dyDescent="0.25">
      <c r="AB159" s="53"/>
      <c r="AC159" s="52"/>
    </row>
    <row r="160" spans="28:29" x14ac:dyDescent="0.25">
      <c r="AB160" s="53" t="s">
        <v>442</v>
      </c>
      <c r="AC160" s="52"/>
    </row>
    <row r="161" spans="28:29" x14ac:dyDescent="0.25">
      <c r="AB161" s="53" t="s">
        <v>443</v>
      </c>
      <c r="AC161" s="52" t="s">
        <v>526</v>
      </c>
    </row>
    <row r="162" spans="28:29" x14ac:dyDescent="0.25">
      <c r="AB162" s="53" t="s">
        <v>425</v>
      </c>
      <c r="AC162" s="52">
        <v>0.375</v>
      </c>
    </row>
    <row r="163" spans="28:29" x14ac:dyDescent="0.25">
      <c r="AB163" s="53" t="s">
        <v>426</v>
      </c>
      <c r="AC163" s="52" t="s">
        <v>445</v>
      </c>
    </row>
    <row r="164" spans="28:29" x14ac:dyDescent="0.25">
      <c r="AB164" s="53" t="s">
        <v>428</v>
      </c>
      <c r="AC164" s="52" t="s">
        <v>446</v>
      </c>
    </row>
    <row r="165" spans="28:29" x14ac:dyDescent="0.25">
      <c r="AB165" s="53"/>
      <c r="AC165" s="52"/>
    </row>
    <row r="166" spans="28:29" x14ac:dyDescent="0.25">
      <c r="AB166" s="53" t="s">
        <v>447</v>
      </c>
      <c r="AC166" s="52"/>
    </row>
    <row r="167" spans="28:29" x14ac:dyDescent="0.25">
      <c r="AB167" s="53" t="s">
        <v>448</v>
      </c>
      <c r="AC167" s="52">
        <v>3</v>
      </c>
    </row>
    <row r="168" spans="28:29" x14ac:dyDescent="0.25">
      <c r="AB168" s="53" t="s">
        <v>449</v>
      </c>
      <c r="AC168" s="52">
        <v>3</v>
      </c>
    </row>
  </sheetData>
  <mergeCells count="1">
    <mergeCell ref="T3:U3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90837-9C98-48F2-A68F-664978D6FB4F}">
  <dimension ref="A1:H50"/>
  <sheetViews>
    <sheetView topLeftCell="A16" workbookViewId="0">
      <selection activeCell="A29" sqref="A29:XFD30"/>
    </sheetView>
  </sheetViews>
  <sheetFormatPr defaultColWidth="12.44140625" defaultRowHeight="13.8" x14ac:dyDescent="0.25"/>
  <cols>
    <col min="1" max="2" width="20.77734375" customWidth="1"/>
    <col min="3" max="3" width="13.44140625" customWidth="1"/>
    <col min="4" max="5" width="22.21875" customWidth="1"/>
    <col min="6" max="6" width="13.44140625" customWidth="1"/>
    <col min="7" max="8" width="19.77734375" customWidth="1"/>
  </cols>
  <sheetData>
    <row r="1" spans="1:8" x14ac:dyDescent="0.25">
      <c r="A1" t="s">
        <v>528</v>
      </c>
      <c r="D1" t="s">
        <v>529</v>
      </c>
      <c r="G1" t="s">
        <v>530</v>
      </c>
    </row>
    <row r="2" spans="1:8" x14ac:dyDescent="0.25">
      <c r="A2" s="152" t="s">
        <v>531</v>
      </c>
      <c r="B2" s="152"/>
      <c r="D2" s="152" t="s">
        <v>532</v>
      </c>
      <c r="E2" s="152"/>
      <c r="G2" s="152" t="s">
        <v>533</v>
      </c>
      <c r="H2" s="152"/>
    </row>
    <row r="3" spans="1:8" ht="15.6" x14ac:dyDescent="0.25">
      <c r="A3" s="56" t="s">
        <v>534</v>
      </c>
      <c r="B3" s="56" t="s">
        <v>535</v>
      </c>
      <c r="D3" s="56" t="s">
        <v>534</v>
      </c>
      <c r="E3" s="56" t="s">
        <v>535</v>
      </c>
      <c r="G3" s="56" t="s">
        <v>534</v>
      </c>
      <c r="H3" s="56" t="s">
        <v>535</v>
      </c>
    </row>
    <row r="4" spans="1:8" x14ac:dyDescent="0.25">
      <c r="A4">
        <v>25</v>
      </c>
      <c r="B4">
        <v>9</v>
      </c>
      <c r="D4" s="52">
        <v>6</v>
      </c>
      <c r="E4" s="52">
        <v>16</v>
      </c>
      <c r="G4" s="52">
        <v>6</v>
      </c>
      <c r="H4" s="52">
        <v>9</v>
      </c>
    </row>
    <row r="5" spans="1:8" x14ac:dyDescent="0.25">
      <c r="A5">
        <v>15</v>
      </c>
      <c r="B5">
        <v>6</v>
      </c>
      <c r="D5" s="52">
        <v>11</v>
      </c>
      <c r="E5" s="52">
        <v>17</v>
      </c>
      <c r="G5" s="52">
        <v>10</v>
      </c>
      <c r="H5" s="52">
        <v>15</v>
      </c>
    </row>
    <row r="6" spans="1:8" x14ac:dyDescent="0.25">
      <c r="A6">
        <v>20</v>
      </c>
      <c r="B6">
        <v>6</v>
      </c>
      <c r="D6" s="52">
        <v>16</v>
      </c>
      <c r="E6" s="52">
        <v>16</v>
      </c>
      <c r="G6" s="52">
        <v>16</v>
      </c>
      <c r="H6" s="52">
        <v>14</v>
      </c>
    </row>
    <row r="7" spans="1:8" x14ac:dyDescent="0.25">
      <c r="A7">
        <v>21</v>
      </c>
      <c r="B7">
        <v>16</v>
      </c>
      <c r="G7" s="52">
        <v>9</v>
      </c>
      <c r="H7" s="52">
        <v>8</v>
      </c>
    </row>
    <row r="8" spans="1:8" x14ac:dyDescent="0.25">
      <c r="A8">
        <v>15</v>
      </c>
      <c r="B8">
        <v>6</v>
      </c>
      <c r="G8" s="52">
        <v>7</v>
      </c>
      <c r="H8" s="52">
        <v>7</v>
      </c>
    </row>
    <row r="9" spans="1:8" x14ac:dyDescent="0.25">
      <c r="A9">
        <v>25</v>
      </c>
      <c r="B9">
        <v>17</v>
      </c>
      <c r="G9" s="52">
        <v>6</v>
      </c>
      <c r="H9" s="52">
        <v>10</v>
      </c>
    </row>
    <row r="10" spans="1:8" x14ac:dyDescent="0.25">
      <c r="A10">
        <v>21</v>
      </c>
      <c r="B10">
        <v>10</v>
      </c>
      <c r="H10" s="52">
        <v>12</v>
      </c>
    </row>
    <row r="11" spans="1:8" x14ac:dyDescent="0.25">
      <c r="A11">
        <v>25</v>
      </c>
      <c r="B11">
        <v>14</v>
      </c>
    </row>
    <row r="12" spans="1:8" x14ac:dyDescent="0.25">
      <c r="A12">
        <v>37</v>
      </c>
      <c r="B12">
        <v>21</v>
      </c>
    </row>
    <row r="13" spans="1:8" x14ac:dyDescent="0.25">
      <c r="A13">
        <v>24</v>
      </c>
      <c r="B13">
        <v>36</v>
      </c>
    </row>
    <row r="14" spans="1:8" x14ac:dyDescent="0.25">
      <c r="B14">
        <v>27</v>
      </c>
    </row>
    <row r="15" spans="1:8" x14ac:dyDescent="0.25">
      <c r="B15">
        <v>29</v>
      </c>
    </row>
    <row r="16" spans="1:8" x14ac:dyDescent="0.25">
      <c r="B16">
        <v>33</v>
      </c>
    </row>
    <row r="17" spans="1:8" x14ac:dyDescent="0.25">
      <c r="B17">
        <v>13</v>
      </c>
    </row>
    <row r="18" spans="1:8" x14ac:dyDescent="0.25">
      <c r="B18">
        <v>27</v>
      </c>
    </row>
    <row r="21" spans="1:8" x14ac:dyDescent="0.25">
      <c r="A21" s="153" t="s">
        <v>578</v>
      </c>
      <c r="B21" s="153"/>
      <c r="C21" s="153"/>
      <c r="D21" s="153"/>
      <c r="E21" s="153"/>
      <c r="F21" s="153"/>
      <c r="G21" s="153"/>
      <c r="H21" s="153"/>
    </row>
    <row r="22" spans="1:8" x14ac:dyDescent="0.25">
      <c r="A22" s="52" t="s">
        <v>556</v>
      </c>
      <c r="D22" s="52" t="s">
        <v>561</v>
      </c>
      <c r="G22" s="52" t="s">
        <v>565</v>
      </c>
    </row>
    <row r="23" spans="1:8" x14ac:dyDescent="0.25">
      <c r="A23" s="53"/>
      <c r="B23" s="52"/>
      <c r="D23" s="53"/>
      <c r="E23" s="52"/>
      <c r="G23" s="53"/>
      <c r="H23" s="52"/>
    </row>
    <row r="24" spans="1:8" ht="15.6" x14ac:dyDescent="0.25">
      <c r="A24" s="53" t="s">
        <v>419</v>
      </c>
      <c r="B24" s="52" t="s">
        <v>535</v>
      </c>
      <c r="D24" s="53" t="s">
        <v>419</v>
      </c>
      <c r="E24" s="52" t="s">
        <v>535</v>
      </c>
      <c r="G24" s="53" t="s">
        <v>419</v>
      </c>
      <c r="H24" s="52" t="s">
        <v>535</v>
      </c>
    </row>
    <row r="25" spans="1:8" x14ac:dyDescent="0.25">
      <c r="A25" s="53" t="s">
        <v>421</v>
      </c>
      <c r="B25" s="52" t="s">
        <v>421</v>
      </c>
      <c r="D25" s="53" t="s">
        <v>421</v>
      </c>
      <c r="E25" s="52" t="s">
        <v>421</v>
      </c>
      <c r="G25" s="53" t="s">
        <v>421</v>
      </c>
      <c r="H25" s="52" t="s">
        <v>421</v>
      </c>
    </row>
    <row r="26" spans="1:8" ht="15.6" x14ac:dyDescent="0.25">
      <c r="A26" s="53" t="s">
        <v>422</v>
      </c>
      <c r="B26" s="52" t="s">
        <v>534</v>
      </c>
      <c r="D26" s="53" t="s">
        <v>422</v>
      </c>
      <c r="E26" s="52" t="s">
        <v>534</v>
      </c>
      <c r="G26" s="53" t="s">
        <v>422</v>
      </c>
      <c r="H26" s="52" t="s">
        <v>534</v>
      </c>
    </row>
    <row r="27" spans="1:8" x14ac:dyDescent="0.25">
      <c r="A27" s="53"/>
      <c r="B27" s="52"/>
      <c r="D27" s="53"/>
      <c r="E27" s="52"/>
      <c r="G27" s="53"/>
      <c r="H27" s="52"/>
    </row>
    <row r="28" spans="1:8" x14ac:dyDescent="0.25">
      <c r="A28" s="53" t="s">
        <v>424</v>
      </c>
      <c r="B28" s="52"/>
      <c r="D28" s="53" t="s">
        <v>424</v>
      </c>
      <c r="E28" s="52"/>
      <c r="G28" s="53" t="s">
        <v>424</v>
      </c>
      <c r="H28" s="52"/>
    </row>
    <row r="29" spans="1:8" x14ac:dyDescent="0.25">
      <c r="A29" s="53" t="s">
        <v>425</v>
      </c>
      <c r="B29" s="52">
        <v>0.19900000000000001</v>
      </c>
      <c r="D29" s="53" t="s">
        <v>425</v>
      </c>
      <c r="E29" s="52">
        <v>0.1404</v>
      </c>
      <c r="G29" s="53" t="s">
        <v>425</v>
      </c>
      <c r="H29" s="52">
        <v>0.38469999999999999</v>
      </c>
    </row>
    <row r="30" spans="1:8" x14ac:dyDescent="0.25">
      <c r="A30" s="53" t="s">
        <v>426</v>
      </c>
      <c r="B30" s="52" t="s">
        <v>445</v>
      </c>
      <c r="D30" s="53" t="s">
        <v>426</v>
      </c>
      <c r="E30" s="52" t="s">
        <v>445</v>
      </c>
      <c r="G30" s="53" t="s">
        <v>426</v>
      </c>
      <c r="H30" s="52" t="s">
        <v>445</v>
      </c>
    </row>
    <row r="31" spans="1:8" x14ac:dyDescent="0.25">
      <c r="A31" s="53" t="s">
        <v>428</v>
      </c>
      <c r="B31" s="52" t="s">
        <v>446</v>
      </c>
      <c r="D31" s="53" t="s">
        <v>428</v>
      </c>
      <c r="E31" s="52" t="s">
        <v>446</v>
      </c>
      <c r="G31" s="53" t="s">
        <v>428</v>
      </c>
      <c r="H31" s="52" t="s">
        <v>446</v>
      </c>
    </row>
    <row r="32" spans="1:8" x14ac:dyDescent="0.25">
      <c r="A32" s="53" t="s">
        <v>430</v>
      </c>
      <c r="B32" s="52" t="s">
        <v>431</v>
      </c>
      <c r="D32" s="53" t="s">
        <v>430</v>
      </c>
      <c r="E32" s="52" t="s">
        <v>431</v>
      </c>
      <c r="G32" s="53" t="s">
        <v>430</v>
      </c>
      <c r="H32" s="52" t="s">
        <v>431</v>
      </c>
    </row>
    <row r="33" spans="1:8" x14ac:dyDescent="0.25">
      <c r="A33" s="53" t="s">
        <v>432</v>
      </c>
      <c r="B33" s="52" t="s">
        <v>557</v>
      </c>
      <c r="D33" s="53" t="s">
        <v>432</v>
      </c>
      <c r="E33" s="52" t="s">
        <v>570</v>
      </c>
      <c r="G33" s="53" t="s">
        <v>432</v>
      </c>
      <c r="H33" s="52" t="s">
        <v>566</v>
      </c>
    </row>
    <row r="34" spans="1:8" x14ac:dyDescent="0.25">
      <c r="A34" s="53"/>
      <c r="B34" s="52"/>
      <c r="D34" s="53"/>
      <c r="E34" s="52"/>
      <c r="G34" s="53"/>
      <c r="H34" s="52"/>
    </row>
    <row r="35" spans="1:8" x14ac:dyDescent="0.25">
      <c r="A35" s="53" t="s">
        <v>434</v>
      </c>
      <c r="B35" s="52"/>
      <c r="D35" s="53" t="s">
        <v>434</v>
      </c>
      <c r="E35" s="52"/>
      <c r="G35" s="53" t="s">
        <v>434</v>
      </c>
      <c r="H35" s="52"/>
    </row>
    <row r="36" spans="1:8" x14ac:dyDescent="0.25">
      <c r="A36" s="53" t="s">
        <v>435</v>
      </c>
      <c r="B36" s="52">
        <v>22.8</v>
      </c>
      <c r="D36" s="53" t="s">
        <v>435</v>
      </c>
      <c r="E36" s="52">
        <v>11</v>
      </c>
      <c r="G36" s="53" t="s">
        <v>435</v>
      </c>
      <c r="H36" s="52">
        <v>9</v>
      </c>
    </row>
    <row r="37" spans="1:8" x14ac:dyDescent="0.25">
      <c r="A37" s="53" t="s">
        <v>436</v>
      </c>
      <c r="B37" s="52">
        <v>18</v>
      </c>
      <c r="D37" s="53" t="s">
        <v>436</v>
      </c>
      <c r="E37" s="52">
        <v>16.329999999999998</v>
      </c>
      <c r="G37" s="53" t="s">
        <v>436</v>
      </c>
      <c r="H37" s="52">
        <v>10.71</v>
      </c>
    </row>
    <row r="38" spans="1:8" x14ac:dyDescent="0.25">
      <c r="A38" s="53" t="s">
        <v>437</v>
      </c>
      <c r="B38" s="52" t="s">
        <v>558</v>
      </c>
      <c r="D38" s="53" t="s">
        <v>437</v>
      </c>
      <c r="E38" s="52" t="s">
        <v>562</v>
      </c>
      <c r="G38" s="53" t="s">
        <v>437</v>
      </c>
      <c r="H38" s="52" t="s">
        <v>567</v>
      </c>
    </row>
    <row r="39" spans="1:8" x14ac:dyDescent="0.25">
      <c r="A39" s="53" t="s">
        <v>439</v>
      </c>
      <c r="B39" s="52" t="s">
        <v>559</v>
      </c>
      <c r="D39" s="53" t="s">
        <v>439</v>
      </c>
      <c r="E39" s="52" t="s">
        <v>563</v>
      </c>
      <c r="G39" s="53" t="s">
        <v>439</v>
      </c>
      <c r="H39" s="52" t="s">
        <v>568</v>
      </c>
    </row>
    <row r="40" spans="1:8" x14ac:dyDescent="0.25">
      <c r="A40" s="53" t="s">
        <v>441</v>
      </c>
      <c r="B40" s="52">
        <v>7.0680000000000007E-2</v>
      </c>
      <c r="D40" s="53" t="s">
        <v>441</v>
      </c>
      <c r="E40" s="52">
        <v>0.45710000000000001</v>
      </c>
      <c r="G40" s="53" t="s">
        <v>441</v>
      </c>
      <c r="H40" s="52">
        <v>6.9339999999999999E-2</v>
      </c>
    </row>
    <row r="41" spans="1:8" x14ac:dyDescent="0.25">
      <c r="A41" s="53"/>
      <c r="B41" s="52"/>
      <c r="D41" s="53"/>
      <c r="E41" s="52"/>
      <c r="G41" s="53"/>
      <c r="H41" s="52"/>
    </row>
    <row r="42" spans="1:8" x14ac:dyDescent="0.25">
      <c r="A42" s="53" t="s">
        <v>442</v>
      </c>
      <c r="B42" s="52"/>
      <c r="D42" s="53" t="s">
        <v>442</v>
      </c>
      <c r="E42" s="52"/>
      <c r="G42" s="53" t="s">
        <v>442</v>
      </c>
      <c r="H42" s="52"/>
    </row>
    <row r="43" spans="1:8" x14ac:dyDescent="0.25">
      <c r="A43" s="53" t="s">
        <v>443</v>
      </c>
      <c r="B43" s="52" t="s">
        <v>560</v>
      </c>
      <c r="D43" s="53" t="s">
        <v>443</v>
      </c>
      <c r="E43" s="52" t="s">
        <v>564</v>
      </c>
      <c r="G43" s="53" t="s">
        <v>443</v>
      </c>
      <c r="H43" s="52" t="s">
        <v>569</v>
      </c>
    </row>
    <row r="44" spans="1:8" x14ac:dyDescent="0.25">
      <c r="A44" s="53" t="s">
        <v>425</v>
      </c>
      <c r="B44" s="52">
        <v>0.14369999999999999</v>
      </c>
      <c r="D44" s="53" t="s">
        <v>425</v>
      </c>
      <c r="E44" s="52">
        <v>2.63E-2</v>
      </c>
      <c r="G44" s="53" t="s">
        <v>425</v>
      </c>
      <c r="H44" s="52">
        <v>0.6008</v>
      </c>
    </row>
    <row r="45" spans="1:8" x14ac:dyDescent="0.25">
      <c r="A45" s="53" t="s">
        <v>426</v>
      </c>
      <c r="B45" s="52" t="s">
        <v>445</v>
      </c>
      <c r="D45" s="53" t="s">
        <v>426</v>
      </c>
      <c r="E45" s="52" t="s">
        <v>508</v>
      </c>
      <c r="G45" s="53" t="s">
        <v>426</v>
      </c>
      <c r="H45" s="52" t="s">
        <v>445</v>
      </c>
    </row>
    <row r="46" spans="1:8" x14ac:dyDescent="0.25">
      <c r="A46" s="53" t="s">
        <v>428</v>
      </c>
      <c r="B46" s="52" t="s">
        <v>446</v>
      </c>
      <c r="D46" s="53" t="s">
        <v>428</v>
      </c>
      <c r="E46" s="52" t="s">
        <v>429</v>
      </c>
      <c r="G46" s="53" t="s">
        <v>428</v>
      </c>
      <c r="H46" s="52" t="s">
        <v>446</v>
      </c>
    </row>
    <row r="47" spans="1:8" x14ac:dyDescent="0.25">
      <c r="A47" s="53"/>
      <c r="B47" s="52"/>
      <c r="D47" s="53"/>
      <c r="E47" s="52"/>
      <c r="G47" s="53"/>
      <c r="H47" s="52"/>
    </row>
    <row r="48" spans="1:8" x14ac:dyDescent="0.25">
      <c r="A48" s="53" t="s">
        <v>447</v>
      </c>
      <c r="B48" s="52"/>
      <c r="D48" s="53" t="s">
        <v>447</v>
      </c>
      <c r="E48" s="52"/>
      <c r="G48" s="53" t="s">
        <v>447</v>
      </c>
      <c r="H48" s="52"/>
    </row>
    <row r="49" spans="1:8" x14ac:dyDescent="0.25">
      <c r="A49" s="53" t="s">
        <v>448</v>
      </c>
      <c r="B49" s="52">
        <v>10</v>
      </c>
      <c r="D49" s="53" t="s">
        <v>448</v>
      </c>
      <c r="E49" s="52">
        <v>3</v>
      </c>
      <c r="G49" s="53" t="s">
        <v>448</v>
      </c>
      <c r="H49" s="52">
        <v>6</v>
      </c>
    </row>
    <row r="50" spans="1:8" x14ac:dyDescent="0.25">
      <c r="A50" s="53" t="s">
        <v>449</v>
      </c>
      <c r="B50" s="52">
        <v>15</v>
      </c>
      <c r="D50" s="53" t="s">
        <v>449</v>
      </c>
      <c r="E50" s="52">
        <v>3</v>
      </c>
      <c r="G50" s="53" t="s">
        <v>449</v>
      </c>
      <c r="H50" s="52">
        <v>7</v>
      </c>
    </row>
  </sheetData>
  <mergeCells count="4">
    <mergeCell ref="A2:B2"/>
    <mergeCell ref="D2:E2"/>
    <mergeCell ref="G2:H2"/>
    <mergeCell ref="A21:H2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62EC-1B3C-4FD5-866E-87245904FDC0}">
  <dimension ref="A1:N43"/>
  <sheetViews>
    <sheetView topLeftCell="H1" workbookViewId="0">
      <selection activeCell="M10" sqref="M10"/>
    </sheetView>
  </sheetViews>
  <sheetFormatPr defaultRowHeight="13.8" x14ac:dyDescent="0.25"/>
  <cols>
    <col min="1" max="1" width="15.88671875" style="55" customWidth="1"/>
    <col min="2" max="8" width="16.33203125" style="55" customWidth="1"/>
    <col min="9" max="11" width="15.33203125" style="55" customWidth="1"/>
    <col min="12" max="12" width="15.33203125" customWidth="1"/>
    <col min="13" max="13" width="28.77734375" style="55" customWidth="1"/>
    <col min="14" max="14" width="25.5546875" style="55" customWidth="1"/>
    <col min="15" max="16384" width="8.88671875" style="55"/>
  </cols>
  <sheetData>
    <row r="1" spans="1:14" x14ac:dyDescent="0.25">
      <c r="C1" s="154" t="s">
        <v>536</v>
      </c>
      <c r="D1" s="154"/>
      <c r="E1" s="154"/>
      <c r="F1" s="154"/>
      <c r="G1" s="154"/>
      <c r="H1" s="154"/>
      <c r="I1" s="154"/>
      <c r="J1" s="154"/>
      <c r="K1" s="154"/>
    </row>
    <row r="2" spans="1:14" ht="15.6" x14ac:dyDescent="0.25">
      <c r="B2" s="57" t="s">
        <v>537</v>
      </c>
      <c r="C2" s="57" t="s">
        <v>538</v>
      </c>
      <c r="D2" s="57" t="s">
        <v>539</v>
      </c>
      <c r="E2" s="57" t="s">
        <v>540</v>
      </c>
      <c r="F2" s="57" t="s">
        <v>541</v>
      </c>
      <c r="G2" s="57" t="s">
        <v>542</v>
      </c>
      <c r="H2" s="57" t="s">
        <v>543</v>
      </c>
      <c r="I2" s="57" t="s">
        <v>544</v>
      </c>
      <c r="J2" s="57" t="s">
        <v>545</v>
      </c>
      <c r="K2" s="57" t="s">
        <v>546</v>
      </c>
      <c r="M2" s="55" t="s">
        <v>547</v>
      </c>
    </row>
    <row r="3" spans="1:14" x14ac:dyDescent="0.25">
      <c r="M3" s="155" t="s">
        <v>548</v>
      </c>
      <c r="N3" s="155"/>
    </row>
    <row r="4" spans="1:14" ht="15.6" x14ac:dyDescent="0.25">
      <c r="A4" s="55" t="s">
        <v>549</v>
      </c>
      <c r="B4" s="58">
        <f>B5*100</f>
        <v>4.5454545454545459</v>
      </c>
      <c r="C4" s="58">
        <f t="shared" ref="C4:K4" si="0">C5*100</f>
        <v>8.3333333333333321</v>
      </c>
      <c r="D4" s="58">
        <f t="shared" si="0"/>
        <v>10.344827586206897</v>
      </c>
      <c r="E4" s="58">
        <f t="shared" si="0"/>
        <v>12</v>
      </c>
      <c r="F4" s="58">
        <f t="shared" si="0"/>
        <v>11.538461538461538</v>
      </c>
      <c r="G4" s="58">
        <f t="shared" si="0"/>
        <v>22.222222222222221</v>
      </c>
      <c r="H4" s="58">
        <f t="shared" si="0"/>
        <v>60</v>
      </c>
      <c r="I4" s="58">
        <f t="shared" si="0"/>
        <v>100</v>
      </c>
      <c r="J4" s="58">
        <f t="shared" si="0"/>
        <v>75</v>
      </c>
      <c r="K4" s="58">
        <f t="shared" si="0"/>
        <v>66.666666666666657</v>
      </c>
      <c r="M4" s="57" t="s">
        <v>534</v>
      </c>
      <c r="N4" s="57" t="s">
        <v>535</v>
      </c>
    </row>
    <row r="5" spans="1:14" x14ac:dyDescent="0.25">
      <c r="A5" s="55" t="s">
        <v>550</v>
      </c>
      <c r="B5" s="55">
        <f>1/22</f>
        <v>4.5454545454545456E-2</v>
      </c>
      <c r="C5" s="55">
        <f>1/12</f>
        <v>8.3333333333333329E-2</v>
      </c>
      <c r="D5" s="55">
        <f>3/29</f>
        <v>0.10344827586206896</v>
      </c>
      <c r="E5" s="55">
        <f>3/25</f>
        <v>0.12</v>
      </c>
      <c r="F5" s="55">
        <f>3/26</f>
        <v>0.11538461538461539</v>
      </c>
      <c r="G5" s="55">
        <f>2/9</f>
        <v>0.22222222222222221</v>
      </c>
      <c r="H5" s="55">
        <f>9/15</f>
        <v>0.6</v>
      </c>
      <c r="I5" s="55">
        <f>12/12</f>
        <v>1</v>
      </c>
      <c r="J5" s="55">
        <f>12/16</f>
        <v>0.75</v>
      </c>
      <c r="K5" s="55">
        <f>12/18</f>
        <v>0.66666666666666663</v>
      </c>
      <c r="M5" s="59">
        <v>4.5454545454545459</v>
      </c>
      <c r="N5" s="59">
        <v>22.222222222222221</v>
      </c>
    </row>
    <row r="6" spans="1:14" x14ac:dyDescent="0.25">
      <c r="M6" s="59">
        <v>8.3333333333333321</v>
      </c>
      <c r="N6" s="59">
        <v>60</v>
      </c>
    </row>
    <row r="7" spans="1:14" x14ac:dyDescent="0.25">
      <c r="B7" s="55" t="s">
        <v>551</v>
      </c>
      <c r="C7" s="55" t="s">
        <v>551</v>
      </c>
      <c r="D7" s="55" t="s">
        <v>551</v>
      </c>
      <c r="E7" s="55" t="s">
        <v>551</v>
      </c>
      <c r="F7" s="55" t="s">
        <v>551</v>
      </c>
      <c r="G7" s="55" t="s">
        <v>552</v>
      </c>
      <c r="H7" s="55" t="s">
        <v>552</v>
      </c>
      <c r="I7" s="55" t="s">
        <v>552</v>
      </c>
      <c r="J7" s="55" t="s">
        <v>552</v>
      </c>
      <c r="K7" s="55" t="s">
        <v>552</v>
      </c>
      <c r="M7" s="59">
        <v>10.344827586206897</v>
      </c>
      <c r="N7" s="59">
        <v>100</v>
      </c>
    </row>
    <row r="8" spans="1:14" x14ac:dyDescent="0.25">
      <c r="B8" s="55" t="s">
        <v>552</v>
      </c>
      <c r="C8" s="55" t="s">
        <v>551</v>
      </c>
      <c r="D8" s="55" t="s">
        <v>551</v>
      </c>
      <c r="E8" s="55" t="s">
        <v>551</v>
      </c>
      <c r="F8" s="55" t="s">
        <v>551</v>
      </c>
      <c r="G8" s="55" t="s">
        <v>551</v>
      </c>
      <c r="H8" s="55" t="s">
        <v>552</v>
      </c>
      <c r="I8" s="55" t="s">
        <v>552</v>
      </c>
      <c r="J8" s="55" t="s">
        <v>551</v>
      </c>
      <c r="K8" s="55" t="s">
        <v>552</v>
      </c>
      <c r="M8" s="59">
        <v>12</v>
      </c>
      <c r="N8" s="59">
        <v>75</v>
      </c>
    </row>
    <row r="9" spans="1:14" x14ac:dyDescent="0.25">
      <c r="B9" s="55" t="s">
        <v>551</v>
      </c>
      <c r="C9" s="55" t="s">
        <v>551</v>
      </c>
      <c r="D9" s="55" t="s">
        <v>551</v>
      </c>
      <c r="E9" s="55" t="s">
        <v>551</v>
      </c>
      <c r="F9" s="55" t="s">
        <v>551</v>
      </c>
      <c r="G9" s="55" t="s">
        <v>551</v>
      </c>
      <c r="H9" s="55" t="s">
        <v>552</v>
      </c>
      <c r="I9" s="55" t="s">
        <v>552</v>
      </c>
      <c r="J9" s="55" t="s">
        <v>552</v>
      </c>
      <c r="K9" s="55" t="s">
        <v>552</v>
      </c>
      <c r="M9" s="59">
        <v>11.538461538461538</v>
      </c>
      <c r="N9" s="59">
        <v>66.666666666666657</v>
      </c>
    </row>
    <row r="10" spans="1:14" x14ac:dyDescent="0.25">
      <c r="B10" s="55" t="s">
        <v>551</v>
      </c>
      <c r="C10" s="55" t="s">
        <v>551</v>
      </c>
      <c r="D10" s="55" t="s">
        <v>552</v>
      </c>
      <c r="E10" s="55" t="s">
        <v>552</v>
      </c>
      <c r="F10" s="55" t="s">
        <v>552</v>
      </c>
      <c r="G10" s="55" t="s">
        <v>551</v>
      </c>
      <c r="H10" s="55" t="s">
        <v>551</v>
      </c>
      <c r="I10" s="55" t="s">
        <v>552</v>
      </c>
      <c r="J10" s="55" t="s">
        <v>552</v>
      </c>
      <c r="K10" s="55" t="s">
        <v>551</v>
      </c>
    </row>
    <row r="11" spans="1:14" x14ac:dyDescent="0.25">
      <c r="B11" s="55" t="s">
        <v>551</v>
      </c>
      <c r="C11" s="55" t="s">
        <v>552</v>
      </c>
      <c r="D11" s="55" t="s">
        <v>551</v>
      </c>
      <c r="E11" s="55" t="s">
        <v>551</v>
      </c>
      <c r="F11" s="55" t="s">
        <v>551</v>
      </c>
      <c r="G11" s="55" t="s">
        <v>552</v>
      </c>
      <c r="H11" s="55" t="s">
        <v>551</v>
      </c>
      <c r="I11" s="55" t="s">
        <v>552</v>
      </c>
      <c r="J11" s="55" t="s">
        <v>552</v>
      </c>
      <c r="K11" s="55" t="s">
        <v>552</v>
      </c>
    </row>
    <row r="12" spans="1:14" x14ac:dyDescent="0.25">
      <c r="B12" s="55" t="s">
        <v>551</v>
      </c>
      <c r="C12" s="55" t="s">
        <v>551</v>
      </c>
      <c r="D12" s="55" t="s">
        <v>551</v>
      </c>
      <c r="E12" s="55" t="s">
        <v>551</v>
      </c>
      <c r="F12" s="55" t="s">
        <v>551</v>
      </c>
      <c r="G12" s="55" t="s">
        <v>551</v>
      </c>
      <c r="H12" s="55" t="s">
        <v>551</v>
      </c>
      <c r="I12" s="55" t="s">
        <v>552</v>
      </c>
      <c r="J12" s="55" t="s">
        <v>551</v>
      </c>
      <c r="K12" s="55" t="s">
        <v>551</v>
      </c>
      <c r="M12"/>
    </row>
    <row r="13" spans="1:14" x14ac:dyDescent="0.25">
      <c r="B13" s="55" t="s">
        <v>551</v>
      </c>
      <c r="C13" s="55" t="s">
        <v>551</v>
      </c>
      <c r="D13" s="55" t="s">
        <v>551</v>
      </c>
      <c r="E13" s="55" t="s">
        <v>551</v>
      </c>
      <c r="F13" s="55" t="s">
        <v>551</v>
      </c>
      <c r="G13" s="55" t="s">
        <v>551</v>
      </c>
      <c r="H13" s="55" t="s">
        <v>552</v>
      </c>
      <c r="I13" s="55" t="s">
        <v>552</v>
      </c>
      <c r="J13" s="55" t="s">
        <v>552</v>
      </c>
      <c r="K13" s="55" t="s">
        <v>551</v>
      </c>
      <c r="M13"/>
    </row>
    <row r="14" spans="1:14" x14ac:dyDescent="0.25">
      <c r="B14" s="55" t="s">
        <v>551</v>
      </c>
      <c r="C14" s="55" t="s">
        <v>551</v>
      </c>
      <c r="D14" s="55" t="s">
        <v>551</v>
      </c>
      <c r="E14" s="55" t="s">
        <v>551</v>
      </c>
      <c r="F14" s="55" t="s">
        <v>551</v>
      </c>
      <c r="G14" s="55" t="s">
        <v>551</v>
      </c>
      <c r="H14" s="55" t="s">
        <v>552</v>
      </c>
      <c r="I14" s="55" t="s">
        <v>552</v>
      </c>
      <c r="J14" s="55" t="s">
        <v>552</v>
      </c>
      <c r="K14" s="55" t="s">
        <v>552</v>
      </c>
    </row>
    <row r="15" spans="1:14" x14ac:dyDescent="0.25">
      <c r="B15" s="55" t="s">
        <v>551</v>
      </c>
      <c r="C15" s="55" t="s">
        <v>551</v>
      </c>
      <c r="D15" s="55" t="s">
        <v>551</v>
      </c>
      <c r="E15" s="55" t="s">
        <v>551</v>
      </c>
      <c r="F15" s="55" t="s">
        <v>551</v>
      </c>
      <c r="G15" s="55" t="s">
        <v>551</v>
      </c>
      <c r="H15" s="55" t="s">
        <v>552</v>
      </c>
      <c r="I15" s="55" t="s">
        <v>552</v>
      </c>
      <c r="J15" s="55" t="s">
        <v>551</v>
      </c>
      <c r="K15" s="55" t="s">
        <v>552</v>
      </c>
      <c r="M15" s="53" t="s">
        <v>578</v>
      </c>
      <c r="N15" s="52" t="s">
        <v>571</v>
      </c>
    </row>
    <row r="16" spans="1:14" x14ac:dyDescent="0.25">
      <c r="B16" s="55" t="s">
        <v>551</v>
      </c>
      <c r="C16" s="55" t="s">
        <v>551</v>
      </c>
      <c r="D16" s="55" t="s">
        <v>551</v>
      </c>
      <c r="E16" s="55" t="s">
        <v>551</v>
      </c>
      <c r="F16" s="55" t="s">
        <v>551</v>
      </c>
      <c r="G16" s="55" t="s">
        <v>551</v>
      </c>
      <c r="H16" s="55" t="s">
        <v>551</v>
      </c>
      <c r="I16" s="55" t="s">
        <v>552</v>
      </c>
      <c r="J16" s="55" t="s">
        <v>552</v>
      </c>
      <c r="K16" s="55" t="s">
        <v>551</v>
      </c>
      <c r="M16" s="53"/>
      <c r="N16" s="52"/>
    </row>
    <row r="17" spans="2:14" ht="15.6" x14ac:dyDescent="0.25">
      <c r="B17" s="55" t="s">
        <v>551</v>
      </c>
      <c r="C17" s="55" t="s">
        <v>551</v>
      </c>
      <c r="D17" s="55" t="s">
        <v>551</v>
      </c>
      <c r="E17" s="55" t="s">
        <v>551</v>
      </c>
      <c r="F17" s="55" t="s">
        <v>551</v>
      </c>
      <c r="G17" s="55" t="s">
        <v>552</v>
      </c>
      <c r="H17" s="55" t="s">
        <v>551</v>
      </c>
      <c r="I17" s="55" t="s">
        <v>552</v>
      </c>
      <c r="J17" s="55" t="s">
        <v>552</v>
      </c>
      <c r="K17" s="55" t="s">
        <v>552</v>
      </c>
      <c r="M17" s="53" t="s">
        <v>422</v>
      </c>
      <c r="N17" s="52" t="s">
        <v>534</v>
      </c>
    </row>
    <row r="18" spans="2:14" x14ac:dyDescent="0.25">
      <c r="B18" s="55" t="s">
        <v>551</v>
      </c>
      <c r="C18" s="55" t="s">
        <v>551</v>
      </c>
      <c r="D18" s="55" t="s">
        <v>551</v>
      </c>
      <c r="E18" s="55" t="s">
        <v>551</v>
      </c>
      <c r="F18" s="55" t="s">
        <v>551</v>
      </c>
      <c r="G18" s="55" t="s">
        <v>551</v>
      </c>
      <c r="H18" s="55" t="s">
        <v>552</v>
      </c>
      <c r="I18" s="55" t="s">
        <v>552</v>
      </c>
      <c r="J18" s="55" t="s">
        <v>551</v>
      </c>
      <c r="K18" s="55" t="s">
        <v>552</v>
      </c>
      <c r="M18" s="53" t="s">
        <v>421</v>
      </c>
      <c r="N18" s="52" t="s">
        <v>421</v>
      </c>
    </row>
    <row r="19" spans="2:14" ht="15.6" x14ac:dyDescent="0.25">
      <c r="B19" s="55" t="s">
        <v>551</v>
      </c>
      <c r="D19" s="55" t="s">
        <v>551</v>
      </c>
      <c r="E19" s="55" t="s">
        <v>551</v>
      </c>
      <c r="F19" s="55" t="s">
        <v>551</v>
      </c>
      <c r="G19" s="55" t="s">
        <v>551</v>
      </c>
      <c r="H19" s="55" t="s">
        <v>552</v>
      </c>
      <c r="J19" s="55" t="s">
        <v>552</v>
      </c>
      <c r="K19" s="55" t="s">
        <v>552</v>
      </c>
      <c r="M19" s="53" t="s">
        <v>419</v>
      </c>
      <c r="N19" s="52" t="s">
        <v>535</v>
      </c>
    </row>
    <row r="20" spans="2:14" x14ac:dyDescent="0.25">
      <c r="B20" s="55" t="s">
        <v>551</v>
      </c>
      <c r="D20" s="55" t="s">
        <v>552</v>
      </c>
      <c r="E20" s="55" t="s">
        <v>552</v>
      </c>
      <c r="F20" s="55" t="s">
        <v>552</v>
      </c>
      <c r="G20" s="55" t="s">
        <v>551</v>
      </c>
      <c r="H20" s="55" t="s">
        <v>552</v>
      </c>
      <c r="J20" s="55" t="s">
        <v>552</v>
      </c>
      <c r="K20" s="55" t="s">
        <v>552</v>
      </c>
      <c r="M20" s="53"/>
      <c r="N20" s="52"/>
    </row>
    <row r="21" spans="2:14" x14ac:dyDescent="0.25">
      <c r="B21" s="55" t="s">
        <v>551</v>
      </c>
      <c r="D21" s="55" t="s">
        <v>551</v>
      </c>
      <c r="E21" s="55" t="s">
        <v>551</v>
      </c>
      <c r="F21" s="55" t="s">
        <v>551</v>
      </c>
      <c r="G21" s="55" t="s">
        <v>551</v>
      </c>
      <c r="H21" s="55" t="s">
        <v>551</v>
      </c>
      <c r="J21" s="55" t="s">
        <v>552</v>
      </c>
      <c r="K21" s="55" t="s">
        <v>551</v>
      </c>
      <c r="M21" s="53" t="s">
        <v>424</v>
      </c>
      <c r="N21" s="52"/>
    </row>
    <row r="22" spans="2:14" x14ac:dyDescent="0.25">
      <c r="B22" s="55" t="s">
        <v>551</v>
      </c>
      <c r="D22" s="55" t="s">
        <v>551</v>
      </c>
      <c r="E22" s="55" t="s">
        <v>551</v>
      </c>
      <c r="F22" s="55" t="s">
        <v>551</v>
      </c>
      <c r="G22" s="55" t="s">
        <v>551</v>
      </c>
      <c r="J22" s="55" t="s">
        <v>552</v>
      </c>
      <c r="K22" s="55" t="s">
        <v>552</v>
      </c>
      <c r="M22" s="53" t="s">
        <v>425</v>
      </c>
      <c r="N22" s="52">
        <v>1.1927000000000001E-3</v>
      </c>
    </row>
    <row r="23" spans="2:14" x14ac:dyDescent="0.25">
      <c r="B23" s="55" t="s">
        <v>551</v>
      </c>
      <c r="D23" s="55" t="s">
        <v>551</v>
      </c>
      <c r="E23" s="55" t="s">
        <v>551</v>
      </c>
      <c r="F23" s="55" t="s">
        <v>551</v>
      </c>
      <c r="G23" s="55" t="s">
        <v>552</v>
      </c>
      <c r="K23" s="55" t="s">
        <v>552</v>
      </c>
      <c r="M23" s="53" t="s">
        <v>426</v>
      </c>
      <c r="N23" s="52" t="s">
        <v>496</v>
      </c>
    </row>
    <row r="24" spans="2:14" x14ac:dyDescent="0.25">
      <c r="B24" s="55" t="s">
        <v>551</v>
      </c>
      <c r="D24" s="55" t="s">
        <v>552</v>
      </c>
      <c r="E24" s="55" t="s">
        <v>552</v>
      </c>
      <c r="F24" s="55" t="s">
        <v>552</v>
      </c>
      <c r="G24" s="55" t="s">
        <v>551</v>
      </c>
      <c r="K24" s="55" t="s">
        <v>551</v>
      </c>
      <c r="M24" s="53" t="s">
        <v>428</v>
      </c>
      <c r="N24" s="52" t="s">
        <v>429</v>
      </c>
    </row>
    <row r="25" spans="2:14" x14ac:dyDescent="0.25">
      <c r="B25" s="55" t="s">
        <v>551</v>
      </c>
      <c r="D25" s="55" t="s">
        <v>551</v>
      </c>
      <c r="E25" s="55" t="s">
        <v>551</v>
      </c>
      <c r="F25" s="55" t="s">
        <v>551</v>
      </c>
      <c r="M25" s="53" t="s">
        <v>430</v>
      </c>
      <c r="N25" s="52" t="s">
        <v>572</v>
      </c>
    </row>
    <row r="26" spans="2:14" x14ac:dyDescent="0.25">
      <c r="B26" s="55" t="s">
        <v>551</v>
      </c>
      <c r="D26" s="55" t="s">
        <v>551</v>
      </c>
      <c r="E26" s="55" t="s">
        <v>551</v>
      </c>
      <c r="F26" s="55" t="s">
        <v>551</v>
      </c>
      <c r="M26" s="53" t="s">
        <v>432</v>
      </c>
      <c r="N26" s="52" t="s">
        <v>573</v>
      </c>
    </row>
    <row r="27" spans="2:14" x14ac:dyDescent="0.25">
      <c r="B27" s="55" t="s">
        <v>551</v>
      </c>
      <c r="C27" s="60"/>
      <c r="D27" s="55" t="s">
        <v>551</v>
      </c>
      <c r="E27" s="55" t="s">
        <v>551</v>
      </c>
      <c r="F27" s="55" t="s">
        <v>551</v>
      </c>
      <c r="M27" s="53"/>
      <c r="N27" s="52"/>
    </row>
    <row r="28" spans="2:14" x14ac:dyDescent="0.25">
      <c r="B28" s="55" t="s">
        <v>551</v>
      </c>
      <c r="D28" s="55" t="s">
        <v>551</v>
      </c>
      <c r="E28" s="55" t="s">
        <v>551</v>
      </c>
      <c r="F28" s="55" t="s">
        <v>551</v>
      </c>
      <c r="M28" s="53" t="s">
        <v>434</v>
      </c>
      <c r="N28" s="52"/>
    </row>
    <row r="29" spans="2:14" x14ac:dyDescent="0.25">
      <c r="D29" s="55" t="s">
        <v>551</v>
      </c>
      <c r="E29" s="55" t="s">
        <v>551</v>
      </c>
      <c r="F29" s="55" t="s">
        <v>551</v>
      </c>
      <c r="M29" s="53" t="s">
        <v>435</v>
      </c>
      <c r="N29" s="52">
        <v>9.3520000000000003</v>
      </c>
    </row>
    <row r="30" spans="2:14" x14ac:dyDescent="0.25">
      <c r="D30" s="55" t="s">
        <v>551</v>
      </c>
      <c r="E30" s="55" t="s">
        <v>551</v>
      </c>
      <c r="F30" s="55" t="s">
        <v>551</v>
      </c>
      <c r="M30" s="53" t="s">
        <v>436</v>
      </c>
      <c r="N30" s="52">
        <v>64.78</v>
      </c>
    </row>
    <row r="31" spans="2:14" x14ac:dyDescent="0.25">
      <c r="D31" s="55" t="s">
        <v>551</v>
      </c>
      <c r="E31" s="55" t="s">
        <v>551</v>
      </c>
      <c r="F31" s="55" t="s">
        <v>551</v>
      </c>
      <c r="M31" s="53" t="s">
        <v>574</v>
      </c>
      <c r="N31" s="52" t="s">
        <v>575</v>
      </c>
    </row>
    <row r="32" spans="2:14" x14ac:dyDescent="0.25">
      <c r="D32" s="55" t="s">
        <v>551</v>
      </c>
      <c r="F32" s="55" t="s">
        <v>551</v>
      </c>
      <c r="M32" s="53" t="s">
        <v>439</v>
      </c>
      <c r="N32" s="52" t="s">
        <v>576</v>
      </c>
    </row>
    <row r="33" spans="4:14" x14ac:dyDescent="0.25">
      <c r="D33" s="55" t="s">
        <v>551</v>
      </c>
      <c r="M33" s="53" t="s">
        <v>441</v>
      </c>
      <c r="N33" s="52">
        <v>0.7046</v>
      </c>
    </row>
    <row r="34" spans="4:14" x14ac:dyDescent="0.25">
      <c r="D34" s="55" t="s">
        <v>551</v>
      </c>
      <c r="M34" s="53"/>
      <c r="N34" s="52"/>
    </row>
    <row r="35" spans="4:14" x14ac:dyDescent="0.25">
      <c r="D35" s="55" t="s">
        <v>551</v>
      </c>
      <c r="M35" s="53" t="s">
        <v>442</v>
      </c>
      <c r="N35" s="52"/>
    </row>
    <row r="36" spans="4:14" x14ac:dyDescent="0.25">
      <c r="M36" s="53" t="s">
        <v>443</v>
      </c>
      <c r="N36" s="52" t="s">
        <v>577</v>
      </c>
    </row>
    <row r="37" spans="4:14" x14ac:dyDescent="0.25">
      <c r="M37" s="53" t="s">
        <v>425</v>
      </c>
      <c r="N37" s="52">
        <v>7.8129999999999996E-4</v>
      </c>
    </row>
    <row r="38" spans="4:14" x14ac:dyDescent="0.25">
      <c r="M38" s="53" t="s">
        <v>426</v>
      </c>
      <c r="N38" s="52" t="s">
        <v>454</v>
      </c>
    </row>
    <row r="39" spans="4:14" x14ac:dyDescent="0.25">
      <c r="M39" s="53" t="s">
        <v>428</v>
      </c>
      <c r="N39" s="52" t="s">
        <v>429</v>
      </c>
    </row>
    <row r="40" spans="4:14" x14ac:dyDescent="0.25">
      <c r="M40" s="53"/>
      <c r="N40" s="52"/>
    </row>
    <row r="41" spans="4:14" x14ac:dyDescent="0.25">
      <c r="M41" s="53" t="s">
        <v>447</v>
      </c>
      <c r="N41" s="52"/>
    </row>
    <row r="42" spans="4:14" x14ac:dyDescent="0.25">
      <c r="M42" s="53" t="s">
        <v>448</v>
      </c>
      <c r="N42" s="52">
        <v>5</v>
      </c>
    </row>
    <row r="43" spans="4:14" x14ac:dyDescent="0.25">
      <c r="M43" s="53" t="s">
        <v>449</v>
      </c>
      <c r="N43" s="52">
        <v>5</v>
      </c>
    </row>
  </sheetData>
  <mergeCells count="2">
    <mergeCell ref="C1:K1"/>
    <mergeCell ref="M3:N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61AA-6E0C-4442-95E1-66E24F27B7BD}">
  <dimension ref="A1:J40"/>
  <sheetViews>
    <sheetView topLeftCell="D1" workbookViewId="0">
      <selection activeCell="H12" sqref="H12"/>
    </sheetView>
  </sheetViews>
  <sheetFormatPr defaultRowHeight="13.8" x14ac:dyDescent="0.25"/>
  <cols>
    <col min="2" max="6" width="16.33203125" style="55" customWidth="1"/>
    <col min="7" max="7" width="15.33203125" style="55" customWidth="1"/>
    <col min="8" max="8" width="36.109375" customWidth="1"/>
    <col min="9" max="9" width="32.21875" customWidth="1"/>
    <col min="10" max="10" width="15.33203125" customWidth="1"/>
  </cols>
  <sheetData>
    <row r="1" spans="1:10" x14ac:dyDescent="0.25">
      <c r="A1" s="154" t="s">
        <v>553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ht="15.6" x14ac:dyDescent="0.25">
      <c r="A2" s="57" t="s">
        <v>537</v>
      </c>
      <c r="B2" s="57" t="s">
        <v>538</v>
      </c>
      <c r="C2" s="57" t="s">
        <v>539</v>
      </c>
      <c r="D2" s="57" t="s">
        <v>542</v>
      </c>
      <c r="E2" s="57" t="s">
        <v>543</v>
      </c>
      <c r="F2" s="57" t="s">
        <v>544</v>
      </c>
      <c r="G2"/>
    </row>
    <row r="3" spans="1:10" x14ac:dyDescent="0.25">
      <c r="A3" s="55"/>
      <c r="G3"/>
    </row>
    <row r="4" spans="1:10" x14ac:dyDescent="0.25">
      <c r="A4" s="60">
        <f>4/15</f>
        <v>0.26666666666666666</v>
      </c>
      <c r="B4" s="60">
        <f>5/16</f>
        <v>0.3125</v>
      </c>
      <c r="C4" s="60">
        <f>5/17</f>
        <v>0.29411764705882354</v>
      </c>
      <c r="D4" s="60">
        <f>7/12</f>
        <v>0.58333333333333337</v>
      </c>
      <c r="E4" s="60">
        <f>10/15</f>
        <v>0.66666666666666663</v>
      </c>
      <c r="F4" s="60">
        <f>10/17</f>
        <v>0.58823529411764708</v>
      </c>
      <c r="G4"/>
      <c r="H4" s="55" t="s">
        <v>580</v>
      </c>
      <c r="I4" s="55"/>
    </row>
    <row r="5" spans="1:10" x14ac:dyDescent="0.25">
      <c r="A5" s="55"/>
      <c r="G5"/>
      <c r="H5" s="155" t="s">
        <v>554</v>
      </c>
      <c r="I5" s="155"/>
    </row>
    <row r="6" spans="1:10" ht="15.6" x14ac:dyDescent="0.25">
      <c r="A6" s="55">
        <v>18</v>
      </c>
      <c r="B6" s="55">
        <v>19</v>
      </c>
      <c r="C6" s="55">
        <v>18</v>
      </c>
      <c r="D6" s="55">
        <v>20</v>
      </c>
      <c r="E6" s="55">
        <v>17</v>
      </c>
      <c r="F6" s="55">
        <v>19</v>
      </c>
      <c r="G6"/>
      <c r="H6" s="57" t="s">
        <v>534</v>
      </c>
      <c r="I6" s="57" t="s">
        <v>535</v>
      </c>
    </row>
    <row r="7" spans="1:10" x14ac:dyDescent="0.25">
      <c r="A7" s="55">
        <v>20</v>
      </c>
      <c r="B7" s="55">
        <v>20</v>
      </c>
      <c r="C7" s="55">
        <v>20</v>
      </c>
      <c r="D7" s="55">
        <v>17</v>
      </c>
      <c r="E7" s="55">
        <v>15</v>
      </c>
      <c r="F7" s="55">
        <v>20</v>
      </c>
      <c r="G7"/>
      <c r="H7" s="61">
        <v>0.26666666666666666</v>
      </c>
      <c r="I7" s="61">
        <v>0.58333333333333337</v>
      </c>
    </row>
    <row r="8" spans="1:10" x14ac:dyDescent="0.25">
      <c r="A8" s="55">
        <v>20</v>
      </c>
      <c r="B8" s="55">
        <v>19</v>
      </c>
      <c r="C8" s="55">
        <v>20</v>
      </c>
      <c r="D8" s="55">
        <v>19</v>
      </c>
      <c r="E8" s="55">
        <v>20</v>
      </c>
      <c r="F8" s="55">
        <v>14</v>
      </c>
      <c r="G8"/>
      <c r="H8">
        <v>0.3125</v>
      </c>
      <c r="I8">
        <v>0.66666666666666663</v>
      </c>
    </row>
    <row r="9" spans="1:10" x14ac:dyDescent="0.25">
      <c r="A9" s="55">
        <v>20</v>
      </c>
      <c r="B9" s="55">
        <v>16</v>
      </c>
      <c r="C9" s="55">
        <v>20</v>
      </c>
      <c r="D9" s="55">
        <v>20</v>
      </c>
      <c r="E9" s="55">
        <v>20</v>
      </c>
      <c r="F9" s="55">
        <v>17</v>
      </c>
      <c r="G9"/>
      <c r="H9">
        <v>0.29411764705882354</v>
      </c>
      <c r="I9">
        <v>0.58823529411764708</v>
      </c>
    </row>
    <row r="10" spans="1:10" x14ac:dyDescent="0.25">
      <c r="A10" s="55">
        <v>20</v>
      </c>
      <c r="B10" s="55">
        <v>18</v>
      </c>
      <c r="C10" s="55">
        <v>20</v>
      </c>
      <c r="D10" s="55">
        <v>20</v>
      </c>
      <c r="E10" s="55">
        <v>17</v>
      </c>
      <c r="F10" s="55">
        <v>20</v>
      </c>
      <c r="G10"/>
    </row>
    <row r="11" spans="1:10" x14ac:dyDescent="0.25">
      <c r="A11" s="55">
        <v>20</v>
      </c>
      <c r="B11" s="55">
        <v>20</v>
      </c>
      <c r="C11" s="55">
        <v>19</v>
      </c>
      <c r="D11" s="55">
        <v>15</v>
      </c>
      <c r="E11" s="55">
        <v>20</v>
      </c>
      <c r="F11" s="55">
        <v>20</v>
      </c>
      <c r="G11"/>
    </row>
    <row r="12" spans="1:10" x14ac:dyDescent="0.25">
      <c r="A12" s="55">
        <v>20</v>
      </c>
      <c r="B12" s="55">
        <v>20</v>
      </c>
      <c r="C12" s="55">
        <v>20</v>
      </c>
      <c r="D12" s="55">
        <v>14</v>
      </c>
      <c r="E12" s="55">
        <v>20</v>
      </c>
      <c r="F12" s="55">
        <v>19</v>
      </c>
      <c r="G12"/>
      <c r="H12" s="53" t="s">
        <v>578</v>
      </c>
      <c r="I12" s="52" t="s">
        <v>579</v>
      </c>
    </row>
    <row r="13" spans="1:10" x14ac:dyDescent="0.25">
      <c r="A13" s="55">
        <v>20</v>
      </c>
      <c r="B13" s="55">
        <v>20</v>
      </c>
      <c r="C13" s="55">
        <v>20</v>
      </c>
      <c r="D13" s="55">
        <v>18</v>
      </c>
      <c r="E13" s="55">
        <v>19</v>
      </c>
      <c r="F13" s="55">
        <v>18</v>
      </c>
      <c r="G13"/>
      <c r="H13" s="53"/>
      <c r="I13" s="52"/>
    </row>
    <row r="14" spans="1:10" ht="15.6" x14ac:dyDescent="0.25">
      <c r="A14" s="55">
        <v>19</v>
      </c>
      <c r="B14" s="55">
        <v>20</v>
      </c>
      <c r="C14" s="55">
        <v>20</v>
      </c>
      <c r="D14" s="55">
        <v>20</v>
      </c>
      <c r="E14" s="55">
        <v>18</v>
      </c>
      <c r="F14" s="55">
        <v>15</v>
      </c>
      <c r="G14"/>
      <c r="H14" s="53" t="s">
        <v>419</v>
      </c>
      <c r="I14" s="52" t="s">
        <v>535</v>
      </c>
    </row>
    <row r="15" spans="1:10" x14ac:dyDescent="0.25">
      <c r="A15" s="55">
        <v>18</v>
      </c>
      <c r="B15" s="55">
        <v>20</v>
      </c>
      <c r="C15" s="55">
        <v>20</v>
      </c>
      <c r="D15" s="55">
        <v>18</v>
      </c>
      <c r="E15" s="55">
        <v>19</v>
      </c>
      <c r="F15" s="55">
        <v>19</v>
      </c>
      <c r="G15"/>
      <c r="H15" s="53" t="s">
        <v>421</v>
      </c>
      <c r="I15" s="52" t="s">
        <v>421</v>
      </c>
    </row>
    <row r="16" spans="1:10" ht="15.6" x14ac:dyDescent="0.25">
      <c r="A16" s="55">
        <v>19</v>
      </c>
      <c r="B16" s="55">
        <v>18</v>
      </c>
      <c r="C16" s="55">
        <v>20</v>
      </c>
      <c r="D16" s="55">
        <v>19</v>
      </c>
      <c r="E16" s="55">
        <v>17</v>
      </c>
      <c r="F16" s="55">
        <v>17</v>
      </c>
      <c r="G16"/>
      <c r="H16" s="53" t="s">
        <v>422</v>
      </c>
      <c r="I16" s="52" t="s">
        <v>534</v>
      </c>
    </row>
    <row r="17" spans="1:9" x14ac:dyDescent="0.25">
      <c r="A17" s="55">
        <v>20</v>
      </c>
      <c r="B17" s="55">
        <v>20</v>
      </c>
      <c r="C17" s="55">
        <v>20</v>
      </c>
      <c r="D17" s="55">
        <v>20</v>
      </c>
      <c r="E17" s="55">
        <v>19</v>
      </c>
      <c r="F17" s="55">
        <v>20</v>
      </c>
      <c r="G17"/>
      <c r="H17" s="53"/>
      <c r="I17" s="52"/>
    </row>
    <row r="18" spans="1:9" x14ac:dyDescent="0.25">
      <c r="A18" s="55">
        <v>20</v>
      </c>
      <c r="B18" s="55">
        <v>20</v>
      </c>
      <c r="C18" s="55">
        <v>18</v>
      </c>
      <c r="E18" s="55">
        <v>20</v>
      </c>
      <c r="F18" s="55">
        <v>20</v>
      </c>
      <c r="G18"/>
      <c r="H18" s="53" t="s">
        <v>424</v>
      </c>
      <c r="I18" s="52"/>
    </row>
    <row r="19" spans="1:9" x14ac:dyDescent="0.25">
      <c r="A19" s="55">
        <v>20</v>
      </c>
      <c r="B19" s="55">
        <v>20</v>
      </c>
      <c r="C19" s="55">
        <v>20</v>
      </c>
      <c r="E19" s="55">
        <v>14</v>
      </c>
      <c r="F19" s="55">
        <v>17</v>
      </c>
      <c r="G19"/>
      <c r="H19" s="53" t="s">
        <v>425</v>
      </c>
      <c r="I19" s="52">
        <v>5.0000000000000001E-4</v>
      </c>
    </row>
    <row r="20" spans="1:9" x14ac:dyDescent="0.25">
      <c r="A20" s="55">
        <v>20</v>
      </c>
      <c r="B20" s="55">
        <v>20</v>
      </c>
      <c r="C20" s="55">
        <v>19</v>
      </c>
      <c r="E20" s="55">
        <v>20</v>
      </c>
      <c r="F20" s="55">
        <v>18</v>
      </c>
      <c r="G20"/>
      <c r="H20" s="53" t="s">
        <v>426</v>
      </c>
      <c r="I20" s="52" t="s">
        <v>454</v>
      </c>
    </row>
    <row r="21" spans="1:9" x14ac:dyDescent="0.25">
      <c r="A21" s="55"/>
      <c r="B21" s="55">
        <v>20</v>
      </c>
      <c r="C21" s="55">
        <v>18</v>
      </c>
      <c r="F21" s="55">
        <v>20</v>
      </c>
      <c r="G21"/>
      <c r="H21" s="53" t="s">
        <v>428</v>
      </c>
      <c r="I21" s="52" t="s">
        <v>429</v>
      </c>
    </row>
    <row r="22" spans="1:9" x14ac:dyDescent="0.25">
      <c r="A22" s="55"/>
      <c r="C22" s="55">
        <v>20</v>
      </c>
      <c r="F22" s="55">
        <v>20</v>
      </c>
      <c r="G22"/>
      <c r="H22" s="53" t="s">
        <v>430</v>
      </c>
      <c r="I22" s="52" t="s">
        <v>431</v>
      </c>
    </row>
    <row r="23" spans="1:9" x14ac:dyDescent="0.25">
      <c r="A23" s="55"/>
      <c r="G23"/>
      <c r="H23" s="53" t="s">
        <v>432</v>
      </c>
      <c r="I23" s="52" t="s">
        <v>581</v>
      </c>
    </row>
    <row r="24" spans="1:9" x14ac:dyDescent="0.25">
      <c r="A24" s="55"/>
      <c r="G24"/>
      <c r="H24" s="53"/>
      <c r="I24" s="52"/>
    </row>
    <row r="25" spans="1:9" x14ac:dyDescent="0.25">
      <c r="A25" s="55"/>
      <c r="G25"/>
      <c r="H25" s="53" t="s">
        <v>434</v>
      </c>
      <c r="I25" s="52"/>
    </row>
    <row r="26" spans="1:9" x14ac:dyDescent="0.25">
      <c r="A26" s="55"/>
      <c r="G26"/>
      <c r="H26" s="53" t="s">
        <v>435</v>
      </c>
      <c r="I26" s="52">
        <v>0.29220000000000002</v>
      </c>
    </row>
    <row r="27" spans="1:9" x14ac:dyDescent="0.25">
      <c r="A27" s="55"/>
      <c r="B27" s="60"/>
      <c r="C27" s="60"/>
      <c r="G27"/>
      <c r="H27" s="53" t="s">
        <v>436</v>
      </c>
      <c r="I27" s="52">
        <v>0.61160000000000003</v>
      </c>
    </row>
    <row r="28" spans="1:9" x14ac:dyDescent="0.25">
      <c r="A28" s="55"/>
      <c r="G28"/>
      <c r="H28" s="53" t="s">
        <v>437</v>
      </c>
      <c r="I28" s="52" t="s">
        <v>582</v>
      </c>
    </row>
    <row r="29" spans="1:9" x14ac:dyDescent="0.25">
      <c r="A29" s="55"/>
      <c r="G29"/>
      <c r="H29" s="53" t="s">
        <v>439</v>
      </c>
      <c r="I29" s="52" t="s">
        <v>583</v>
      </c>
    </row>
    <row r="30" spans="1:9" x14ac:dyDescent="0.25">
      <c r="A30" s="55"/>
      <c r="G30"/>
      <c r="H30" s="53" t="s">
        <v>441</v>
      </c>
      <c r="I30" s="52">
        <v>0.96540000000000004</v>
      </c>
    </row>
    <row r="31" spans="1:9" x14ac:dyDescent="0.25">
      <c r="H31" s="53"/>
      <c r="I31" s="52"/>
    </row>
    <row r="32" spans="1:9" x14ac:dyDescent="0.25">
      <c r="H32" s="53" t="s">
        <v>442</v>
      </c>
      <c r="I32" s="52"/>
    </row>
    <row r="33" spans="8:9" x14ac:dyDescent="0.25">
      <c r="H33" s="53" t="s">
        <v>443</v>
      </c>
      <c r="I33" s="52" t="s">
        <v>584</v>
      </c>
    </row>
    <row r="34" spans="8:9" x14ac:dyDescent="0.25">
      <c r="H34" s="53" t="s">
        <v>425</v>
      </c>
      <c r="I34" s="52">
        <v>0.33129999999999998</v>
      </c>
    </row>
    <row r="35" spans="8:9" x14ac:dyDescent="0.25">
      <c r="H35" s="53" t="s">
        <v>426</v>
      </c>
      <c r="I35" s="52" t="s">
        <v>445</v>
      </c>
    </row>
    <row r="36" spans="8:9" x14ac:dyDescent="0.25">
      <c r="H36" s="53" t="s">
        <v>428</v>
      </c>
      <c r="I36" s="52" t="s">
        <v>446</v>
      </c>
    </row>
    <row r="37" spans="8:9" x14ac:dyDescent="0.25">
      <c r="H37" s="53"/>
      <c r="I37" s="52"/>
    </row>
    <row r="38" spans="8:9" x14ac:dyDescent="0.25">
      <c r="H38" s="53" t="s">
        <v>447</v>
      </c>
      <c r="I38" s="52"/>
    </row>
    <row r="39" spans="8:9" x14ac:dyDescent="0.25">
      <c r="H39" s="53" t="s">
        <v>448</v>
      </c>
      <c r="I39" s="52">
        <v>3</v>
      </c>
    </row>
    <row r="40" spans="8:9" x14ac:dyDescent="0.25">
      <c r="H40" s="53" t="s">
        <v>449</v>
      </c>
      <c r="I40" s="52">
        <v>3</v>
      </c>
    </row>
  </sheetData>
  <mergeCells count="2">
    <mergeCell ref="A1:J1"/>
    <mergeCell ref="H5:I5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1E6A4-E1EC-4A61-AD8E-D3ECEFD0F20B}">
  <dimension ref="A1:J42"/>
  <sheetViews>
    <sheetView topLeftCell="C1" workbookViewId="0">
      <selection activeCell="J22" sqref="J22"/>
    </sheetView>
  </sheetViews>
  <sheetFormatPr defaultColWidth="13.109375" defaultRowHeight="13.2" x14ac:dyDescent="0.25"/>
  <cols>
    <col min="1" max="8" width="13.109375" style="63"/>
    <col min="9" max="10" width="25.109375" style="63" customWidth="1"/>
    <col min="11" max="16384" width="13.109375" style="63"/>
  </cols>
  <sheetData>
    <row r="1" spans="1:10" x14ac:dyDescent="0.25">
      <c r="A1" s="62" t="s">
        <v>585</v>
      </c>
      <c r="B1" s="62"/>
      <c r="C1" s="62"/>
    </row>
    <row r="2" spans="1:10" ht="13.8" x14ac:dyDescent="0.25">
      <c r="A2" s="64" t="s">
        <v>586</v>
      </c>
      <c r="B2" s="64"/>
      <c r="C2" s="64"/>
    </row>
    <row r="3" spans="1:10" ht="15.6" x14ac:dyDescent="0.25">
      <c r="A3" s="65" t="s">
        <v>537</v>
      </c>
      <c r="B3" s="65" t="s">
        <v>538</v>
      </c>
      <c r="C3" s="65" t="s">
        <v>539</v>
      </c>
      <c r="D3" s="65" t="s">
        <v>542</v>
      </c>
      <c r="E3" s="65" t="s">
        <v>543</v>
      </c>
      <c r="F3" s="65" t="s">
        <v>544</v>
      </c>
    </row>
    <row r="4" spans="1:10" x14ac:dyDescent="0.25">
      <c r="A4" s="63">
        <v>1.601777</v>
      </c>
      <c r="B4" s="63">
        <v>2.6474289999999998</v>
      </c>
      <c r="C4" s="63">
        <v>2.1271939999999998</v>
      </c>
      <c r="D4" s="63">
        <v>0.68649000000000004</v>
      </c>
      <c r="E4" s="63">
        <v>1.290548</v>
      </c>
      <c r="F4" s="63">
        <v>1.3078179999999999</v>
      </c>
    </row>
    <row r="5" spans="1:10" x14ac:dyDescent="0.25">
      <c r="A5" s="63">
        <v>2.40659</v>
      </c>
      <c r="B5" s="63">
        <v>2.6636380000000002</v>
      </c>
      <c r="C5" s="63">
        <v>2.2851080000000001</v>
      </c>
      <c r="D5" s="63">
        <v>0.205536</v>
      </c>
      <c r="E5" s="63">
        <v>1.013423</v>
      </c>
      <c r="F5" s="63">
        <v>0.57409600000000005</v>
      </c>
    </row>
    <row r="6" spans="1:10" x14ac:dyDescent="0.25">
      <c r="A6" s="63">
        <v>2.7706849999999998</v>
      </c>
      <c r="B6" s="63">
        <v>2.5014789999999998</v>
      </c>
      <c r="C6" s="63">
        <v>1.9467699999999999</v>
      </c>
      <c r="D6" s="63">
        <v>1.0067619999999999</v>
      </c>
      <c r="E6" s="63">
        <v>0.30733199999999999</v>
      </c>
      <c r="F6" s="63">
        <v>1.3490770000000001</v>
      </c>
      <c r="H6" s="66" t="s">
        <v>587</v>
      </c>
      <c r="I6" s="67">
        <f>AVERAGE(A4:C12)</f>
        <v>2.3341362500000007</v>
      </c>
      <c r="J6" s="67">
        <f>AVERAGE(D4:F12)</f>
        <v>0.95131523076923097</v>
      </c>
    </row>
    <row r="7" spans="1:10" x14ac:dyDescent="0.25">
      <c r="A7" s="63">
        <v>2.7720699999999998</v>
      </c>
      <c r="B7" s="63">
        <v>2.131408</v>
      </c>
      <c r="C7" s="63">
        <v>2.263881</v>
      </c>
      <c r="D7" s="63">
        <v>1.6272819999999999</v>
      </c>
      <c r="E7" s="63">
        <v>0.63833499999999999</v>
      </c>
      <c r="F7" s="63">
        <v>1.085432</v>
      </c>
      <c r="H7" s="66" t="s">
        <v>588</v>
      </c>
      <c r="I7" s="22">
        <f>STDEVP(A4:C12)/SQRT(COUNT(A4:C12))</f>
        <v>5.7442188489493409E-2</v>
      </c>
      <c r="J7" s="22">
        <f>STDEVP(D4:F12)/SQRT(COUNT(D4:F12))</f>
        <v>8.9771522300168535E-2</v>
      </c>
    </row>
    <row r="8" spans="1:10" x14ac:dyDescent="0.25">
      <c r="A8" s="63">
        <v>2.4894750000000001</v>
      </c>
      <c r="B8" s="63">
        <v>2.147605</v>
      </c>
      <c r="C8" s="63">
        <v>2.421745</v>
      </c>
      <c r="D8" s="63">
        <v>2.0018410000000002</v>
      </c>
      <c r="E8" s="63">
        <v>1.063331</v>
      </c>
      <c r="F8" s="63">
        <v>0.99206799999999995</v>
      </c>
      <c r="I8" s="68"/>
      <c r="J8" s="68"/>
    </row>
    <row r="9" spans="1:10" x14ac:dyDescent="0.25">
      <c r="A9" s="63">
        <v>2.725765</v>
      </c>
      <c r="B9" s="63">
        <v>2.440693</v>
      </c>
      <c r="C9" s="63">
        <v>2.3481420000000002</v>
      </c>
      <c r="D9" s="63">
        <v>0.52281900000000003</v>
      </c>
      <c r="E9" s="63">
        <v>1.7326330000000001</v>
      </c>
      <c r="F9" s="63">
        <v>1.43666</v>
      </c>
      <c r="J9" s="68"/>
    </row>
    <row r="10" spans="1:10" x14ac:dyDescent="0.25">
      <c r="A10" s="63">
        <v>2.3012079999999999</v>
      </c>
      <c r="B10" s="63">
        <v>2.4418229999999999</v>
      </c>
      <c r="C10" s="63">
        <v>2.2422010000000001</v>
      </c>
      <c r="D10" s="63">
        <v>0.84483900000000001</v>
      </c>
      <c r="E10" s="63">
        <v>1.1154299999999999</v>
      </c>
      <c r="F10" s="63">
        <v>0.42624400000000001</v>
      </c>
      <c r="I10" s="69"/>
      <c r="J10" s="68"/>
    </row>
    <row r="11" spans="1:10" x14ac:dyDescent="0.25">
      <c r="A11" s="63">
        <v>2.3754360000000001</v>
      </c>
      <c r="B11" s="63">
        <v>1.96909</v>
      </c>
      <c r="D11" s="63">
        <v>1.095801</v>
      </c>
      <c r="E11" s="63">
        <v>0.49767699999999998</v>
      </c>
      <c r="F11" s="63">
        <v>0.64907899999999996</v>
      </c>
      <c r="I11" s="70"/>
      <c r="J11" s="68"/>
    </row>
    <row r="12" spans="1:10" x14ac:dyDescent="0.25">
      <c r="A12" s="63">
        <v>1.9980579999999999</v>
      </c>
      <c r="D12" s="63">
        <v>1.0195970000000001</v>
      </c>
      <c r="F12" s="63">
        <v>0.24404600000000001</v>
      </c>
      <c r="I12" s="68"/>
      <c r="J12" s="68"/>
    </row>
    <row r="14" spans="1:10" x14ac:dyDescent="0.25">
      <c r="I14" s="53" t="s">
        <v>578</v>
      </c>
      <c r="J14" s="52" t="s">
        <v>615</v>
      </c>
    </row>
    <row r="15" spans="1:10" x14ac:dyDescent="0.25">
      <c r="I15" s="53"/>
      <c r="J15" s="52"/>
    </row>
    <row r="16" spans="1:10" ht="15.6" x14ac:dyDescent="0.25">
      <c r="I16" s="53" t="s">
        <v>419</v>
      </c>
      <c r="J16" s="52" t="s">
        <v>535</v>
      </c>
    </row>
    <row r="17" spans="9:10" x14ac:dyDescent="0.25">
      <c r="I17" s="53" t="s">
        <v>421</v>
      </c>
      <c r="J17" s="52" t="s">
        <v>421</v>
      </c>
    </row>
    <row r="18" spans="9:10" ht="15.6" x14ac:dyDescent="0.25">
      <c r="I18" s="53" t="s">
        <v>422</v>
      </c>
      <c r="J18" s="52" t="s">
        <v>534</v>
      </c>
    </row>
    <row r="19" spans="9:10" x14ac:dyDescent="0.25">
      <c r="I19" s="53"/>
      <c r="J19" s="52"/>
    </row>
    <row r="20" spans="9:10" x14ac:dyDescent="0.25">
      <c r="I20" s="53" t="s">
        <v>424</v>
      </c>
      <c r="J20" s="52"/>
    </row>
    <row r="21" spans="9:10" x14ac:dyDescent="0.25">
      <c r="I21" s="53" t="s">
        <v>425</v>
      </c>
      <c r="J21" s="52" t="s">
        <v>616</v>
      </c>
    </row>
    <row r="22" spans="9:10" x14ac:dyDescent="0.25">
      <c r="I22" s="53" t="s">
        <v>426</v>
      </c>
      <c r="J22" s="52" t="s">
        <v>555</v>
      </c>
    </row>
    <row r="23" spans="9:10" x14ac:dyDescent="0.25">
      <c r="I23" s="53" t="s">
        <v>428</v>
      </c>
      <c r="J23" s="52" t="s">
        <v>429</v>
      </c>
    </row>
    <row r="24" spans="9:10" x14ac:dyDescent="0.25">
      <c r="I24" s="53" t="s">
        <v>430</v>
      </c>
      <c r="J24" s="52" t="s">
        <v>431</v>
      </c>
    </row>
    <row r="25" spans="9:10" x14ac:dyDescent="0.25">
      <c r="I25" s="53" t="s">
        <v>432</v>
      </c>
      <c r="J25" s="52" t="s">
        <v>618</v>
      </c>
    </row>
    <row r="26" spans="9:10" x14ac:dyDescent="0.25">
      <c r="I26" s="53"/>
      <c r="J26" s="52"/>
    </row>
    <row r="27" spans="9:10" x14ac:dyDescent="0.25">
      <c r="I27" s="53" t="s">
        <v>434</v>
      </c>
      <c r="J27" s="52"/>
    </row>
    <row r="28" spans="9:10" x14ac:dyDescent="0.25">
      <c r="I28" s="53" t="s">
        <v>435</v>
      </c>
      <c r="J28" s="52">
        <v>2.3340000000000001</v>
      </c>
    </row>
    <row r="29" spans="9:10" x14ac:dyDescent="0.25">
      <c r="I29" s="53" t="s">
        <v>436</v>
      </c>
      <c r="J29" s="52">
        <v>0.95130000000000003</v>
      </c>
    </row>
    <row r="30" spans="9:10" x14ac:dyDescent="0.25">
      <c r="I30" s="53" t="s">
        <v>437</v>
      </c>
      <c r="J30" s="52" t="s">
        <v>619</v>
      </c>
    </row>
    <row r="31" spans="9:10" x14ac:dyDescent="0.25">
      <c r="I31" s="53" t="s">
        <v>439</v>
      </c>
      <c r="J31" s="52" t="s">
        <v>620</v>
      </c>
    </row>
    <row r="32" spans="9:10" x14ac:dyDescent="0.25">
      <c r="I32" s="53" t="s">
        <v>441</v>
      </c>
      <c r="J32" s="52">
        <v>0.76459999999999995</v>
      </c>
    </row>
    <row r="33" spans="9:10" x14ac:dyDescent="0.25">
      <c r="I33" s="53"/>
      <c r="J33" s="52"/>
    </row>
    <row r="34" spans="9:10" x14ac:dyDescent="0.25">
      <c r="I34" s="53" t="s">
        <v>442</v>
      </c>
      <c r="J34" s="52"/>
    </row>
    <row r="35" spans="9:10" x14ac:dyDescent="0.25">
      <c r="I35" s="53" t="s">
        <v>443</v>
      </c>
      <c r="J35" s="52" t="s">
        <v>621</v>
      </c>
    </row>
    <row r="36" spans="9:10" x14ac:dyDescent="0.25">
      <c r="I36" s="53" t="s">
        <v>425</v>
      </c>
      <c r="J36" s="52">
        <v>2.23E-2</v>
      </c>
    </row>
    <row r="37" spans="9:10" x14ac:dyDescent="0.25">
      <c r="I37" s="53" t="s">
        <v>426</v>
      </c>
      <c r="J37" s="52" t="s">
        <v>508</v>
      </c>
    </row>
    <row r="38" spans="9:10" x14ac:dyDescent="0.25">
      <c r="I38" s="53" t="s">
        <v>428</v>
      </c>
      <c r="J38" s="52" t="s">
        <v>429</v>
      </c>
    </row>
    <row r="39" spans="9:10" x14ac:dyDescent="0.25">
      <c r="I39" s="53"/>
      <c r="J39" s="52"/>
    </row>
    <row r="40" spans="9:10" x14ac:dyDescent="0.25">
      <c r="I40" s="53" t="s">
        <v>447</v>
      </c>
      <c r="J40" s="52"/>
    </row>
    <row r="41" spans="9:10" x14ac:dyDescent="0.25">
      <c r="I41" s="53" t="s">
        <v>448</v>
      </c>
      <c r="J41" s="52">
        <v>24</v>
      </c>
    </row>
    <row r="42" spans="9:10" x14ac:dyDescent="0.25">
      <c r="I42" s="53" t="s">
        <v>449</v>
      </c>
      <c r="J42" s="52">
        <v>26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FC887-5E39-4DEB-BA08-A8172C0FF66C}">
  <dimension ref="A1:J39"/>
  <sheetViews>
    <sheetView topLeftCell="E1" workbookViewId="0">
      <selection activeCell="E23" sqref="E23"/>
    </sheetView>
  </sheetViews>
  <sheetFormatPr defaultRowHeight="13.2" x14ac:dyDescent="0.25"/>
  <cols>
    <col min="1" max="6" width="17.77734375" style="63" customWidth="1"/>
    <col min="7" max="7" width="4.88671875" style="63" customWidth="1"/>
    <col min="8" max="8" width="17.77734375" style="63" customWidth="1"/>
    <col min="9" max="10" width="32.33203125" style="63" customWidth="1"/>
    <col min="11" max="11" width="17.77734375" style="63" customWidth="1"/>
    <col min="12" max="16384" width="8.88671875" style="63"/>
  </cols>
  <sheetData>
    <row r="1" spans="1:10" x14ac:dyDescent="0.25">
      <c r="A1" s="62" t="s">
        <v>589</v>
      </c>
      <c r="B1" s="62"/>
      <c r="C1" s="62"/>
    </row>
    <row r="2" spans="1:10" ht="13.8" x14ac:dyDescent="0.25">
      <c r="A2" s="71" t="s">
        <v>590</v>
      </c>
      <c r="B2" s="71"/>
      <c r="C2" s="71"/>
    </row>
    <row r="3" spans="1:10" ht="15.6" x14ac:dyDescent="0.25">
      <c r="A3" s="65" t="s">
        <v>537</v>
      </c>
      <c r="B3" s="65" t="s">
        <v>538</v>
      </c>
      <c r="C3" s="65" t="s">
        <v>539</v>
      </c>
      <c r="D3" s="65" t="s">
        <v>542</v>
      </c>
      <c r="E3" s="65" t="s">
        <v>543</v>
      </c>
      <c r="F3" s="65" t="s">
        <v>544</v>
      </c>
    </row>
    <row r="4" spans="1:10" x14ac:dyDescent="0.25">
      <c r="A4" s="63">
        <v>0.89</v>
      </c>
      <c r="B4" s="63">
        <v>0.75</v>
      </c>
      <c r="C4" s="63">
        <v>1.26</v>
      </c>
      <c r="D4" s="63">
        <v>1.1100000000000001</v>
      </c>
      <c r="E4" s="63">
        <v>1.33</v>
      </c>
      <c r="F4" s="63">
        <v>1.02</v>
      </c>
    </row>
    <row r="5" spans="1:10" x14ac:dyDescent="0.25">
      <c r="A5" s="63">
        <v>0.7</v>
      </c>
      <c r="B5" s="63">
        <v>0.71</v>
      </c>
      <c r="C5" s="63">
        <v>1.23</v>
      </c>
      <c r="D5" s="63">
        <v>1.1200000000000001</v>
      </c>
      <c r="E5" s="63">
        <v>0.96</v>
      </c>
      <c r="F5" s="63">
        <v>1.51</v>
      </c>
    </row>
    <row r="6" spans="1:10" x14ac:dyDescent="0.25">
      <c r="A6" s="63">
        <v>0.84</v>
      </c>
      <c r="B6" s="63">
        <v>0.91</v>
      </c>
      <c r="C6" s="63">
        <v>0.87</v>
      </c>
      <c r="D6" s="63">
        <v>1.35</v>
      </c>
      <c r="E6" s="63">
        <v>1.35</v>
      </c>
      <c r="F6" s="63">
        <v>0.99</v>
      </c>
    </row>
    <row r="7" spans="1:10" x14ac:dyDescent="0.25">
      <c r="A7" s="63">
        <v>0.62</v>
      </c>
      <c r="B7" s="63">
        <v>1.26</v>
      </c>
      <c r="C7" s="63">
        <v>1.1399999999999999</v>
      </c>
      <c r="D7" s="63">
        <v>0.78</v>
      </c>
      <c r="E7" s="63">
        <v>1.39</v>
      </c>
      <c r="F7" s="63">
        <v>1.17</v>
      </c>
      <c r="H7" s="66" t="s">
        <v>587</v>
      </c>
      <c r="I7" s="67">
        <f>AVERAGE(A4:C14)</f>
        <v>0.73230769230769233</v>
      </c>
      <c r="J7" s="67">
        <f>AVERAGE(D4:F12)</f>
        <v>1.1676923076923076</v>
      </c>
    </row>
    <row r="8" spans="1:10" x14ac:dyDescent="0.25">
      <c r="A8" s="63">
        <v>0.63</v>
      </c>
      <c r="B8" s="63">
        <v>0.71</v>
      </c>
      <c r="C8" s="63">
        <v>0.51</v>
      </c>
      <c r="D8" s="63">
        <v>1.38</v>
      </c>
      <c r="E8" s="63">
        <v>1.1499999999999999</v>
      </c>
      <c r="F8" s="63">
        <v>1.55</v>
      </c>
      <c r="H8" s="66" t="s">
        <v>588</v>
      </c>
      <c r="I8" s="22">
        <f>STDEVP(A4:C14)/SQRT(COUNT(A4:C14))</f>
        <v>6.3204158007524686E-2</v>
      </c>
      <c r="J8" s="22">
        <f>STDEVP(D4:F12)/SQRT(COUNT(D4:F12))</f>
        <v>4.452679431449505E-2</v>
      </c>
    </row>
    <row r="9" spans="1:10" x14ac:dyDescent="0.25">
      <c r="A9" s="63">
        <v>0.93</v>
      </c>
      <c r="B9" s="63">
        <v>0.82</v>
      </c>
      <c r="C9" s="63">
        <v>0.89</v>
      </c>
      <c r="D9" s="63">
        <v>1.17</v>
      </c>
      <c r="E9" s="63">
        <v>0.75</v>
      </c>
      <c r="F9" s="63">
        <v>1.19</v>
      </c>
      <c r="I9" s="68"/>
      <c r="J9" s="68"/>
    </row>
    <row r="10" spans="1:10" x14ac:dyDescent="0.25">
      <c r="A10" s="63">
        <v>0.06</v>
      </c>
      <c r="B10" s="63">
        <v>0.95</v>
      </c>
      <c r="C10" s="63">
        <v>0.75</v>
      </c>
      <c r="D10" s="63">
        <v>1.07</v>
      </c>
      <c r="E10" s="63">
        <v>1.02</v>
      </c>
      <c r="F10" s="63">
        <v>1.1000000000000001</v>
      </c>
      <c r="J10" s="68"/>
    </row>
    <row r="11" spans="1:10" x14ac:dyDescent="0.25">
      <c r="A11" s="63">
        <v>0.43</v>
      </c>
      <c r="C11" s="63">
        <v>0.21</v>
      </c>
      <c r="D11" s="63">
        <v>0.82</v>
      </c>
      <c r="E11" s="63">
        <v>0.93</v>
      </c>
      <c r="F11" s="63">
        <v>1.43</v>
      </c>
      <c r="I11" s="53" t="s">
        <v>578</v>
      </c>
      <c r="J11" s="52" t="s">
        <v>622</v>
      </c>
    </row>
    <row r="12" spans="1:10" x14ac:dyDescent="0.25">
      <c r="C12" s="63">
        <v>0.61</v>
      </c>
      <c r="D12" s="63">
        <v>1.59</v>
      </c>
      <c r="E12" s="63">
        <v>1.1299999999999999</v>
      </c>
      <c r="I12" s="53"/>
      <c r="J12" s="52"/>
    </row>
    <row r="13" spans="1:10" ht="15.6" x14ac:dyDescent="0.25">
      <c r="C13" s="63">
        <v>0.12</v>
      </c>
      <c r="I13" s="53" t="s">
        <v>419</v>
      </c>
      <c r="J13" s="52" t="s">
        <v>535</v>
      </c>
    </row>
    <row r="14" spans="1:10" x14ac:dyDescent="0.25">
      <c r="C14" s="63">
        <v>0.24</v>
      </c>
      <c r="I14" s="53" t="s">
        <v>421</v>
      </c>
      <c r="J14" s="52" t="s">
        <v>421</v>
      </c>
    </row>
    <row r="15" spans="1:10" ht="15.6" x14ac:dyDescent="0.25">
      <c r="I15" s="53" t="s">
        <v>422</v>
      </c>
      <c r="J15" s="52" t="s">
        <v>534</v>
      </c>
    </row>
    <row r="16" spans="1:10" x14ac:dyDescent="0.25">
      <c r="I16" s="53"/>
      <c r="J16" s="52"/>
    </row>
    <row r="17" spans="9:10" x14ac:dyDescent="0.25">
      <c r="I17" s="53" t="s">
        <v>424</v>
      </c>
      <c r="J17" s="52"/>
    </row>
    <row r="18" spans="9:10" x14ac:dyDescent="0.25">
      <c r="I18" s="53" t="s">
        <v>425</v>
      </c>
      <c r="J18" s="52" t="s">
        <v>616</v>
      </c>
    </row>
    <row r="19" spans="9:10" x14ac:dyDescent="0.25">
      <c r="I19" s="53" t="s">
        <v>426</v>
      </c>
      <c r="J19" s="52" t="s">
        <v>555</v>
      </c>
    </row>
    <row r="20" spans="9:10" x14ac:dyDescent="0.25">
      <c r="I20" s="53" t="s">
        <v>428</v>
      </c>
      <c r="J20" s="52" t="s">
        <v>429</v>
      </c>
    </row>
    <row r="21" spans="9:10" x14ac:dyDescent="0.25">
      <c r="I21" s="53" t="s">
        <v>430</v>
      </c>
      <c r="J21" s="52" t="s">
        <v>431</v>
      </c>
    </row>
    <row r="22" spans="9:10" x14ac:dyDescent="0.25">
      <c r="I22" s="53" t="s">
        <v>432</v>
      </c>
      <c r="J22" s="52" t="s">
        <v>623</v>
      </c>
    </row>
    <row r="23" spans="9:10" x14ac:dyDescent="0.25">
      <c r="I23" s="53"/>
      <c r="J23" s="52"/>
    </row>
    <row r="24" spans="9:10" x14ac:dyDescent="0.25">
      <c r="I24" s="53" t="s">
        <v>434</v>
      </c>
      <c r="J24" s="52"/>
    </row>
    <row r="25" spans="9:10" x14ac:dyDescent="0.25">
      <c r="I25" s="53" t="s">
        <v>435</v>
      </c>
      <c r="J25" s="52">
        <v>0.73229999999999995</v>
      </c>
    </row>
    <row r="26" spans="9:10" x14ac:dyDescent="0.25">
      <c r="I26" s="53" t="s">
        <v>436</v>
      </c>
      <c r="J26" s="52">
        <v>1.1679999999999999</v>
      </c>
    </row>
    <row r="27" spans="9:10" x14ac:dyDescent="0.25">
      <c r="I27" s="53" t="s">
        <v>437</v>
      </c>
      <c r="J27" s="52" t="s">
        <v>624</v>
      </c>
    </row>
    <row r="28" spans="9:10" x14ac:dyDescent="0.25">
      <c r="I28" s="53" t="s">
        <v>439</v>
      </c>
      <c r="J28" s="52" t="s">
        <v>625</v>
      </c>
    </row>
    <row r="29" spans="9:10" x14ac:dyDescent="0.25">
      <c r="I29" s="53" t="s">
        <v>441</v>
      </c>
      <c r="J29" s="52">
        <v>0.37880000000000003</v>
      </c>
    </row>
    <row r="30" spans="9:10" x14ac:dyDescent="0.25">
      <c r="I30" s="53"/>
      <c r="J30" s="52"/>
    </row>
    <row r="31" spans="9:10" x14ac:dyDescent="0.25">
      <c r="I31" s="53" t="s">
        <v>442</v>
      </c>
      <c r="J31" s="52"/>
    </row>
    <row r="32" spans="9:10" x14ac:dyDescent="0.25">
      <c r="I32" s="53" t="s">
        <v>443</v>
      </c>
      <c r="J32" s="52" t="s">
        <v>626</v>
      </c>
    </row>
    <row r="33" spans="9:10" x14ac:dyDescent="0.25">
      <c r="I33" s="53" t="s">
        <v>425</v>
      </c>
      <c r="J33" s="52">
        <v>8.5999999999999993E-2</v>
      </c>
    </row>
    <row r="34" spans="9:10" x14ac:dyDescent="0.25">
      <c r="I34" s="53" t="s">
        <v>426</v>
      </c>
      <c r="J34" s="52" t="s">
        <v>445</v>
      </c>
    </row>
    <row r="35" spans="9:10" x14ac:dyDescent="0.25">
      <c r="I35" s="53" t="s">
        <v>428</v>
      </c>
      <c r="J35" s="52" t="s">
        <v>446</v>
      </c>
    </row>
    <row r="36" spans="9:10" x14ac:dyDescent="0.25">
      <c r="I36" s="53"/>
      <c r="J36" s="52"/>
    </row>
    <row r="37" spans="9:10" x14ac:dyDescent="0.25">
      <c r="I37" s="53" t="s">
        <v>447</v>
      </c>
      <c r="J37" s="52"/>
    </row>
    <row r="38" spans="9:10" x14ac:dyDescent="0.25">
      <c r="I38" s="53" t="s">
        <v>448</v>
      </c>
      <c r="J38" s="52">
        <v>26</v>
      </c>
    </row>
    <row r="39" spans="9:10" x14ac:dyDescent="0.25">
      <c r="I39" s="53" t="s">
        <v>449</v>
      </c>
      <c r="J39" s="52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Fig 1-Cii </vt:lpstr>
      <vt:lpstr>Fig 1-E </vt:lpstr>
      <vt:lpstr>Fig 1-F,G</vt:lpstr>
      <vt:lpstr>Fig 2 B </vt:lpstr>
      <vt:lpstr>Fig 2 C,D,E</vt:lpstr>
      <vt:lpstr>Fig 2 G</vt:lpstr>
      <vt:lpstr>Fig 2 I</vt:lpstr>
      <vt:lpstr>Fig 3 D</vt:lpstr>
      <vt:lpstr>Fig 3 E</vt:lpstr>
      <vt:lpstr>Fig 3 F</vt:lpstr>
      <vt:lpstr>Fig 3 G</vt:lpstr>
      <vt:lpstr>Fig 3 H</vt:lpstr>
      <vt:lpstr>Fig 3 I</vt:lpstr>
      <vt:lpstr>Fig 4-C, D</vt:lpstr>
      <vt:lpstr>Fig 4-F</vt:lpstr>
      <vt:lpstr>Fig 5-C,D</vt:lpstr>
      <vt:lpstr>Fig 5-E,F</vt:lpstr>
      <vt:lpstr>Fig 5-I</vt:lpstr>
      <vt:lpstr>Fig 5-J</vt:lpstr>
      <vt:lpstr>Fig 5-K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古景开</dc:creator>
  <cp:lastModifiedBy>gjk-pc</cp:lastModifiedBy>
  <dcterms:created xsi:type="dcterms:W3CDTF">2015-06-05T18:19:34Z</dcterms:created>
  <dcterms:modified xsi:type="dcterms:W3CDTF">2023-02-13T06:24:34Z</dcterms:modified>
</cp:coreProperties>
</file>