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/>
  <mc:AlternateContent xmlns:mc="http://schemas.openxmlformats.org/markup-compatibility/2006">
    <mc:Choice Requires="x15">
      <x15ac:absPath xmlns:x15ac="http://schemas.microsoft.com/office/spreadsheetml/2010/11/ac" url="C:\Users\abrham\Desktop\Frontiers_Word_Templates\"/>
    </mc:Choice>
  </mc:AlternateContent>
  <xr:revisionPtr revIDLastSave="0" documentId="13_ncr:1_{DD9F2E36-21BF-4D87-AF01-0E719E22C1B6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RECAP_final" sheetId="1" r:id="rId1"/>
    <sheet name="Tabs" sheetId="2" r:id="rId2"/>
  </sheets>
  <definedNames>
    <definedName name="_xlnm._FilterDatabase" localSheetId="0" hidden="1">RECAP_final!$A$4:$AY$141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44" i="1" l="1"/>
  <c r="AZ144" i="1"/>
  <c r="BA143" i="1"/>
  <c r="AZ143" i="1"/>
  <c r="AG8" i="2"/>
  <c r="AF8" i="2"/>
  <c r="AG7" i="2"/>
  <c r="AF7" i="2"/>
  <c r="AG6" i="2"/>
  <c r="AF6" i="2"/>
  <c r="AG5" i="2"/>
  <c r="AF5" i="2"/>
  <c r="AI19" i="2"/>
  <c r="AI20" i="2" s="1"/>
  <c r="AI18" i="2"/>
  <c r="AT8" i="2"/>
  <c r="AP8" i="2"/>
  <c r="AO8" i="2"/>
  <c r="AT7" i="2"/>
  <c r="AP7" i="2"/>
  <c r="AO7" i="2"/>
  <c r="AT6" i="2"/>
  <c r="AP6" i="2"/>
  <c r="AO6" i="2"/>
  <c r="A6" i="2"/>
  <c r="A7" i="2" s="1"/>
  <c r="AT5" i="2"/>
  <c r="AP5" i="2"/>
  <c r="AO5" i="2"/>
  <c r="AO9" i="2" s="1"/>
  <c r="AL142" i="1"/>
  <c r="AI142" i="1"/>
  <c r="AJ142" i="1" s="1"/>
  <c r="AB142" i="1"/>
  <c r="AA142" i="1"/>
  <c r="Z142" i="1"/>
  <c r="W142" i="1"/>
  <c r="Y142" i="1" s="1"/>
  <c r="AC142" i="1" s="1"/>
  <c r="V142" i="1"/>
  <c r="U142" i="1"/>
  <c r="T142" i="1"/>
  <c r="S142" i="1"/>
  <c r="N142" i="1"/>
  <c r="M142" i="1"/>
  <c r="L142" i="1"/>
  <c r="K142" i="1"/>
  <c r="J142" i="1"/>
  <c r="F142" i="1"/>
  <c r="E142" i="1"/>
  <c r="AL141" i="1"/>
  <c r="AI141" i="1"/>
  <c r="AJ141" i="1" s="1"/>
  <c r="AB141" i="1"/>
  <c r="AA141" i="1"/>
  <c r="Z141" i="1"/>
  <c r="W141" i="1"/>
  <c r="Y141" i="1" s="1"/>
  <c r="V141" i="1"/>
  <c r="T141" i="1"/>
  <c r="S141" i="1"/>
  <c r="P141" i="1"/>
  <c r="U141" i="1" s="1"/>
  <c r="K141" i="1"/>
  <c r="O141" i="1" s="1"/>
  <c r="J141" i="1"/>
  <c r="E141" i="1"/>
  <c r="C141" i="1"/>
  <c r="F141" i="1" s="1"/>
  <c r="AL140" i="1"/>
  <c r="AG140" i="1"/>
  <c r="AI140" i="1" s="1"/>
  <c r="AJ140" i="1" s="1"/>
  <c r="AB140" i="1"/>
  <c r="AA140" i="1"/>
  <c r="Z140" i="1"/>
  <c r="W140" i="1"/>
  <c r="Y140" i="1" s="1"/>
  <c r="AC140" i="1" s="1"/>
  <c r="V140" i="1"/>
  <c r="U140" i="1"/>
  <c r="T140" i="1"/>
  <c r="S140" i="1"/>
  <c r="K140" i="1"/>
  <c r="O140" i="1" s="1"/>
  <c r="AM140" i="1" s="1"/>
  <c r="J140" i="1"/>
  <c r="F140" i="1"/>
  <c r="E140" i="1"/>
  <c r="AY139" i="1"/>
  <c r="AL139" i="1"/>
  <c r="AI139" i="1"/>
  <c r="AJ139" i="1" s="1"/>
  <c r="Z139" i="1"/>
  <c r="S139" i="1"/>
  <c r="J139" i="1"/>
  <c r="F139" i="1"/>
  <c r="E139" i="1"/>
  <c r="C139" i="1"/>
  <c r="AY138" i="1"/>
  <c r="AL138" i="1"/>
  <c r="AI138" i="1"/>
  <c r="AJ138" i="1" s="1"/>
  <c r="F138" i="1"/>
  <c r="E138" i="1"/>
  <c r="AL137" i="1"/>
  <c r="AI137" i="1"/>
  <c r="AJ137" i="1" s="1"/>
  <c r="AB137" i="1"/>
  <c r="AA137" i="1"/>
  <c r="Z137" i="1"/>
  <c r="W137" i="1"/>
  <c r="Y137" i="1" s="1"/>
  <c r="V137" i="1"/>
  <c r="P137" i="1" s="1"/>
  <c r="T137" i="1"/>
  <c r="S137" i="1"/>
  <c r="K137" i="1"/>
  <c r="O137" i="1" s="1"/>
  <c r="AM137" i="1" s="1"/>
  <c r="J137" i="1"/>
  <c r="E137" i="1"/>
  <c r="C137" i="1"/>
  <c r="F137" i="1" s="1"/>
  <c r="B137" i="1"/>
  <c r="AL136" i="1"/>
  <c r="AI136" i="1"/>
  <c r="AJ136" i="1" s="1"/>
  <c r="AB136" i="1"/>
  <c r="AA136" i="1"/>
  <c r="Z136" i="1"/>
  <c r="W136" i="1"/>
  <c r="Y136" i="1" s="1"/>
  <c r="V136" i="1"/>
  <c r="P136" i="1" s="1"/>
  <c r="U136" i="1"/>
  <c r="T136" i="1"/>
  <c r="S136" i="1"/>
  <c r="K136" i="1"/>
  <c r="O136" i="1" s="1"/>
  <c r="J136" i="1"/>
  <c r="F136" i="1"/>
  <c r="E136" i="1"/>
  <c r="AL135" i="1"/>
  <c r="AI135" i="1"/>
  <c r="AJ135" i="1" s="1"/>
  <c r="AZ135" i="1" s="1"/>
  <c r="AE135" i="1"/>
  <c r="AB135" i="1"/>
  <c r="AA135" i="1"/>
  <c r="Z135" i="1"/>
  <c r="W135" i="1"/>
  <c r="Y135" i="1" s="1"/>
  <c r="AC135" i="1" s="1"/>
  <c r="T135" i="1"/>
  <c r="S135" i="1"/>
  <c r="P135" i="1"/>
  <c r="K135" i="1"/>
  <c r="O135" i="1" s="1"/>
  <c r="J135" i="1"/>
  <c r="E135" i="1"/>
  <c r="C135" i="1"/>
  <c r="F135" i="1" s="1"/>
  <c r="AL134" i="1"/>
  <c r="AI134" i="1"/>
  <c r="AJ134" i="1" s="1"/>
  <c r="AE134" i="1"/>
  <c r="AB134" i="1"/>
  <c r="AA134" i="1"/>
  <c r="Z134" i="1"/>
  <c r="W134" i="1"/>
  <c r="Y134" i="1" s="1"/>
  <c r="V134" i="1"/>
  <c r="U134" i="1"/>
  <c r="T134" i="1"/>
  <c r="S134" i="1"/>
  <c r="K134" i="1"/>
  <c r="O134" i="1" s="1"/>
  <c r="AM134" i="1" s="1"/>
  <c r="J134" i="1"/>
  <c r="F134" i="1"/>
  <c r="E134" i="1"/>
  <c r="A134" i="1"/>
  <c r="A135" i="1" s="1"/>
  <c r="A136" i="1" s="1"/>
  <c r="A137" i="1" s="1"/>
  <c r="A138" i="1" s="1"/>
  <c r="A139" i="1" s="1"/>
  <c r="A140" i="1" s="1"/>
  <c r="A141" i="1" s="1"/>
  <c r="A142" i="1" s="1"/>
  <c r="AV133" i="1"/>
  <c r="AS133" i="1"/>
  <c r="AR133" i="1"/>
  <c r="AJ133" i="1"/>
  <c r="AI133" i="1"/>
  <c r="Y133" i="1"/>
  <c r="AC133" i="1" s="1"/>
  <c r="O133" i="1"/>
  <c r="AM133" i="1" s="1"/>
  <c r="E133" i="1"/>
  <c r="AV132" i="1"/>
  <c r="AS132" i="1"/>
  <c r="AR132" i="1"/>
  <c r="AI132" i="1"/>
  <c r="AJ132" i="1" s="1"/>
  <c r="AZ132" i="1" s="1"/>
  <c r="Y132" i="1"/>
  <c r="AC132" i="1" s="1"/>
  <c r="O132" i="1"/>
  <c r="AM132" i="1" s="1"/>
  <c r="E132" i="1"/>
  <c r="AV131" i="1"/>
  <c r="AS131" i="1"/>
  <c r="AR131" i="1"/>
  <c r="AI131" i="1"/>
  <c r="AJ131" i="1" s="1"/>
  <c r="AZ131" i="1" s="1"/>
  <c r="Y131" i="1"/>
  <c r="AC131" i="1" s="1"/>
  <c r="O131" i="1"/>
  <c r="AM131" i="1" s="1"/>
  <c r="E131" i="1"/>
  <c r="AV130" i="1"/>
  <c r="AS130" i="1"/>
  <c r="AR130" i="1"/>
  <c r="AI130" i="1"/>
  <c r="AJ130" i="1" s="1"/>
  <c r="AZ130" i="1" s="1"/>
  <c r="AC130" i="1"/>
  <c r="BA130" i="1" s="1"/>
  <c r="Y130" i="1"/>
  <c r="O130" i="1"/>
  <c r="AM130" i="1" s="1"/>
  <c r="E130" i="1"/>
  <c r="AV129" i="1"/>
  <c r="AS129" i="1"/>
  <c r="AR129" i="1"/>
  <c r="AJ129" i="1"/>
  <c r="AI129" i="1"/>
  <c r="Y129" i="1"/>
  <c r="AC129" i="1" s="1"/>
  <c r="BA129" i="1" s="1"/>
  <c r="O129" i="1"/>
  <c r="AM129" i="1" s="1"/>
  <c r="E129" i="1"/>
  <c r="AV128" i="1"/>
  <c r="AS128" i="1"/>
  <c r="AR128" i="1"/>
  <c r="AI128" i="1"/>
  <c r="AJ128" i="1" s="1"/>
  <c r="Y128" i="1"/>
  <c r="AC128" i="1" s="1"/>
  <c r="BA128" i="1" s="1"/>
  <c r="O128" i="1"/>
  <c r="AM128" i="1" s="1"/>
  <c r="E128" i="1"/>
  <c r="AV127" i="1"/>
  <c r="AS127" i="1"/>
  <c r="AR127" i="1"/>
  <c r="AI127" i="1"/>
  <c r="AJ127" i="1" s="1"/>
  <c r="Y127" i="1"/>
  <c r="AC127" i="1" s="1"/>
  <c r="O127" i="1"/>
  <c r="AU127" i="1" s="1"/>
  <c r="E127" i="1"/>
  <c r="AV126" i="1"/>
  <c r="AS126" i="1"/>
  <c r="AR126" i="1"/>
  <c r="AI126" i="1"/>
  <c r="AJ126" i="1" s="1"/>
  <c r="AZ126" i="1" s="1"/>
  <c r="Y126" i="1"/>
  <c r="AC126" i="1" s="1"/>
  <c r="BA126" i="1" s="1"/>
  <c r="O126" i="1"/>
  <c r="AM126" i="1" s="1"/>
  <c r="E126" i="1"/>
  <c r="AV125" i="1"/>
  <c r="AS125" i="1"/>
  <c r="AR125" i="1"/>
  <c r="AI125" i="1"/>
  <c r="AJ125" i="1" s="1"/>
  <c r="Y125" i="1"/>
  <c r="AC125" i="1" s="1"/>
  <c r="O125" i="1"/>
  <c r="AM125" i="1" s="1"/>
  <c r="E125" i="1"/>
  <c r="AV124" i="1"/>
  <c r="AS124" i="1"/>
  <c r="AR124" i="1"/>
  <c r="AI124" i="1"/>
  <c r="AJ124" i="1" s="1"/>
  <c r="AZ124" i="1" s="1"/>
  <c r="Y124" i="1"/>
  <c r="AC124" i="1" s="1"/>
  <c r="O124" i="1"/>
  <c r="AM124" i="1" s="1"/>
  <c r="E124" i="1"/>
  <c r="AV123" i="1"/>
  <c r="AS123" i="1"/>
  <c r="AR123" i="1"/>
  <c r="AI123" i="1"/>
  <c r="AJ123" i="1" s="1"/>
  <c r="AZ123" i="1" s="1"/>
  <c r="Y123" i="1"/>
  <c r="AC123" i="1" s="1"/>
  <c r="O123" i="1"/>
  <c r="AM123" i="1" s="1"/>
  <c r="E123" i="1"/>
  <c r="AV122" i="1"/>
  <c r="AU122" i="1"/>
  <c r="AS122" i="1"/>
  <c r="AR122" i="1"/>
  <c r="AJ122" i="1"/>
  <c r="AI122" i="1"/>
  <c r="Y122" i="1"/>
  <c r="AC122" i="1" s="1"/>
  <c r="BA122" i="1" s="1"/>
  <c r="O122" i="1"/>
  <c r="AM122" i="1" s="1"/>
  <c r="E122" i="1"/>
  <c r="AV121" i="1"/>
  <c r="AS121" i="1"/>
  <c r="AR121" i="1"/>
  <c r="AI121" i="1"/>
  <c r="AJ121" i="1" s="1"/>
  <c r="AZ121" i="1" s="1"/>
  <c r="Y121" i="1"/>
  <c r="AC121" i="1" s="1"/>
  <c r="O121" i="1"/>
  <c r="AM121" i="1" s="1"/>
  <c r="E121" i="1"/>
  <c r="AV120" i="1"/>
  <c r="AS120" i="1"/>
  <c r="AR120" i="1"/>
  <c r="AI120" i="1"/>
  <c r="AJ120" i="1" s="1"/>
  <c r="Y120" i="1"/>
  <c r="AC120" i="1" s="1"/>
  <c r="O120" i="1"/>
  <c r="AM120" i="1" s="1"/>
  <c r="E120" i="1"/>
  <c r="AV119" i="1"/>
  <c r="AS119" i="1"/>
  <c r="AR119" i="1"/>
  <c r="AI119" i="1"/>
  <c r="AJ119" i="1" s="1"/>
  <c r="AZ119" i="1" s="1"/>
  <c r="Y119" i="1"/>
  <c r="AC119" i="1" s="1"/>
  <c r="O119" i="1"/>
  <c r="AU119" i="1" s="1"/>
  <c r="E119" i="1"/>
  <c r="AV118" i="1"/>
  <c r="AS118" i="1"/>
  <c r="AR118" i="1"/>
  <c r="AI118" i="1"/>
  <c r="AJ118" i="1" s="1"/>
  <c r="AZ118" i="1" s="1"/>
  <c r="Y118" i="1"/>
  <c r="AC118" i="1" s="1"/>
  <c r="BA118" i="1" s="1"/>
  <c r="O118" i="1"/>
  <c r="AM118" i="1" s="1"/>
  <c r="E118" i="1"/>
  <c r="AV117" i="1"/>
  <c r="AS117" i="1"/>
  <c r="AR117" i="1"/>
  <c r="AI117" i="1"/>
  <c r="AJ117" i="1" s="1"/>
  <c r="Y117" i="1"/>
  <c r="AC117" i="1" s="1"/>
  <c r="O117" i="1"/>
  <c r="AM117" i="1" s="1"/>
  <c r="E117" i="1"/>
  <c r="AV116" i="1"/>
  <c r="AS116" i="1"/>
  <c r="AR116" i="1"/>
  <c r="AI116" i="1"/>
  <c r="AJ116" i="1" s="1"/>
  <c r="AZ116" i="1" s="1"/>
  <c r="Y116" i="1"/>
  <c r="AC116" i="1" s="1"/>
  <c r="O116" i="1"/>
  <c r="AM116" i="1" s="1"/>
  <c r="E116" i="1"/>
  <c r="AV115" i="1"/>
  <c r="AS115" i="1"/>
  <c r="AR115" i="1"/>
  <c r="AI115" i="1"/>
  <c r="AJ115" i="1" s="1"/>
  <c r="AZ115" i="1" s="1"/>
  <c r="Y115" i="1"/>
  <c r="AC115" i="1" s="1"/>
  <c r="O115" i="1"/>
  <c r="AM115" i="1" s="1"/>
  <c r="E115" i="1"/>
  <c r="AV114" i="1"/>
  <c r="AU114" i="1"/>
  <c r="AS114" i="1"/>
  <c r="AR114" i="1"/>
  <c r="AI114" i="1"/>
  <c r="AJ114" i="1" s="1"/>
  <c r="AZ114" i="1" s="1"/>
  <c r="AC114" i="1"/>
  <c r="BA114" i="1" s="1"/>
  <c r="Y114" i="1"/>
  <c r="O114" i="1"/>
  <c r="AM114" i="1" s="1"/>
  <c r="E114" i="1"/>
  <c r="AV113" i="1"/>
  <c r="AS113" i="1"/>
  <c r="AR113" i="1"/>
  <c r="AI113" i="1"/>
  <c r="AJ113" i="1" s="1"/>
  <c r="AZ113" i="1" s="1"/>
  <c r="Y113" i="1"/>
  <c r="AC113" i="1" s="1"/>
  <c r="O113" i="1"/>
  <c r="AM113" i="1" s="1"/>
  <c r="E113" i="1"/>
  <c r="AV112" i="1"/>
  <c r="AS112" i="1"/>
  <c r="AR112" i="1"/>
  <c r="AI112" i="1"/>
  <c r="AJ112" i="1" s="1"/>
  <c r="AC112" i="1"/>
  <c r="Y112" i="1"/>
  <c r="O112" i="1"/>
  <c r="E112" i="1"/>
  <c r="AV111" i="1"/>
  <c r="AS111" i="1"/>
  <c r="AR111" i="1"/>
  <c r="AI111" i="1"/>
  <c r="AJ111" i="1" s="1"/>
  <c r="AZ111" i="1" s="1"/>
  <c r="Y111" i="1"/>
  <c r="AC111" i="1" s="1"/>
  <c r="BA111" i="1" s="1"/>
  <c r="O111" i="1"/>
  <c r="AU111" i="1" s="1"/>
  <c r="E111" i="1"/>
  <c r="AV110" i="1"/>
  <c r="AS110" i="1"/>
  <c r="AR110" i="1"/>
  <c r="AI110" i="1"/>
  <c r="AJ110" i="1" s="1"/>
  <c r="Y110" i="1"/>
  <c r="AC110" i="1" s="1"/>
  <c r="O110" i="1"/>
  <c r="AM110" i="1" s="1"/>
  <c r="E110" i="1"/>
  <c r="AV109" i="1"/>
  <c r="AS109" i="1"/>
  <c r="AR109" i="1"/>
  <c r="AK109" i="1"/>
  <c r="AL109" i="1" s="1"/>
  <c r="AI109" i="1"/>
  <c r="AJ109" i="1" s="1"/>
  <c r="Y109" i="1"/>
  <c r="AC109" i="1" s="1"/>
  <c r="O109" i="1"/>
  <c r="AM109" i="1" s="1"/>
  <c r="E109" i="1"/>
  <c r="AV108" i="1"/>
  <c r="AS108" i="1"/>
  <c r="AR108" i="1"/>
  <c r="AM108" i="1"/>
  <c r="AK108" i="1"/>
  <c r="AL108" i="1" s="1"/>
  <c r="AI108" i="1"/>
  <c r="AJ108" i="1" s="1"/>
  <c r="AZ108" i="1" s="1"/>
  <c r="Y108" i="1"/>
  <c r="AC108" i="1" s="1"/>
  <c r="BA108" i="1" s="1"/>
  <c r="O108" i="1"/>
  <c r="AU108" i="1" s="1"/>
  <c r="E108" i="1"/>
  <c r="C108" i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AV107" i="1"/>
  <c r="AS107" i="1"/>
  <c r="AR107" i="1"/>
  <c r="AL107" i="1"/>
  <c r="AI107" i="1"/>
  <c r="AJ107" i="1" s="1"/>
  <c r="AZ107" i="1" s="1"/>
  <c r="Y107" i="1"/>
  <c r="AC107" i="1" s="1"/>
  <c r="BA107" i="1" s="1"/>
  <c r="O107" i="1"/>
  <c r="AM107" i="1" s="1"/>
  <c r="F107" i="1"/>
  <c r="E107" i="1"/>
  <c r="AV106" i="1"/>
  <c r="AS106" i="1"/>
  <c r="AR106" i="1"/>
  <c r="AI106" i="1"/>
  <c r="AJ106" i="1" s="1"/>
  <c r="AZ106" i="1" s="1"/>
  <c r="Y106" i="1"/>
  <c r="AC106" i="1" s="1"/>
  <c r="BA106" i="1" s="1"/>
  <c r="O106" i="1"/>
  <c r="AU106" i="1" s="1"/>
  <c r="E106" i="1"/>
  <c r="AV105" i="1"/>
  <c r="AS105" i="1"/>
  <c r="AR105" i="1"/>
  <c r="AI105" i="1"/>
  <c r="AJ105" i="1" s="1"/>
  <c r="Y105" i="1"/>
  <c r="AC105" i="1" s="1"/>
  <c r="O105" i="1"/>
  <c r="AM105" i="1" s="1"/>
  <c r="E105" i="1"/>
  <c r="AV104" i="1"/>
  <c r="AS104" i="1"/>
  <c r="AR104" i="1"/>
  <c r="AI104" i="1"/>
  <c r="AJ104" i="1" s="1"/>
  <c r="AZ104" i="1" s="1"/>
  <c r="Y104" i="1"/>
  <c r="AC104" i="1" s="1"/>
  <c r="BA104" i="1" s="1"/>
  <c r="O104" i="1"/>
  <c r="E104" i="1"/>
  <c r="AV103" i="1"/>
  <c r="AT103" i="1"/>
  <c r="AS103" i="1"/>
  <c r="AR103" i="1"/>
  <c r="AJ103" i="1"/>
  <c r="AI103" i="1"/>
  <c r="Y103" i="1"/>
  <c r="AC103" i="1" s="1"/>
  <c r="O103" i="1"/>
  <c r="AM103" i="1" s="1"/>
  <c r="E103" i="1"/>
  <c r="AV102" i="1"/>
  <c r="AS102" i="1"/>
  <c r="AR102" i="1"/>
  <c r="AI102" i="1"/>
  <c r="AJ102" i="1" s="1"/>
  <c r="AZ102" i="1" s="1"/>
  <c r="Y102" i="1"/>
  <c r="AC102" i="1" s="1"/>
  <c r="BA102" i="1" s="1"/>
  <c r="O102" i="1"/>
  <c r="AM102" i="1" s="1"/>
  <c r="E102" i="1"/>
  <c r="AV101" i="1"/>
  <c r="AS101" i="1"/>
  <c r="AR101" i="1"/>
  <c r="AI101" i="1"/>
  <c r="AJ101" i="1" s="1"/>
  <c r="AZ101" i="1" s="1"/>
  <c r="Y101" i="1"/>
  <c r="AC101" i="1" s="1"/>
  <c r="O101" i="1"/>
  <c r="AM101" i="1" s="1"/>
  <c r="E101" i="1"/>
  <c r="AV100" i="1"/>
  <c r="AS100" i="1"/>
  <c r="AR100" i="1"/>
  <c r="AI100" i="1"/>
  <c r="AJ100" i="1" s="1"/>
  <c r="AZ100" i="1" s="1"/>
  <c r="AC100" i="1"/>
  <c r="BA100" i="1" s="1"/>
  <c r="Y100" i="1"/>
  <c r="O100" i="1"/>
  <c r="AM100" i="1" s="1"/>
  <c r="E100" i="1"/>
  <c r="AV99" i="1"/>
  <c r="AS99" i="1"/>
  <c r="AR99" i="1"/>
  <c r="AI99" i="1"/>
  <c r="AJ99" i="1" s="1"/>
  <c r="AZ99" i="1" s="1"/>
  <c r="Y99" i="1"/>
  <c r="AC99" i="1" s="1"/>
  <c r="O99" i="1"/>
  <c r="AM99" i="1" s="1"/>
  <c r="E99" i="1"/>
  <c r="AV98" i="1"/>
  <c r="AR98" i="1"/>
  <c r="AM98" i="1"/>
  <c r="AI98" i="1"/>
  <c r="AJ98" i="1" s="1"/>
  <c r="AZ98" i="1" s="1"/>
  <c r="Y98" i="1"/>
  <c r="AC98" i="1" s="1"/>
  <c r="BA98" i="1" s="1"/>
  <c r="T98" i="1"/>
  <c r="S98" i="1"/>
  <c r="AS98" i="1" s="1"/>
  <c r="O98" i="1"/>
  <c r="AU98" i="1" s="1"/>
  <c r="E98" i="1"/>
  <c r="AR97" i="1"/>
  <c r="AI97" i="1"/>
  <c r="AJ97" i="1" s="1"/>
  <c r="AZ97" i="1" s="1"/>
  <c r="AC97" i="1"/>
  <c r="BA97" i="1" s="1"/>
  <c r="Y97" i="1"/>
  <c r="T97" i="1"/>
  <c r="AV97" i="1" s="1"/>
  <c r="S97" i="1"/>
  <c r="AS97" i="1" s="1"/>
  <c r="O97" i="1"/>
  <c r="E97" i="1"/>
  <c r="AR96" i="1"/>
  <c r="AI96" i="1"/>
  <c r="AJ96" i="1" s="1"/>
  <c r="Y96" i="1"/>
  <c r="AC96" i="1" s="1"/>
  <c r="BA96" i="1" s="1"/>
  <c r="T96" i="1"/>
  <c r="AV96" i="1" s="1"/>
  <c r="S96" i="1"/>
  <c r="AS96" i="1" s="1"/>
  <c r="O96" i="1"/>
  <c r="AM96" i="1" s="1"/>
  <c r="E96" i="1"/>
  <c r="AV95" i="1"/>
  <c r="AS95" i="1"/>
  <c r="AR95" i="1"/>
  <c r="AM95" i="1"/>
  <c r="AI95" i="1"/>
  <c r="AJ95" i="1" s="1"/>
  <c r="AZ95" i="1" s="1"/>
  <c r="Y95" i="1"/>
  <c r="AC95" i="1" s="1"/>
  <c r="BA95" i="1" s="1"/>
  <c r="O95" i="1"/>
  <c r="AU95" i="1" s="1"/>
  <c r="E95" i="1"/>
  <c r="AV94" i="1"/>
  <c r="AS94" i="1"/>
  <c r="AR94" i="1"/>
  <c r="AK94" i="1"/>
  <c r="AI94" i="1"/>
  <c r="AJ94" i="1" s="1"/>
  <c r="Y94" i="1"/>
  <c r="AC94" i="1" s="1"/>
  <c r="O94" i="1"/>
  <c r="AM94" i="1" s="1"/>
  <c r="E94" i="1"/>
  <c r="C94" i="1"/>
  <c r="C95" i="1" s="1"/>
  <c r="AV93" i="1"/>
  <c r="AS93" i="1"/>
  <c r="AR93" i="1"/>
  <c r="AL93" i="1"/>
  <c r="AJ93" i="1"/>
  <c r="AI93" i="1"/>
  <c r="Y93" i="1"/>
  <c r="AC93" i="1" s="1"/>
  <c r="BA93" i="1" s="1"/>
  <c r="O93" i="1"/>
  <c r="F93" i="1"/>
  <c r="E93" i="1"/>
  <c r="AV92" i="1"/>
  <c r="AS92" i="1"/>
  <c r="AR92" i="1"/>
  <c r="AL92" i="1"/>
  <c r="AI92" i="1"/>
  <c r="AJ92" i="1" s="1"/>
  <c r="AZ92" i="1" s="1"/>
  <c r="Y92" i="1"/>
  <c r="AC92" i="1" s="1"/>
  <c r="BA92" i="1" s="1"/>
  <c r="O92" i="1"/>
  <c r="AU92" i="1" s="1"/>
  <c r="E92" i="1"/>
  <c r="AV91" i="1"/>
  <c r="AS91" i="1"/>
  <c r="AR91" i="1"/>
  <c r="AL91" i="1"/>
  <c r="AI91" i="1"/>
  <c r="AJ91" i="1" s="1"/>
  <c r="Y91" i="1"/>
  <c r="AC91" i="1" s="1"/>
  <c r="BA91" i="1" s="1"/>
  <c r="O91" i="1"/>
  <c r="AM91" i="1" s="1"/>
  <c r="E91" i="1"/>
  <c r="AV90" i="1"/>
  <c r="AS90" i="1"/>
  <c r="AR90" i="1"/>
  <c r="AL90" i="1"/>
  <c r="AJ90" i="1"/>
  <c r="AZ90" i="1" s="1"/>
  <c r="AI90" i="1"/>
  <c r="Y90" i="1"/>
  <c r="AC90" i="1" s="1"/>
  <c r="O90" i="1"/>
  <c r="AU90" i="1" s="1"/>
  <c r="E90" i="1"/>
  <c r="AV89" i="1"/>
  <c r="AS89" i="1"/>
  <c r="AR89" i="1"/>
  <c r="AL89" i="1"/>
  <c r="AI89" i="1"/>
  <c r="AJ89" i="1" s="1"/>
  <c r="AZ89" i="1" s="1"/>
  <c r="Y89" i="1"/>
  <c r="AC89" i="1" s="1"/>
  <c r="O89" i="1"/>
  <c r="AM89" i="1" s="1"/>
  <c r="E89" i="1"/>
  <c r="AV88" i="1"/>
  <c r="AS88" i="1"/>
  <c r="AR88" i="1"/>
  <c r="AL88" i="1"/>
  <c r="AI88" i="1"/>
  <c r="AJ88" i="1" s="1"/>
  <c r="Y88" i="1"/>
  <c r="AC88" i="1" s="1"/>
  <c r="BA88" i="1" s="1"/>
  <c r="O88" i="1"/>
  <c r="AM88" i="1" s="1"/>
  <c r="E88" i="1"/>
  <c r="AV87" i="1"/>
  <c r="AS87" i="1"/>
  <c r="AR87" i="1"/>
  <c r="AL87" i="1"/>
  <c r="AI87" i="1"/>
  <c r="AJ87" i="1" s="1"/>
  <c r="AZ87" i="1" s="1"/>
  <c r="Y87" i="1"/>
  <c r="AC87" i="1" s="1"/>
  <c r="BA87" i="1" s="1"/>
  <c r="O87" i="1"/>
  <c r="AM87" i="1" s="1"/>
  <c r="E87" i="1"/>
  <c r="AV86" i="1"/>
  <c r="AS86" i="1"/>
  <c r="AR86" i="1"/>
  <c r="AL86" i="1"/>
  <c r="AI86" i="1"/>
  <c r="AJ86" i="1" s="1"/>
  <c r="Y86" i="1"/>
  <c r="AC86" i="1" s="1"/>
  <c r="BA86" i="1" s="1"/>
  <c r="O86" i="1"/>
  <c r="AM86" i="1" s="1"/>
  <c r="E86" i="1"/>
  <c r="AV85" i="1"/>
  <c r="AS85" i="1"/>
  <c r="AR85" i="1"/>
  <c r="AL85" i="1"/>
  <c r="AI85" i="1"/>
  <c r="AJ85" i="1" s="1"/>
  <c r="Y85" i="1"/>
  <c r="AC85" i="1" s="1"/>
  <c r="BA85" i="1" s="1"/>
  <c r="O85" i="1"/>
  <c r="E85" i="1"/>
  <c r="AV84" i="1"/>
  <c r="AS84" i="1"/>
  <c r="AR84" i="1"/>
  <c r="AL84" i="1"/>
  <c r="AI84" i="1"/>
  <c r="AJ84" i="1" s="1"/>
  <c r="Y84" i="1"/>
  <c r="AC84" i="1" s="1"/>
  <c r="BA84" i="1" s="1"/>
  <c r="O84" i="1"/>
  <c r="AM84" i="1" s="1"/>
  <c r="E84" i="1"/>
  <c r="AV83" i="1"/>
  <c r="AU83" i="1"/>
  <c r="AS83" i="1"/>
  <c r="AR83" i="1"/>
  <c r="AL83" i="1"/>
  <c r="AI83" i="1"/>
  <c r="AJ83" i="1" s="1"/>
  <c r="Y83" i="1"/>
  <c r="AC83" i="1" s="1"/>
  <c r="BA83" i="1" s="1"/>
  <c r="O83" i="1"/>
  <c r="AM83" i="1" s="1"/>
  <c r="E83" i="1"/>
  <c r="AV82" i="1"/>
  <c r="AS82" i="1"/>
  <c r="AR82" i="1"/>
  <c r="AL82" i="1"/>
  <c r="AJ82" i="1"/>
  <c r="AZ82" i="1" s="1"/>
  <c r="AI82" i="1"/>
  <c r="Y82" i="1"/>
  <c r="AC82" i="1" s="1"/>
  <c r="AT82" i="1" s="1"/>
  <c r="O82" i="1"/>
  <c r="AU82" i="1" s="1"/>
  <c r="E82" i="1"/>
  <c r="AV81" i="1"/>
  <c r="AS81" i="1"/>
  <c r="AR81" i="1"/>
  <c r="AM81" i="1"/>
  <c r="AL81" i="1"/>
  <c r="AI81" i="1"/>
  <c r="AJ81" i="1" s="1"/>
  <c r="AZ81" i="1" s="1"/>
  <c r="Y81" i="1"/>
  <c r="AC81" i="1" s="1"/>
  <c r="O81" i="1"/>
  <c r="AU81" i="1" s="1"/>
  <c r="E81" i="1"/>
  <c r="AV80" i="1"/>
  <c r="AS80" i="1"/>
  <c r="AR80" i="1"/>
  <c r="AL80" i="1"/>
  <c r="AI80" i="1"/>
  <c r="AJ80" i="1" s="1"/>
  <c r="Y80" i="1"/>
  <c r="AC80" i="1" s="1"/>
  <c r="BA80" i="1" s="1"/>
  <c r="O80" i="1"/>
  <c r="AM80" i="1" s="1"/>
  <c r="E80" i="1"/>
  <c r="AV79" i="1"/>
  <c r="AS79" i="1"/>
  <c r="AR79" i="1"/>
  <c r="AL79" i="1"/>
  <c r="AI79" i="1"/>
  <c r="AJ79" i="1" s="1"/>
  <c r="AZ79" i="1" s="1"/>
  <c r="Y79" i="1"/>
  <c r="AC79" i="1" s="1"/>
  <c r="BA79" i="1" s="1"/>
  <c r="O79" i="1"/>
  <c r="AM79" i="1" s="1"/>
  <c r="E79" i="1"/>
  <c r="AV78" i="1"/>
  <c r="AS78" i="1"/>
  <c r="AR78" i="1"/>
  <c r="AK78" i="1"/>
  <c r="AL78" i="1" s="1"/>
  <c r="AI78" i="1"/>
  <c r="AJ78" i="1" s="1"/>
  <c r="Y78" i="1"/>
  <c r="AC78" i="1" s="1"/>
  <c r="O78" i="1"/>
  <c r="AM78" i="1" s="1"/>
  <c r="E78" i="1"/>
  <c r="AV77" i="1"/>
  <c r="AS77" i="1"/>
  <c r="AR77" i="1"/>
  <c r="AL77" i="1"/>
  <c r="AI77" i="1"/>
  <c r="AJ77" i="1" s="1"/>
  <c r="Y77" i="1"/>
  <c r="AC77" i="1" s="1"/>
  <c r="O77" i="1"/>
  <c r="AM77" i="1" s="1"/>
  <c r="E77" i="1"/>
  <c r="AV76" i="1"/>
  <c r="AS76" i="1"/>
  <c r="AR76" i="1"/>
  <c r="AL76" i="1"/>
  <c r="AI76" i="1"/>
  <c r="AJ76" i="1" s="1"/>
  <c r="Y76" i="1"/>
  <c r="AC76" i="1" s="1"/>
  <c r="BA76" i="1" s="1"/>
  <c r="O76" i="1"/>
  <c r="E76" i="1"/>
  <c r="AV75" i="1"/>
  <c r="AS75" i="1"/>
  <c r="AR75" i="1"/>
  <c r="AL75" i="1"/>
  <c r="AI75" i="1"/>
  <c r="AJ75" i="1" s="1"/>
  <c r="Y75" i="1"/>
  <c r="AC75" i="1" s="1"/>
  <c r="BA75" i="1" s="1"/>
  <c r="O75" i="1"/>
  <c r="AM75" i="1" s="1"/>
  <c r="E75" i="1"/>
  <c r="AV74" i="1"/>
  <c r="AU74" i="1"/>
  <c r="AS74" i="1"/>
  <c r="AR74" i="1"/>
  <c r="AL74" i="1"/>
  <c r="AI74" i="1"/>
  <c r="AJ74" i="1" s="1"/>
  <c r="Y74" i="1"/>
  <c r="AC74" i="1" s="1"/>
  <c r="BA74" i="1" s="1"/>
  <c r="O74" i="1"/>
  <c r="AM74" i="1" s="1"/>
  <c r="E74" i="1"/>
  <c r="AV73" i="1"/>
  <c r="AS73" i="1"/>
  <c r="AR73" i="1"/>
  <c r="AL73" i="1"/>
  <c r="AI73" i="1"/>
  <c r="AJ73" i="1" s="1"/>
  <c r="AZ73" i="1" s="1"/>
  <c r="Y73" i="1"/>
  <c r="AC73" i="1" s="1"/>
  <c r="O73" i="1"/>
  <c r="AU73" i="1" s="1"/>
  <c r="E73" i="1"/>
  <c r="AV72" i="1"/>
  <c r="AS72" i="1"/>
  <c r="AR72" i="1"/>
  <c r="AL72" i="1"/>
  <c r="AI72" i="1"/>
  <c r="AJ72" i="1" s="1"/>
  <c r="AZ72" i="1" s="1"/>
  <c r="Y72" i="1"/>
  <c r="AC72" i="1" s="1"/>
  <c r="O72" i="1"/>
  <c r="E72" i="1"/>
  <c r="AV71" i="1"/>
  <c r="AS71" i="1"/>
  <c r="AR71" i="1"/>
  <c r="AL71" i="1"/>
  <c r="AJ71" i="1"/>
  <c r="AI71" i="1"/>
  <c r="Y71" i="1"/>
  <c r="AC71" i="1" s="1"/>
  <c r="BA71" i="1" s="1"/>
  <c r="O71" i="1"/>
  <c r="I71" i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E71" i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AV70" i="1"/>
  <c r="AS70" i="1"/>
  <c r="AR70" i="1"/>
  <c r="AL70" i="1"/>
  <c r="AI70" i="1"/>
  <c r="AJ70" i="1" s="1"/>
  <c r="AZ70" i="1" s="1"/>
  <c r="Y70" i="1"/>
  <c r="AC70" i="1" s="1"/>
  <c r="BA70" i="1" s="1"/>
  <c r="O70" i="1"/>
  <c r="AM70" i="1" s="1"/>
  <c r="E70" i="1"/>
  <c r="B70" i="1"/>
  <c r="AV69" i="1"/>
  <c r="AS69" i="1"/>
  <c r="AR69" i="1"/>
  <c r="AL69" i="1"/>
  <c r="AI69" i="1"/>
  <c r="AJ69" i="1" s="1"/>
  <c r="Y69" i="1"/>
  <c r="AC69" i="1" s="1"/>
  <c r="BA69" i="1" s="1"/>
  <c r="O69" i="1"/>
  <c r="F69" i="1"/>
  <c r="E69" i="1"/>
  <c r="C69" i="1"/>
  <c r="C70" i="1" s="1"/>
  <c r="F70" i="1" s="1"/>
  <c r="B69" i="1"/>
  <c r="AV68" i="1"/>
  <c r="AS68" i="1"/>
  <c r="AR68" i="1"/>
  <c r="AL68" i="1"/>
  <c r="AH68" i="1"/>
  <c r="AI68" i="1" s="1"/>
  <c r="AJ68" i="1" s="1"/>
  <c r="AZ68" i="1" s="1"/>
  <c r="Y68" i="1"/>
  <c r="AC68" i="1" s="1"/>
  <c r="BA68" i="1" s="1"/>
  <c r="O68" i="1"/>
  <c r="AM68" i="1" s="1"/>
  <c r="F68" i="1"/>
  <c r="E68" i="1"/>
  <c r="AR67" i="1"/>
  <c r="AI67" i="1"/>
  <c r="AJ67" i="1" s="1"/>
  <c r="AZ67" i="1" s="1"/>
  <c r="Y67" i="1"/>
  <c r="AC67" i="1" s="1"/>
  <c r="BA67" i="1" s="1"/>
  <c r="T67" i="1"/>
  <c r="AV67" i="1" s="1"/>
  <c r="S67" i="1"/>
  <c r="AS67" i="1" s="1"/>
  <c r="O67" i="1"/>
  <c r="AM67" i="1" s="1"/>
  <c r="E67" i="1"/>
  <c r="AR66" i="1"/>
  <c r="AI66" i="1"/>
  <c r="AJ66" i="1" s="1"/>
  <c r="AZ66" i="1" s="1"/>
  <c r="Y66" i="1"/>
  <c r="AC66" i="1" s="1"/>
  <c r="T66" i="1"/>
  <c r="AV66" i="1" s="1"/>
  <c r="S66" i="1"/>
  <c r="AS66" i="1" s="1"/>
  <c r="O66" i="1"/>
  <c r="AM66" i="1" s="1"/>
  <c r="E66" i="1"/>
  <c r="AR65" i="1"/>
  <c r="AI65" i="1"/>
  <c r="AJ65" i="1" s="1"/>
  <c r="Y65" i="1"/>
  <c r="AC65" i="1" s="1"/>
  <c r="BA65" i="1" s="1"/>
  <c r="T65" i="1"/>
  <c r="S65" i="1"/>
  <c r="AS65" i="1" s="1"/>
  <c r="O65" i="1"/>
  <c r="AM65" i="1" s="1"/>
  <c r="E65" i="1"/>
  <c r="AR64" i="1"/>
  <c r="AI64" i="1"/>
  <c r="AJ64" i="1" s="1"/>
  <c r="Y64" i="1"/>
  <c r="AC64" i="1" s="1"/>
  <c r="T64" i="1"/>
  <c r="AV64" i="1" s="1"/>
  <c r="S64" i="1"/>
  <c r="AS64" i="1" s="1"/>
  <c r="O64" i="1"/>
  <c r="AU64" i="1" s="1"/>
  <c r="I64" i="1"/>
  <c r="I65" i="1" s="1"/>
  <c r="I66" i="1" s="1"/>
  <c r="E64" i="1"/>
  <c r="AR63" i="1"/>
  <c r="AI63" i="1"/>
  <c r="AJ63" i="1" s="1"/>
  <c r="AC63" i="1"/>
  <c r="BA63" i="1" s="1"/>
  <c r="Y63" i="1"/>
  <c r="T63" i="1"/>
  <c r="AV63" i="1" s="1"/>
  <c r="S63" i="1"/>
  <c r="AS63" i="1" s="1"/>
  <c r="O63" i="1"/>
  <c r="AM63" i="1" s="1"/>
  <c r="E63" i="1"/>
  <c r="AR62" i="1"/>
  <c r="AK62" i="1"/>
  <c r="AK63" i="1" s="1"/>
  <c r="AI62" i="1"/>
  <c r="AJ62" i="1" s="1"/>
  <c r="AZ62" i="1" s="1"/>
  <c r="AC62" i="1"/>
  <c r="Y62" i="1"/>
  <c r="T62" i="1"/>
  <c r="AV62" i="1" s="1"/>
  <c r="S62" i="1"/>
  <c r="AS62" i="1" s="1"/>
  <c r="O62" i="1"/>
  <c r="AM62" i="1" s="1"/>
  <c r="E62" i="1"/>
  <c r="C62" i="1"/>
  <c r="F62" i="1" s="1"/>
  <c r="B62" i="1"/>
  <c r="B63" i="1" s="1"/>
  <c r="B64" i="1" s="1"/>
  <c r="B65" i="1" s="1"/>
  <c r="B66" i="1" s="1"/>
  <c r="B67" i="1" s="1"/>
  <c r="AR61" i="1"/>
  <c r="AL61" i="1"/>
  <c r="AI61" i="1"/>
  <c r="AJ61" i="1" s="1"/>
  <c r="AZ61" i="1" s="1"/>
  <c r="Y61" i="1"/>
  <c r="AC61" i="1" s="1"/>
  <c r="T61" i="1"/>
  <c r="AV61" i="1" s="1"/>
  <c r="S61" i="1"/>
  <c r="AS61" i="1" s="1"/>
  <c r="O61" i="1"/>
  <c r="AM61" i="1" s="1"/>
  <c r="F61" i="1"/>
  <c r="E61" i="1"/>
  <c r="AR60" i="1"/>
  <c r="AI60" i="1"/>
  <c r="AJ60" i="1" s="1"/>
  <c r="Y60" i="1"/>
  <c r="AC60" i="1" s="1"/>
  <c r="BA60" i="1" s="1"/>
  <c r="T60" i="1"/>
  <c r="AV60" i="1" s="1"/>
  <c r="S60" i="1"/>
  <c r="AS60" i="1" s="1"/>
  <c r="O60" i="1"/>
  <c r="AM60" i="1" s="1"/>
  <c r="E60" i="1"/>
  <c r="AR59" i="1"/>
  <c r="AI59" i="1"/>
  <c r="AJ59" i="1" s="1"/>
  <c r="Y59" i="1"/>
  <c r="AC59" i="1" s="1"/>
  <c r="T59" i="1"/>
  <c r="AV59" i="1" s="1"/>
  <c r="S59" i="1"/>
  <c r="AS59" i="1" s="1"/>
  <c r="O59" i="1"/>
  <c r="AM59" i="1" s="1"/>
  <c r="E59" i="1"/>
  <c r="AS58" i="1"/>
  <c r="AR58" i="1"/>
  <c r="AK58" i="1"/>
  <c r="AK59" i="1" s="1"/>
  <c r="AK60" i="1" s="1"/>
  <c r="AL60" i="1" s="1"/>
  <c r="AI58" i="1"/>
  <c r="AJ58" i="1" s="1"/>
  <c r="AZ58" i="1" s="1"/>
  <c r="Y58" i="1"/>
  <c r="AC58" i="1" s="1"/>
  <c r="BA58" i="1" s="1"/>
  <c r="T58" i="1"/>
  <c r="AV58" i="1" s="1"/>
  <c r="S58" i="1"/>
  <c r="O58" i="1"/>
  <c r="E58" i="1"/>
  <c r="C58" i="1"/>
  <c r="B58" i="1"/>
  <c r="B59" i="1" s="1"/>
  <c r="B60" i="1" s="1"/>
  <c r="AR57" i="1"/>
  <c r="AM57" i="1"/>
  <c r="AL57" i="1"/>
  <c r="AI57" i="1"/>
  <c r="AJ57" i="1" s="1"/>
  <c r="AZ57" i="1" s="1"/>
  <c r="Y57" i="1"/>
  <c r="AC57" i="1" s="1"/>
  <c r="T57" i="1"/>
  <c r="AV57" i="1" s="1"/>
  <c r="S57" i="1"/>
  <c r="AS57" i="1" s="1"/>
  <c r="O57" i="1"/>
  <c r="AU57" i="1" s="1"/>
  <c r="F57" i="1"/>
  <c r="E57" i="1"/>
  <c r="AV56" i="1"/>
  <c r="AS56" i="1"/>
  <c r="AR56" i="1"/>
  <c r="AI56" i="1"/>
  <c r="AJ56" i="1" s="1"/>
  <c r="Y56" i="1"/>
  <c r="AC56" i="1" s="1"/>
  <c r="O56" i="1"/>
  <c r="AM56" i="1" s="1"/>
  <c r="E56" i="1"/>
  <c r="AV55" i="1"/>
  <c r="AS55" i="1"/>
  <c r="AR55" i="1"/>
  <c r="AI55" i="1"/>
  <c r="AJ55" i="1" s="1"/>
  <c r="AZ55" i="1" s="1"/>
  <c r="Y55" i="1"/>
  <c r="AC55" i="1" s="1"/>
  <c r="O55" i="1"/>
  <c r="AM55" i="1" s="1"/>
  <c r="E55" i="1"/>
  <c r="AV54" i="1"/>
  <c r="AS54" i="1"/>
  <c r="AR54" i="1"/>
  <c r="AM54" i="1"/>
  <c r="AI54" i="1"/>
  <c r="AJ54" i="1" s="1"/>
  <c r="Y54" i="1"/>
  <c r="AC54" i="1" s="1"/>
  <c r="O54" i="1"/>
  <c r="AU54" i="1" s="1"/>
  <c r="E54" i="1"/>
  <c r="AV53" i="1"/>
  <c r="AS53" i="1"/>
  <c r="AR53" i="1"/>
  <c r="AI53" i="1"/>
  <c r="AJ53" i="1" s="1"/>
  <c r="Y53" i="1"/>
  <c r="AC53" i="1" s="1"/>
  <c r="BA53" i="1" s="1"/>
  <c r="O53" i="1"/>
  <c r="AM53" i="1" s="1"/>
  <c r="E53" i="1"/>
  <c r="AV52" i="1"/>
  <c r="AT52" i="1"/>
  <c r="AS52" i="1"/>
  <c r="AR52" i="1"/>
  <c r="AI52" i="1"/>
  <c r="AJ52" i="1" s="1"/>
  <c r="AZ52" i="1" s="1"/>
  <c r="Y52" i="1"/>
  <c r="AC52" i="1" s="1"/>
  <c r="O52" i="1"/>
  <c r="E52" i="1"/>
  <c r="AV51" i="1"/>
  <c r="AS51" i="1"/>
  <c r="AR51" i="1"/>
  <c r="AI51" i="1"/>
  <c r="AJ51" i="1" s="1"/>
  <c r="Y51" i="1"/>
  <c r="AC51" i="1" s="1"/>
  <c r="O51" i="1"/>
  <c r="AM51" i="1" s="1"/>
  <c r="E51" i="1"/>
  <c r="AV50" i="1"/>
  <c r="AS50" i="1"/>
  <c r="AR50" i="1"/>
  <c r="AI50" i="1"/>
  <c r="AJ50" i="1" s="1"/>
  <c r="AZ50" i="1" s="1"/>
  <c r="Y50" i="1"/>
  <c r="AC50" i="1" s="1"/>
  <c r="BA50" i="1" s="1"/>
  <c r="O50" i="1"/>
  <c r="AU50" i="1" s="1"/>
  <c r="E50" i="1"/>
  <c r="AV49" i="1"/>
  <c r="AS49" i="1"/>
  <c r="AR49" i="1"/>
  <c r="AI49" i="1"/>
  <c r="AJ49" i="1" s="1"/>
  <c r="Y49" i="1"/>
  <c r="AC49" i="1" s="1"/>
  <c r="BA49" i="1" s="1"/>
  <c r="O49" i="1"/>
  <c r="AM49" i="1" s="1"/>
  <c r="E49" i="1"/>
  <c r="AV48" i="1"/>
  <c r="AS48" i="1"/>
  <c r="AR48" i="1"/>
  <c r="AI48" i="1"/>
  <c r="AJ48" i="1" s="1"/>
  <c r="Y48" i="1"/>
  <c r="AC48" i="1" s="1"/>
  <c r="BA48" i="1" s="1"/>
  <c r="O48" i="1"/>
  <c r="AM48" i="1" s="1"/>
  <c r="E48" i="1"/>
  <c r="AV47" i="1"/>
  <c r="AS47" i="1"/>
  <c r="AR47" i="1"/>
  <c r="AI47" i="1"/>
  <c r="AJ47" i="1" s="1"/>
  <c r="AZ47" i="1" s="1"/>
  <c r="Y47" i="1"/>
  <c r="AC47" i="1" s="1"/>
  <c r="BA47" i="1" s="1"/>
  <c r="O47" i="1"/>
  <c r="AM47" i="1" s="1"/>
  <c r="E47" i="1"/>
  <c r="AV46" i="1"/>
  <c r="AS46" i="1"/>
  <c r="AR46" i="1"/>
  <c r="AI46" i="1"/>
  <c r="AJ46" i="1" s="1"/>
  <c r="AZ46" i="1" s="1"/>
  <c r="Y46" i="1"/>
  <c r="AC46" i="1" s="1"/>
  <c r="BA46" i="1" s="1"/>
  <c r="O46" i="1"/>
  <c r="AM46" i="1" s="1"/>
  <c r="E46" i="1"/>
  <c r="AV45" i="1"/>
  <c r="AS45" i="1"/>
  <c r="AR45" i="1"/>
  <c r="AJ45" i="1"/>
  <c r="AI45" i="1"/>
  <c r="Y45" i="1"/>
  <c r="AC45" i="1" s="1"/>
  <c r="BA45" i="1" s="1"/>
  <c r="O45" i="1"/>
  <c r="AM45" i="1" s="1"/>
  <c r="E45" i="1"/>
  <c r="AV44" i="1"/>
  <c r="AS44" i="1"/>
  <c r="AR44" i="1"/>
  <c r="AI44" i="1"/>
  <c r="AJ44" i="1" s="1"/>
  <c r="Y44" i="1"/>
  <c r="AC44" i="1" s="1"/>
  <c r="BA44" i="1" s="1"/>
  <c r="O44" i="1"/>
  <c r="AM44" i="1" s="1"/>
  <c r="E44" i="1"/>
  <c r="AV43" i="1"/>
  <c r="AS43" i="1"/>
  <c r="AR43" i="1"/>
  <c r="AI43" i="1"/>
  <c r="AJ43" i="1" s="1"/>
  <c r="AZ43" i="1" s="1"/>
  <c r="Y43" i="1"/>
  <c r="AC43" i="1" s="1"/>
  <c r="BA43" i="1" s="1"/>
  <c r="O43" i="1"/>
  <c r="AM43" i="1" s="1"/>
  <c r="E43" i="1"/>
  <c r="AV42" i="1"/>
  <c r="AS42" i="1"/>
  <c r="AR42" i="1"/>
  <c r="AJ42" i="1"/>
  <c r="AI42" i="1"/>
  <c r="Y42" i="1"/>
  <c r="AC42" i="1" s="1"/>
  <c r="O42" i="1"/>
  <c r="AM42" i="1" s="1"/>
  <c r="E42" i="1"/>
  <c r="AV41" i="1"/>
  <c r="AS41" i="1"/>
  <c r="AR41" i="1"/>
  <c r="AI41" i="1"/>
  <c r="AJ41" i="1" s="1"/>
  <c r="AZ41" i="1" s="1"/>
  <c r="Y41" i="1"/>
  <c r="AC41" i="1" s="1"/>
  <c r="BA41" i="1" s="1"/>
  <c r="O41" i="1"/>
  <c r="AM41" i="1" s="1"/>
  <c r="E41" i="1"/>
  <c r="AV40" i="1"/>
  <c r="AS40" i="1"/>
  <c r="AR40" i="1"/>
  <c r="AK40" i="1"/>
  <c r="AL40" i="1" s="1"/>
  <c r="AI40" i="1"/>
  <c r="AJ40" i="1" s="1"/>
  <c r="AZ40" i="1" s="1"/>
  <c r="Y40" i="1"/>
  <c r="AC40" i="1" s="1"/>
  <c r="O40" i="1"/>
  <c r="AU40" i="1" s="1"/>
  <c r="E40" i="1"/>
  <c r="C40" i="1"/>
  <c r="F40" i="1" s="1"/>
  <c r="B40" i="1"/>
  <c r="AV39" i="1"/>
  <c r="AS39" i="1"/>
  <c r="AR39" i="1"/>
  <c r="AL39" i="1"/>
  <c r="AI39" i="1"/>
  <c r="AJ39" i="1" s="1"/>
  <c r="AZ39" i="1" s="1"/>
  <c r="Y39" i="1"/>
  <c r="AC39" i="1" s="1"/>
  <c r="BA39" i="1" s="1"/>
  <c r="O39" i="1"/>
  <c r="AM39" i="1" s="1"/>
  <c r="F39" i="1"/>
  <c r="E39" i="1"/>
  <c r="AS38" i="1"/>
  <c r="AR38" i="1"/>
  <c r="AL38" i="1"/>
  <c r="AI38" i="1"/>
  <c r="AJ38" i="1" s="1"/>
  <c r="Y38" i="1"/>
  <c r="AC38" i="1" s="1"/>
  <c r="T38" i="1"/>
  <c r="AV38" i="1" s="1"/>
  <c r="O38" i="1"/>
  <c r="AM38" i="1" s="1"/>
  <c r="F38" i="1"/>
  <c r="E38" i="1"/>
  <c r="AS37" i="1"/>
  <c r="AR37" i="1"/>
  <c r="AL37" i="1"/>
  <c r="AJ37" i="1"/>
  <c r="AI37" i="1"/>
  <c r="Y37" i="1"/>
  <c r="AC37" i="1" s="1"/>
  <c r="BA37" i="1" s="1"/>
  <c r="T37" i="1"/>
  <c r="AV37" i="1" s="1"/>
  <c r="O37" i="1"/>
  <c r="AU37" i="1" s="1"/>
  <c r="F37" i="1"/>
  <c r="E37" i="1"/>
  <c r="AS36" i="1"/>
  <c r="AR36" i="1"/>
  <c r="AL36" i="1"/>
  <c r="AI36" i="1"/>
  <c r="AJ36" i="1" s="1"/>
  <c r="Y36" i="1"/>
  <c r="AC36" i="1" s="1"/>
  <c r="BA36" i="1" s="1"/>
  <c r="T36" i="1"/>
  <c r="AV36" i="1" s="1"/>
  <c r="O36" i="1"/>
  <c r="AM36" i="1" s="1"/>
  <c r="F36" i="1"/>
  <c r="E36" i="1"/>
  <c r="AS35" i="1"/>
  <c r="AR35" i="1"/>
  <c r="AL35" i="1"/>
  <c r="AI35" i="1"/>
  <c r="AJ35" i="1" s="1"/>
  <c r="AZ35" i="1" s="1"/>
  <c r="Y35" i="1"/>
  <c r="AC35" i="1" s="1"/>
  <c r="BA35" i="1" s="1"/>
  <c r="T35" i="1"/>
  <c r="AV35" i="1" s="1"/>
  <c r="O35" i="1"/>
  <c r="AM35" i="1" s="1"/>
  <c r="F35" i="1"/>
  <c r="E35" i="1"/>
  <c r="AS34" i="1"/>
  <c r="AR34" i="1"/>
  <c r="AL34" i="1"/>
  <c r="AI34" i="1"/>
  <c r="AJ34" i="1" s="1"/>
  <c r="AZ34" i="1" s="1"/>
  <c r="Y34" i="1"/>
  <c r="AC34" i="1" s="1"/>
  <c r="BA34" i="1" s="1"/>
  <c r="T34" i="1"/>
  <c r="AV34" i="1" s="1"/>
  <c r="O34" i="1"/>
  <c r="AM34" i="1" s="1"/>
  <c r="F34" i="1"/>
  <c r="E34" i="1"/>
  <c r="AU33" i="1"/>
  <c r="AS33" i="1"/>
  <c r="AR33" i="1"/>
  <c r="AL33" i="1"/>
  <c r="AI33" i="1"/>
  <c r="AJ33" i="1" s="1"/>
  <c r="AZ33" i="1" s="1"/>
  <c r="Y33" i="1"/>
  <c r="AC33" i="1" s="1"/>
  <c r="T33" i="1"/>
  <c r="AV33" i="1" s="1"/>
  <c r="O33" i="1"/>
  <c r="AM33" i="1" s="1"/>
  <c r="F33" i="1"/>
  <c r="E33" i="1"/>
  <c r="AS32" i="1"/>
  <c r="AR32" i="1"/>
  <c r="AL32" i="1"/>
  <c r="AI32" i="1"/>
  <c r="AJ32" i="1" s="1"/>
  <c r="AZ32" i="1" s="1"/>
  <c r="Y32" i="1"/>
  <c r="AC32" i="1" s="1"/>
  <c r="BA32" i="1" s="1"/>
  <c r="T32" i="1"/>
  <c r="AV32" i="1" s="1"/>
  <c r="O32" i="1"/>
  <c r="F32" i="1"/>
  <c r="E32" i="1"/>
  <c r="AU31" i="1"/>
  <c r="AS31" i="1"/>
  <c r="AR31" i="1"/>
  <c r="AL31" i="1"/>
  <c r="AI31" i="1"/>
  <c r="AJ31" i="1" s="1"/>
  <c r="AZ31" i="1" s="1"/>
  <c r="Y31" i="1"/>
  <c r="AC31" i="1" s="1"/>
  <c r="BA31" i="1" s="1"/>
  <c r="T31" i="1"/>
  <c r="AV31" i="1" s="1"/>
  <c r="O31" i="1"/>
  <c r="AM31" i="1" s="1"/>
  <c r="F31" i="1"/>
  <c r="E31" i="1"/>
  <c r="AU30" i="1"/>
  <c r="AS30" i="1"/>
  <c r="AR30" i="1"/>
  <c r="AL30" i="1"/>
  <c r="AI30" i="1"/>
  <c r="AJ30" i="1" s="1"/>
  <c r="Y30" i="1"/>
  <c r="AC30" i="1" s="1"/>
  <c r="T30" i="1"/>
  <c r="AV30" i="1" s="1"/>
  <c r="O30" i="1"/>
  <c r="AM30" i="1" s="1"/>
  <c r="F30" i="1"/>
  <c r="E30" i="1"/>
  <c r="AS29" i="1"/>
  <c r="AR29" i="1"/>
  <c r="AL29" i="1"/>
  <c r="AI29" i="1"/>
  <c r="AJ29" i="1" s="1"/>
  <c r="AZ29" i="1" s="1"/>
  <c r="Y29" i="1"/>
  <c r="AC29" i="1" s="1"/>
  <c r="BA29" i="1" s="1"/>
  <c r="T29" i="1"/>
  <c r="AV29" i="1" s="1"/>
  <c r="O29" i="1"/>
  <c r="AU29" i="1" s="1"/>
  <c r="F29" i="1"/>
  <c r="E29" i="1"/>
  <c r="AS28" i="1"/>
  <c r="AR28" i="1"/>
  <c r="AL28" i="1"/>
  <c r="AI28" i="1"/>
  <c r="AJ28" i="1" s="1"/>
  <c r="Y28" i="1"/>
  <c r="AC28" i="1" s="1"/>
  <c r="BA28" i="1" s="1"/>
  <c r="T28" i="1"/>
  <c r="AV28" i="1" s="1"/>
  <c r="O28" i="1"/>
  <c r="AM28" i="1" s="1"/>
  <c r="F28" i="1"/>
  <c r="E28" i="1"/>
  <c r="AS27" i="1"/>
  <c r="AR27" i="1"/>
  <c r="AL27" i="1"/>
  <c r="AI27" i="1"/>
  <c r="AJ27" i="1" s="1"/>
  <c r="AZ27" i="1" s="1"/>
  <c r="Y27" i="1"/>
  <c r="AC27" i="1" s="1"/>
  <c r="BA27" i="1" s="1"/>
  <c r="T27" i="1"/>
  <c r="AV27" i="1" s="1"/>
  <c r="O27" i="1"/>
  <c r="AM27" i="1" s="1"/>
  <c r="F27" i="1"/>
  <c r="E27" i="1"/>
  <c r="AS26" i="1"/>
  <c r="AR26" i="1"/>
  <c r="AL26" i="1"/>
  <c r="AI26" i="1"/>
  <c r="AJ26" i="1" s="1"/>
  <c r="AZ26" i="1" s="1"/>
  <c r="Y26" i="1"/>
  <c r="AC26" i="1" s="1"/>
  <c r="BA26" i="1" s="1"/>
  <c r="T26" i="1"/>
  <c r="AV26" i="1" s="1"/>
  <c r="O26" i="1"/>
  <c r="AM26" i="1" s="1"/>
  <c r="F26" i="1"/>
  <c r="E26" i="1"/>
  <c r="AS25" i="1"/>
  <c r="AR25" i="1"/>
  <c r="AL25" i="1"/>
  <c r="AI25" i="1"/>
  <c r="AJ25" i="1" s="1"/>
  <c r="AZ25" i="1" s="1"/>
  <c r="Y25" i="1"/>
  <c r="AC25" i="1" s="1"/>
  <c r="T25" i="1"/>
  <c r="AV25" i="1" s="1"/>
  <c r="O25" i="1"/>
  <c r="AM25" i="1" s="1"/>
  <c r="F25" i="1"/>
  <c r="E25" i="1"/>
  <c r="AS24" i="1"/>
  <c r="AR24" i="1"/>
  <c r="AL24" i="1"/>
  <c r="AI24" i="1"/>
  <c r="AJ24" i="1" s="1"/>
  <c r="AZ24" i="1" s="1"/>
  <c r="Y24" i="1"/>
  <c r="AC24" i="1" s="1"/>
  <c r="BA24" i="1" s="1"/>
  <c r="T24" i="1"/>
  <c r="AV24" i="1" s="1"/>
  <c r="O24" i="1"/>
  <c r="AM24" i="1" s="1"/>
  <c r="F24" i="1"/>
  <c r="E24" i="1"/>
  <c r="AV23" i="1"/>
  <c r="AS23" i="1"/>
  <c r="AR23" i="1"/>
  <c r="AL23" i="1"/>
  <c r="AI23" i="1"/>
  <c r="AJ23" i="1" s="1"/>
  <c r="AZ23" i="1" s="1"/>
  <c r="Y23" i="1"/>
  <c r="AC23" i="1" s="1"/>
  <c r="BA23" i="1" s="1"/>
  <c r="O23" i="1"/>
  <c r="AM23" i="1" s="1"/>
  <c r="F23" i="1"/>
  <c r="E23" i="1"/>
  <c r="AV22" i="1"/>
  <c r="AS22" i="1"/>
  <c r="AR22" i="1"/>
  <c r="AM22" i="1"/>
  <c r="AL22" i="1"/>
  <c r="AI22" i="1"/>
  <c r="AJ22" i="1" s="1"/>
  <c r="AZ22" i="1" s="1"/>
  <c r="Y22" i="1"/>
  <c r="AC22" i="1" s="1"/>
  <c r="BA22" i="1" s="1"/>
  <c r="O22" i="1"/>
  <c r="AU22" i="1" s="1"/>
  <c r="F22" i="1"/>
  <c r="E22" i="1"/>
  <c r="AV21" i="1"/>
  <c r="AS21" i="1"/>
  <c r="AR21" i="1"/>
  <c r="AL21" i="1"/>
  <c r="AI21" i="1"/>
  <c r="AJ21" i="1" s="1"/>
  <c r="AZ21" i="1" s="1"/>
  <c r="Y21" i="1"/>
  <c r="AC21" i="1" s="1"/>
  <c r="BA21" i="1" s="1"/>
  <c r="O21" i="1"/>
  <c r="AM21" i="1" s="1"/>
  <c r="F21" i="1"/>
  <c r="E21" i="1"/>
  <c r="AV20" i="1"/>
  <c r="AS20" i="1"/>
  <c r="AR20" i="1"/>
  <c r="AM20" i="1"/>
  <c r="AL20" i="1"/>
  <c r="AI20" i="1"/>
  <c r="AJ20" i="1" s="1"/>
  <c r="AZ20" i="1" s="1"/>
  <c r="Y20" i="1"/>
  <c r="AC20" i="1" s="1"/>
  <c r="BA20" i="1" s="1"/>
  <c r="O20" i="1"/>
  <c r="AU20" i="1" s="1"/>
  <c r="F20" i="1"/>
  <c r="E20" i="1"/>
  <c r="AV19" i="1"/>
  <c r="AS19" i="1"/>
  <c r="AR19" i="1"/>
  <c r="AL19" i="1"/>
  <c r="AI19" i="1"/>
  <c r="AJ19" i="1" s="1"/>
  <c r="AZ19" i="1" s="1"/>
  <c r="Y19" i="1"/>
  <c r="AC19" i="1" s="1"/>
  <c r="BA19" i="1" s="1"/>
  <c r="O19" i="1"/>
  <c r="AM19" i="1" s="1"/>
  <c r="F19" i="1"/>
  <c r="E19" i="1"/>
  <c r="AV18" i="1"/>
  <c r="AS18" i="1"/>
  <c r="AR18" i="1"/>
  <c r="AL18" i="1"/>
  <c r="AI18" i="1"/>
  <c r="AJ18" i="1" s="1"/>
  <c r="AZ18" i="1" s="1"/>
  <c r="Y18" i="1"/>
  <c r="AC18" i="1" s="1"/>
  <c r="BA18" i="1" s="1"/>
  <c r="O18" i="1"/>
  <c r="F18" i="1"/>
  <c r="E18" i="1"/>
  <c r="AV17" i="1"/>
  <c r="AU17" i="1"/>
  <c r="AS17" i="1"/>
  <c r="AR17" i="1"/>
  <c r="AL17" i="1"/>
  <c r="AI17" i="1"/>
  <c r="AJ17" i="1" s="1"/>
  <c r="AZ17" i="1" s="1"/>
  <c r="Y17" i="1"/>
  <c r="AC17" i="1" s="1"/>
  <c r="BA17" i="1" s="1"/>
  <c r="O17" i="1"/>
  <c r="AM17" i="1" s="1"/>
  <c r="F17" i="1"/>
  <c r="E17" i="1"/>
  <c r="AV16" i="1"/>
  <c r="AS16" i="1"/>
  <c r="AR16" i="1"/>
  <c r="AL16" i="1"/>
  <c r="AI16" i="1"/>
  <c r="AJ16" i="1" s="1"/>
  <c r="AZ16" i="1" s="1"/>
  <c r="Y16" i="1"/>
  <c r="AC16" i="1" s="1"/>
  <c r="BA16" i="1" s="1"/>
  <c r="O16" i="1"/>
  <c r="AU16" i="1" s="1"/>
  <c r="F16" i="1"/>
  <c r="E16" i="1"/>
  <c r="AV15" i="1"/>
  <c r="AS15" i="1"/>
  <c r="AR15" i="1"/>
  <c r="AL15" i="1"/>
  <c r="AI15" i="1"/>
  <c r="AJ15" i="1" s="1"/>
  <c r="AZ15" i="1" s="1"/>
  <c r="Y15" i="1"/>
  <c r="AC15" i="1" s="1"/>
  <c r="BA15" i="1" s="1"/>
  <c r="O15" i="1"/>
  <c r="AM15" i="1" s="1"/>
  <c r="F15" i="1"/>
  <c r="E15" i="1"/>
  <c r="AV14" i="1"/>
  <c r="AS14" i="1"/>
  <c r="AR14" i="1"/>
  <c r="AM14" i="1"/>
  <c r="AL14" i="1"/>
  <c r="AI14" i="1"/>
  <c r="AJ14" i="1" s="1"/>
  <c r="AZ14" i="1" s="1"/>
  <c r="Y14" i="1"/>
  <c r="AC14" i="1" s="1"/>
  <c r="BA14" i="1" s="1"/>
  <c r="O14" i="1"/>
  <c r="AU14" i="1" s="1"/>
  <c r="F14" i="1"/>
  <c r="E14" i="1"/>
  <c r="AV13" i="1"/>
  <c r="AS13" i="1"/>
  <c r="AR13" i="1"/>
  <c r="AL13" i="1"/>
  <c r="AJ13" i="1"/>
  <c r="AI13" i="1"/>
  <c r="Y13" i="1"/>
  <c r="AC13" i="1" s="1"/>
  <c r="BA13" i="1" s="1"/>
  <c r="O13" i="1"/>
  <c r="AM13" i="1" s="1"/>
  <c r="F13" i="1"/>
  <c r="E13" i="1"/>
  <c r="AV12" i="1"/>
  <c r="AS12" i="1"/>
  <c r="AR12" i="1"/>
  <c r="AM12" i="1"/>
  <c r="AL12" i="1"/>
  <c r="AI12" i="1"/>
  <c r="AJ12" i="1" s="1"/>
  <c r="AZ12" i="1" s="1"/>
  <c r="Y12" i="1"/>
  <c r="AC12" i="1" s="1"/>
  <c r="BA12" i="1" s="1"/>
  <c r="O12" i="1"/>
  <c r="AU12" i="1" s="1"/>
  <c r="F12" i="1"/>
  <c r="E12" i="1"/>
  <c r="AV11" i="1"/>
  <c r="AU11" i="1"/>
  <c r="AR11" i="1"/>
  <c r="AL11" i="1"/>
  <c r="AI11" i="1"/>
  <c r="AJ11" i="1" s="1"/>
  <c r="AZ11" i="1" s="1"/>
  <c r="Y11" i="1"/>
  <c r="AC11" i="1" s="1"/>
  <c r="BA11" i="1" s="1"/>
  <c r="S11" i="1"/>
  <c r="AS11" i="1" s="1"/>
  <c r="O11" i="1"/>
  <c r="AM11" i="1" s="1"/>
  <c r="F11" i="1"/>
  <c r="E11" i="1"/>
  <c r="AR10" i="1"/>
  <c r="AL10" i="1"/>
  <c r="AI10" i="1"/>
  <c r="AJ10" i="1" s="1"/>
  <c r="Y10" i="1"/>
  <c r="AC10" i="1" s="1"/>
  <c r="S10" i="1"/>
  <c r="T10" i="1" s="1"/>
  <c r="AV10" i="1" s="1"/>
  <c r="K10" i="1"/>
  <c r="O10" i="1" s="1"/>
  <c r="F10" i="1"/>
  <c r="E10" i="1"/>
  <c r="AV9" i="1"/>
  <c r="AS9" i="1"/>
  <c r="AR9" i="1"/>
  <c r="AL9" i="1"/>
  <c r="AI9" i="1"/>
  <c r="AJ9" i="1" s="1"/>
  <c r="AZ9" i="1" s="1"/>
  <c r="Y9" i="1"/>
  <c r="AC9" i="1" s="1"/>
  <c r="BA9" i="1" s="1"/>
  <c r="O9" i="1"/>
  <c r="AU9" i="1" s="1"/>
  <c r="F9" i="1"/>
  <c r="E9" i="1"/>
  <c r="AV8" i="1"/>
  <c r="AS8" i="1"/>
  <c r="AR8" i="1"/>
  <c r="AL8" i="1"/>
  <c r="AI8" i="1"/>
  <c r="AJ8" i="1" s="1"/>
  <c r="AZ8" i="1" s="1"/>
  <c r="Y8" i="1"/>
  <c r="AC8" i="1" s="1"/>
  <c r="BA8" i="1" s="1"/>
  <c r="O8" i="1"/>
  <c r="AM8" i="1" s="1"/>
  <c r="F8" i="1"/>
  <c r="E8" i="1"/>
  <c r="AV7" i="1"/>
  <c r="AS7" i="1"/>
  <c r="AR7" i="1"/>
  <c r="AM7" i="1"/>
  <c r="AL7" i="1"/>
  <c r="AI7" i="1"/>
  <c r="AJ7" i="1" s="1"/>
  <c r="AZ7" i="1" s="1"/>
  <c r="Y7" i="1"/>
  <c r="AC7" i="1" s="1"/>
  <c r="BA7" i="1" s="1"/>
  <c r="O7" i="1"/>
  <c r="AU7" i="1" s="1"/>
  <c r="F7" i="1"/>
  <c r="E7" i="1"/>
  <c r="AV6" i="1"/>
  <c r="AS6" i="1"/>
  <c r="AR6" i="1"/>
  <c r="AL6" i="1"/>
  <c r="AI6" i="1"/>
  <c r="AJ6" i="1" s="1"/>
  <c r="Y6" i="1"/>
  <c r="AC6" i="1" s="1"/>
  <c r="BA6" i="1" s="1"/>
  <c r="O6" i="1"/>
  <c r="AM6" i="1" s="1"/>
  <c r="F6" i="1"/>
  <c r="E6" i="1"/>
  <c r="AV5" i="1"/>
  <c r="AS5" i="1"/>
  <c r="AR5" i="1"/>
  <c r="AL5" i="1"/>
  <c r="AI5" i="1"/>
  <c r="AJ5" i="1" s="1"/>
  <c r="AZ5" i="1" s="1"/>
  <c r="Y5" i="1"/>
  <c r="AC5" i="1" s="1"/>
  <c r="BA5" i="1" s="1"/>
  <c r="O5" i="1"/>
  <c r="AM5" i="1" s="1"/>
  <c r="F5" i="1"/>
  <c r="E5" i="1"/>
  <c r="AT77" i="1" l="1"/>
  <c r="BA77" i="1"/>
  <c r="AX38" i="1"/>
  <c r="AZ38" i="1"/>
  <c r="BA90" i="1"/>
  <c r="BA124" i="1"/>
  <c r="AX136" i="1"/>
  <c r="AZ136" i="1"/>
  <c r="AW63" i="1"/>
  <c r="AZ63" i="1"/>
  <c r="AX88" i="1"/>
  <c r="AZ88" i="1"/>
  <c r="AX105" i="1"/>
  <c r="AZ105" i="1"/>
  <c r="AX54" i="1"/>
  <c r="AZ54" i="1"/>
  <c r="BA62" i="1"/>
  <c r="AX91" i="1"/>
  <c r="AZ91" i="1"/>
  <c r="AX103" i="1"/>
  <c r="AZ103" i="1"/>
  <c r="AM104" i="1"/>
  <c r="AU104" i="1"/>
  <c r="AX127" i="1"/>
  <c r="AZ127" i="1"/>
  <c r="AC7" i="2"/>
  <c r="AU58" i="1"/>
  <c r="AM58" i="1"/>
  <c r="AX65" i="1"/>
  <c r="AZ65" i="1"/>
  <c r="BA99" i="1"/>
  <c r="BA30" i="1"/>
  <c r="AM71" i="1"/>
  <c r="AU71" i="1"/>
  <c r="BA94" i="1"/>
  <c r="BA57" i="1"/>
  <c r="C59" i="1"/>
  <c r="F58" i="1"/>
  <c r="BA61" i="1"/>
  <c r="AT64" i="1"/>
  <c r="BA64" i="1"/>
  <c r="AX71" i="1"/>
  <c r="AZ71" i="1"/>
  <c r="AW78" i="1"/>
  <c r="AZ78" i="1"/>
  <c r="BA81" i="1"/>
  <c r="BA131" i="1"/>
  <c r="AW42" i="1"/>
  <c r="AZ42" i="1"/>
  <c r="X5" i="2"/>
  <c r="AU44" i="1"/>
  <c r="AU51" i="1"/>
  <c r="AZ59" i="1"/>
  <c r="AX59" i="1"/>
  <c r="AX6" i="1"/>
  <c r="AZ6" i="1"/>
  <c r="AX36" i="1"/>
  <c r="AZ36" i="1"/>
  <c r="BA38" i="1"/>
  <c r="AU53" i="1"/>
  <c r="AT55" i="1"/>
  <c r="BA55" i="1"/>
  <c r="AU72" i="1"/>
  <c r="AM72" i="1"/>
  <c r="AX76" i="1"/>
  <c r="AZ76" i="1"/>
  <c r="AW76" i="1"/>
  <c r="AX93" i="1"/>
  <c r="AZ93" i="1"/>
  <c r="AT99" i="1"/>
  <c r="BA101" i="1"/>
  <c r="BA109" i="1"/>
  <c r="BA115" i="1"/>
  <c r="AX137" i="1"/>
  <c r="AZ137" i="1"/>
  <c r="AV141" i="1"/>
  <c r="AU97" i="1"/>
  <c r="AM97" i="1"/>
  <c r="AX109" i="1"/>
  <c r="AZ109" i="1"/>
  <c r="AX112" i="1"/>
  <c r="AZ112" i="1"/>
  <c r="BA125" i="1"/>
  <c r="AT113" i="1"/>
  <c r="BA113" i="1"/>
  <c r="AX125" i="1"/>
  <c r="AZ125" i="1"/>
  <c r="P134" i="1"/>
  <c r="AA139" i="1"/>
  <c r="P139" i="1"/>
  <c r="K139" i="1"/>
  <c r="O139" i="1" s="1"/>
  <c r="AM139" i="1" s="1"/>
  <c r="AX45" i="1"/>
  <c r="AZ45" i="1"/>
  <c r="AW49" i="1"/>
  <c r="AZ49" i="1"/>
  <c r="AX13" i="1"/>
  <c r="AZ13" i="1"/>
  <c r="P6" i="2" s="1"/>
  <c r="AW13" i="1"/>
  <c r="AM32" i="1"/>
  <c r="AU32" i="1"/>
  <c r="AT110" i="1"/>
  <c r="BA110" i="1"/>
  <c r="AW129" i="1"/>
  <c r="AZ129" i="1"/>
  <c r="BA133" i="1"/>
  <c r="AT40" i="1"/>
  <c r="BA40" i="1"/>
  <c r="AT59" i="1"/>
  <c r="BA59" i="1"/>
  <c r="AX74" i="1"/>
  <c r="AZ74" i="1"/>
  <c r="BA33" i="1"/>
  <c r="AX53" i="1"/>
  <c r="AZ53" i="1"/>
  <c r="AW53" i="1"/>
  <c r="BA66" i="1"/>
  <c r="AX30" i="1"/>
  <c r="AZ30" i="1"/>
  <c r="AT62" i="1"/>
  <c r="BA89" i="1"/>
  <c r="AU91" i="1"/>
  <c r="AM92" i="1"/>
  <c r="AM93" i="1"/>
  <c r="AU93" i="1"/>
  <c r="AU118" i="1"/>
  <c r="AX120" i="1"/>
  <c r="AZ120" i="1"/>
  <c r="BA123" i="1"/>
  <c r="AR140" i="1"/>
  <c r="BA140" i="1"/>
  <c r="AU41" i="1"/>
  <c r="AX28" i="1"/>
  <c r="AZ28" i="1"/>
  <c r="BA82" i="1"/>
  <c r="AU89" i="1"/>
  <c r="AX10" i="1"/>
  <c r="AZ10" i="1"/>
  <c r="AU18" i="1"/>
  <c r="AM18" i="1"/>
  <c r="AW37" i="1"/>
  <c r="AZ37" i="1"/>
  <c r="AX44" i="1"/>
  <c r="AZ44" i="1"/>
  <c r="AX51" i="1"/>
  <c r="AZ51" i="1"/>
  <c r="AM52" i="1"/>
  <c r="AU52" i="1"/>
  <c r="AT54" i="1"/>
  <c r="BA54" i="1"/>
  <c r="AW60" i="1"/>
  <c r="AZ60" i="1"/>
  <c r="AX69" i="1"/>
  <c r="AZ69" i="1"/>
  <c r="BA73" i="1"/>
  <c r="AX75" i="1"/>
  <c r="AZ75" i="1"/>
  <c r="AX80" i="1"/>
  <c r="AZ80" i="1"/>
  <c r="AW84" i="1"/>
  <c r="AZ84" i="1"/>
  <c r="AX117" i="1"/>
  <c r="AZ117" i="1"/>
  <c r="AT127" i="1"/>
  <c r="BA127" i="1"/>
  <c r="AS136" i="1"/>
  <c r="AS137" i="1"/>
  <c r="I5" i="2"/>
  <c r="Q5" i="2"/>
  <c r="Y5" i="2"/>
  <c r="B6" i="2"/>
  <c r="T6" i="2"/>
  <c r="F7" i="2"/>
  <c r="V7" i="2"/>
  <c r="AD7" i="2"/>
  <c r="AT121" i="1"/>
  <c r="BA121" i="1"/>
  <c r="AX128" i="1"/>
  <c r="AZ128" i="1"/>
  <c r="J5" i="2"/>
  <c r="R5" i="2"/>
  <c r="Z5" i="2"/>
  <c r="C6" i="2"/>
  <c r="D6" i="2" s="1"/>
  <c r="U6" i="2"/>
  <c r="AC6" i="2"/>
  <c r="G7" i="2"/>
  <c r="W7" i="2"/>
  <c r="AG11" i="2"/>
  <c r="AZ142" i="1"/>
  <c r="BA56" i="1"/>
  <c r="AX64" i="1"/>
  <c r="AZ64" i="1"/>
  <c r="AX94" i="1"/>
  <c r="AZ94" i="1"/>
  <c r="AX96" i="1"/>
  <c r="AZ96" i="1"/>
  <c r="BA10" i="1"/>
  <c r="AU19" i="1"/>
  <c r="AT42" i="1"/>
  <c r="BA42" i="1"/>
  <c r="AX48" i="1"/>
  <c r="AZ48" i="1"/>
  <c r="BA52" i="1"/>
  <c r="AW56" i="1"/>
  <c r="AZ56" i="1"/>
  <c r="AX83" i="1"/>
  <c r="AZ83" i="1"/>
  <c r="AX85" i="1"/>
  <c r="AZ85" i="1"/>
  <c r="BA103" i="1"/>
  <c r="BA105" i="1"/>
  <c r="AT112" i="1"/>
  <c r="BA112" i="1"/>
  <c r="BA132" i="1"/>
  <c r="AZ134" i="1"/>
  <c r="B5" i="2"/>
  <c r="S5" i="2"/>
  <c r="AA5" i="2"/>
  <c r="E6" i="2"/>
  <c r="M6" i="2"/>
  <c r="V6" i="2"/>
  <c r="AD6" i="2"/>
  <c r="H7" i="2"/>
  <c r="P7" i="2"/>
  <c r="AF10" i="2"/>
  <c r="C5" i="2"/>
  <c r="D5" i="2" s="1"/>
  <c r="L5" i="2"/>
  <c r="T5" i="2"/>
  <c r="AB5" i="2"/>
  <c r="F6" i="2"/>
  <c r="N6" i="2"/>
  <c r="W6" i="2"/>
  <c r="I7" i="2"/>
  <c r="Q7" i="2"/>
  <c r="E5" i="2"/>
  <c r="M5" i="2"/>
  <c r="U5" i="2"/>
  <c r="AC5" i="2"/>
  <c r="G6" i="2"/>
  <c r="O6" i="2"/>
  <c r="J7" i="2"/>
  <c r="R7" i="2"/>
  <c r="Z7" i="2"/>
  <c r="AG13" i="2"/>
  <c r="AW77" i="1"/>
  <c r="AZ77" i="1"/>
  <c r="AW86" i="1"/>
  <c r="AZ86" i="1"/>
  <c r="AW110" i="1"/>
  <c r="AZ110" i="1"/>
  <c r="BA116" i="1"/>
  <c r="AT119" i="1"/>
  <c r="BA119" i="1"/>
  <c r="AV137" i="1"/>
  <c r="AZ139" i="1"/>
  <c r="AS142" i="1"/>
  <c r="BA142" i="1"/>
  <c r="AT9" i="2"/>
  <c r="AU8" i="2" s="1"/>
  <c r="F5" i="2"/>
  <c r="V5" i="2"/>
  <c r="AD5" i="2"/>
  <c r="H6" i="2"/>
  <c r="Q6" i="2"/>
  <c r="Y6" i="2"/>
  <c r="B7" i="2"/>
  <c r="G5" i="2"/>
  <c r="W5" i="2"/>
  <c r="I6" i="2"/>
  <c r="R6" i="2"/>
  <c r="Z6" i="2"/>
  <c r="C7" i="2"/>
  <c r="L7" i="2"/>
  <c r="T7" i="2"/>
  <c r="AB7" i="2"/>
  <c r="AG9" i="2"/>
  <c r="AW122" i="1"/>
  <c r="AZ122" i="1"/>
  <c r="AX133" i="1"/>
  <c r="AZ133" i="1"/>
  <c r="AS134" i="1"/>
  <c r="BA135" i="1"/>
  <c r="AZ140" i="1"/>
  <c r="AZ141" i="1"/>
  <c r="BA25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AF19" i="2"/>
  <c r="AG17" i="2"/>
  <c r="AF17" i="2"/>
  <c r="AF21" i="2"/>
  <c r="BA51" i="1"/>
  <c r="BA72" i="1"/>
  <c r="AT78" i="1"/>
  <c r="BA78" i="1"/>
  <c r="BA117" i="1"/>
  <c r="AT120" i="1"/>
  <c r="BA120" i="1"/>
  <c r="H5" i="2"/>
  <c r="P5" i="2"/>
  <c r="J6" i="2"/>
  <c r="E7" i="2"/>
  <c r="U7" i="2"/>
  <c r="A8" i="2"/>
  <c r="AP9" i="2"/>
  <c r="AQ8" i="2" s="1"/>
  <c r="AX17" i="1"/>
  <c r="AW17" i="1"/>
  <c r="AT31" i="1"/>
  <c r="AT45" i="1"/>
  <c r="AX68" i="1"/>
  <c r="AW68" i="1"/>
  <c r="AW121" i="1"/>
  <c r="AX121" i="1"/>
  <c r="AT19" i="1"/>
  <c r="AT24" i="1"/>
  <c r="AX31" i="1"/>
  <c r="AW31" i="1"/>
  <c r="AW52" i="1"/>
  <c r="AX52" i="1"/>
  <c r="AW118" i="1"/>
  <c r="AX118" i="1"/>
  <c r="AT17" i="1"/>
  <c r="AX8" i="1"/>
  <c r="AW8" i="1"/>
  <c r="AT86" i="1"/>
  <c r="AT11" i="1"/>
  <c r="AT21" i="1"/>
  <c r="AW40" i="1"/>
  <c r="AX40" i="1"/>
  <c r="AT43" i="1"/>
  <c r="AT46" i="1"/>
  <c r="AT50" i="1"/>
  <c r="AW113" i="1"/>
  <c r="AX113" i="1"/>
  <c r="AX19" i="1"/>
  <c r="AW19" i="1"/>
  <c r="AX11" i="1"/>
  <c r="AW11" i="1"/>
  <c r="AT13" i="1"/>
  <c r="K6" i="2" s="1"/>
  <c r="AX21" i="1"/>
  <c r="AW21" i="1"/>
  <c r="AT23" i="1"/>
  <c r="AW92" i="1"/>
  <c r="AX92" i="1"/>
  <c r="AT8" i="1"/>
  <c r="AT15" i="1"/>
  <c r="AX15" i="1"/>
  <c r="AW15" i="1"/>
  <c r="AT67" i="1"/>
  <c r="AX101" i="1"/>
  <c r="AW101" i="1"/>
  <c r="AX23" i="1"/>
  <c r="AW23" i="1"/>
  <c r="AW29" i="1"/>
  <c r="AX29" i="1"/>
  <c r="AT32" i="1"/>
  <c r="AX47" i="1"/>
  <c r="AW47" i="1"/>
  <c r="AX55" i="1"/>
  <c r="AW55" i="1"/>
  <c r="AX99" i="1"/>
  <c r="AW99" i="1"/>
  <c r="AW114" i="1"/>
  <c r="AX114" i="1"/>
  <c r="AX37" i="1"/>
  <c r="C63" i="1"/>
  <c r="F63" i="1" s="1"/>
  <c r="AM64" i="1"/>
  <c r="AW65" i="1"/>
  <c r="AU65" i="1"/>
  <c r="AU66" i="1"/>
  <c r="AM73" i="1"/>
  <c r="AU75" i="1"/>
  <c r="AU80" i="1"/>
  <c r="AU84" i="1"/>
  <c r="AT90" i="1"/>
  <c r="AU96" i="1"/>
  <c r="AT101" i="1"/>
  <c r="AX122" i="1"/>
  <c r="AM127" i="1"/>
  <c r="AC136" i="1"/>
  <c r="AT136" i="1" s="1"/>
  <c r="AR136" i="1"/>
  <c r="AB139" i="1"/>
  <c r="AC141" i="1"/>
  <c r="O142" i="1"/>
  <c r="AM142" i="1" s="1"/>
  <c r="AW75" i="1"/>
  <c r="AX84" i="1"/>
  <c r="AU115" i="1"/>
  <c r="AU131" i="1"/>
  <c r="AX139" i="1"/>
  <c r="AW59" i="1"/>
  <c r="AU68" i="1"/>
  <c r="AU88" i="1"/>
  <c r="AM90" i="1"/>
  <c r="AW103" i="1"/>
  <c r="AU107" i="1"/>
  <c r="AU123" i="1"/>
  <c r="AV135" i="1"/>
  <c r="AM136" i="1"/>
  <c r="T139" i="1"/>
  <c r="AV139" i="1" s="1"/>
  <c r="AU39" i="1"/>
  <c r="AU49" i="1"/>
  <c r="AM50" i="1"/>
  <c r="AU56" i="1"/>
  <c r="AL58" i="1"/>
  <c r="AU110" i="1"/>
  <c r="AM111" i="1"/>
  <c r="AT125" i="1"/>
  <c r="AX129" i="1"/>
  <c r="AC134" i="1"/>
  <c r="AX135" i="1"/>
  <c r="AR137" i="1"/>
  <c r="V139" i="1"/>
  <c r="U139" i="1" s="1"/>
  <c r="AS140" i="1"/>
  <c r="AK110" i="1"/>
  <c r="AK111" i="1" s="1"/>
  <c r="AK112" i="1" s="1"/>
  <c r="AK113" i="1" s="1"/>
  <c r="AV136" i="1"/>
  <c r="W139" i="1"/>
  <c r="Y139" i="1" s="1"/>
  <c r="AV140" i="1"/>
  <c r="AU15" i="1"/>
  <c r="AU6" i="1"/>
  <c r="AM9" i="1"/>
  <c r="AU13" i="1"/>
  <c r="L6" i="2" s="1"/>
  <c r="AM16" i="1"/>
  <c r="AU21" i="1"/>
  <c r="AW85" i="1"/>
  <c r="AM119" i="1"/>
  <c r="AW127" i="1"/>
  <c r="AT135" i="1"/>
  <c r="P140" i="1"/>
  <c r="AS141" i="1"/>
  <c r="P142" i="1"/>
  <c r="AW6" i="1"/>
  <c r="AU25" i="1"/>
  <c r="AU8" i="1"/>
  <c r="AU23" i="1"/>
  <c r="AU24" i="1"/>
  <c r="AU38" i="1"/>
  <c r="AU46" i="1"/>
  <c r="AU48" i="1"/>
  <c r="AM82" i="1"/>
  <c r="AU126" i="1"/>
  <c r="AR135" i="1"/>
  <c r="AW20" i="1"/>
  <c r="AX20" i="1"/>
  <c r="AT36" i="1"/>
  <c r="AT18" i="1"/>
  <c r="AT26" i="1"/>
  <c r="AX46" i="1"/>
  <c r="AW46" i="1"/>
  <c r="AT48" i="1"/>
  <c r="AT34" i="1"/>
  <c r="AW12" i="1"/>
  <c r="N5" i="2" s="1"/>
  <c r="AX12" i="1"/>
  <c r="O5" i="2" s="1"/>
  <c r="AT29" i="1"/>
  <c r="AX34" i="1"/>
  <c r="AW34" i="1"/>
  <c r="AT5" i="1"/>
  <c r="AW18" i="1"/>
  <c r="AX18" i="1"/>
  <c r="AX26" i="1"/>
  <c r="AW26" i="1"/>
  <c r="AT28" i="1"/>
  <c r="AW5" i="1"/>
  <c r="AX5" i="1"/>
  <c r="AW27" i="1"/>
  <c r="AX27" i="1"/>
  <c r="AW9" i="1"/>
  <c r="AX9" i="1"/>
  <c r="AW16" i="1"/>
  <c r="AX16" i="1"/>
  <c r="AX32" i="1"/>
  <c r="AW32" i="1"/>
  <c r="AT35" i="1"/>
  <c r="AT39" i="1"/>
  <c r="AX41" i="1"/>
  <c r="AW41" i="1"/>
  <c r="AX43" i="1"/>
  <c r="AW43" i="1"/>
  <c r="AT47" i="1"/>
  <c r="AT49" i="1"/>
  <c r="AT9" i="1"/>
  <c r="AT16" i="1"/>
  <c r="AT41" i="1"/>
  <c r="AX50" i="1"/>
  <c r="AW50" i="1"/>
  <c r="AT22" i="1"/>
  <c r="AX25" i="1"/>
  <c r="AW25" i="1"/>
  <c r="AW35" i="1"/>
  <c r="AX35" i="1"/>
  <c r="AX39" i="1"/>
  <c r="AW39" i="1"/>
  <c r="AT12" i="1"/>
  <c r="K5" i="2" s="1"/>
  <c r="AT20" i="1"/>
  <c r="AX33" i="1"/>
  <c r="AW33" i="1"/>
  <c r="AT7" i="1"/>
  <c r="AT14" i="1"/>
  <c r="K7" i="2" s="1"/>
  <c r="AT6" i="1"/>
  <c r="AW7" i="1"/>
  <c r="AX7" i="1"/>
  <c r="AM10" i="1"/>
  <c r="AU10" i="1"/>
  <c r="AW14" i="1"/>
  <c r="N7" i="2" s="1"/>
  <c r="AX14" i="1"/>
  <c r="O7" i="2" s="1"/>
  <c r="AW22" i="1"/>
  <c r="AX22" i="1"/>
  <c r="AX24" i="1"/>
  <c r="AW24" i="1"/>
  <c r="AT27" i="1"/>
  <c r="AT37" i="1"/>
  <c r="AT44" i="1"/>
  <c r="AW54" i="1"/>
  <c r="AX58" i="1"/>
  <c r="AW58" i="1"/>
  <c r="AX82" i="1"/>
  <c r="AW82" i="1"/>
  <c r="AT10" i="1"/>
  <c r="AU26" i="1"/>
  <c r="AM29" i="1"/>
  <c r="AU34" i="1"/>
  <c r="AM37" i="1"/>
  <c r="AM40" i="1"/>
  <c r="AX42" i="1"/>
  <c r="AU47" i="1"/>
  <c r="AT56" i="1"/>
  <c r="AX61" i="1"/>
  <c r="AW61" i="1"/>
  <c r="AX62" i="1"/>
  <c r="AW62" i="1"/>
  <c r="C64" i="1"/>
  <c r="AT74" i="1"/>
  <c r="AT95" i="1"/>
  <c r="AT107" i="1"/>
  <c r="AX108" i="1"/>
  <c r="AB6" i="2" s="1"/>
  <c r="AW108" i="1"/>
  <c r="AA6" i="2" s="1"/>
  <c r="AK64" i="1"/>
  <c r="AL63" i="1"/>
  <c r="AX95" i="1"/>
  <c r="AW95" i="1"/>
  <c r="AM112" i="1"/>
  <c r="AU112" i="1"/>
  <c r="AS10" i="1"/>
  <c r="AT25" i="1"/>
  <c r="AU28" i="1"/>
  <c r="AT33" i="1"/>
  <c r="AU36" i="1"/>
  <c r="AU45" i="1"/>
  <c r="AT65" i="1"/>
  <c r="AT73" i="1"/>
  <c r="AX78" i="1"/>
  <c r="AT88" i="1"/>
  <c r="AX89" i="1"/>
  <c r="AW89" i="1"/>
  <c r="AX141" i="1"/>
  <c r="AW141" i="1"/>
  <c r="AT30" i="1"/>
  <c r="AT38" i="1"/>
  <c r="AX49" i="1"/>
  <c r="AX56" i="1"/>
  <c r="AT71" i="1"/>
  <c r="AX73" i="1"/>
  <c r="AW73" i="1"/>
  <c r="AT80" i="1"/>
  <c r="AX81" i="1"/>
  <c r="AW81" i="1"/>
  <c r="AT85" i="1"/>
  <c r="AT94" i="1"/>
  <c r="F108" i="1"/>
  <c r="S6" i="2" s="1"/>
  <c r="C109" i="1"/>
  <c r="AT53" i="1"/>
  <c r="AW28" i="1"/>
  <c r="AW36" i="1"/>
  <c r="C41" i="1"/>
  <c r="AU43" i="1"/>
  <c r="AW45" i="1"/>
  <c r="AT51" i="1"/>
  <c r="AT57" i="1"/>
  <c r="AW64" i="1"/>
  <c r="AX67" i="1"/>
  <c r="AW67" i="1"/>
  <c r="AX72" i="1"/>
  <c r="AW72" i="1"/>
  <c r="AU76" i="1"/>
  <c r="AM76" i="1"/>
  <c r="AX77" i="1"/>
  <c r="AT84" i="1"/>
  <c r="AT92" i="1"/>
  <c r="AT129" i="1"/>
  <c r="AT60" i="1"/>
  <c r="AU5" i="1"/>
  <c r="AU27" i="1"/>
  <c r="AU35" i="1"/>
  <c r="AK41" i="1"/>
  <c r="AU42" i="1"/>
  <c r="AW44" i="1"/>
  <c r="AX57" i="1"/>
  <c r="AW57" i="1"/>
  <c r="AX66" i="1"/>
  <c r="AW66" i="1"/>
  <c r="AT68" i="1"/>
  <c r="AU69" i="1"/>
  <c r="AM69" i="1"/>
  <c r="AT70" i="1"/>
  <c r="AT87" i="1"/>
  <c r="AT93" i="1"/>
  <c r="AW10" i="1"/>
  <c r="AW30" i="1"/>
  <c r="AW38" i="1"/>
  <c r="AW48" i="1"/>
  <c r="AW70" i="1"/>
  <c r="AX70" i="1"/>
  <c r="AT75" i="1"/>
  <c r="AT76" i="1"/>
  <c r="AT79" i="1"/>
  <c r="AT83" i="1"/>
  <c r="AW87" i="1"/>
  <c r="AX87" i="1"/>
  <c r="AT91" i="1"/>
  <c r="AK95" i="1"/>
  <c r="AL94" i="1"/>
  <c r="AU85" i="1"/>
  <c r="AM85" i="1"/>
  <c r="AX86" i="1"/>
  <c r="AX90" i="1"/>
  <c r="AW90" i="1"/>
  <c r="AW51" i="1"/>
  <c r="AT58" i="1"/>
  <c r="AT63" i="1"/>
  <c r="AT69" i="1"/>
  <c r="AW69" i="1"/>
  <c r="AW79" i="1"/>
  <c r="AX79" i="1"/>
  <c r="C96" i="1"/>
  <c r="F95" i="1"/>
  <c r="AW105" i="1"/>
  <c r="AU136" i="1"/>
  <c r="AX60" i="1"/>
  <c r="AX63" i="1"/>
  <c r="AX106" i="1"/>
  <c r="AW106" i="1"/>
  <c r="AX130" i="1"/>
  <c r="AW130" i="1"/>
  <c r="AR134" i="1"/>
  <c r="AV134" i="1"/>
  <c r="AA138" i="1"/>
  <c r="Z138" i="1"/>
  <c r="P138" i="1"/>
  <c r="W138" i="1"/>
  <c r="Y138" i="1" s="1"/>
  <c r="K138" i="1"/>
  <c r="O138" i="1" s="1"/>
  <c r="AM138" i="1" s="1"/>
  <c r="J138" i="1"/>
  <c r="U138" i="1"/>
  <c r="T138" i="1"/>
  <c r="AT140" i="1"/>
  <c r="AT142" i="1"/>
  <c r="AT61" i="1"/>
  <c r="AV65" i="1"/>
  <c r="AT66" i="1"/>
  <c r="C71" i="1"/>
  <c r="AT72" i="1"/>
  <c r="AT81" i="1"/>
  <c r="AT89" i="1"/>
  <c r="F94" i="1"/>
  <c r="AU94" i="1"/>
  <c r="AT96" i="1"/>
  <c r="AT100" i="1"/>
  <c r="AU100" i="1"/>
  <c r="AT102" i="1"/>
  <c r="AU102" i="1"/>
  <c r="AT104" i="1"/>
  <c r="AM106" i="1"/>
  <c r="AT118" i="1"/>
  <c r="AX119" i="1"/>
  <c r="AW119" i="1"/>
  <c r="AX132" i="1"/>
  <c r="AW132" i="1"/>
  <c r="AM135" i="1"/>
  <c r="AU135" i="1"/>
  <c r="S138" i="1"/>
  <c r="AX138" i="1" s="1"/>
  <c r="AU61" i="1"/>
  <c r="AW74" i="1"/>
  <c r="AW83" i="1"/>
  <c r="AW91" i="1"/>
  <c r="AW96" i="1"/>
  <c r="AT97" i="1"/>
  <c r="AT98" i="1"/>
  <c r="AX100" i="1"/>
  <c r="AW100" i="1"/>
  <c r="AX102" i="1"/>
  <c r="AW102" i="1"/>
  <c r="AX104" i="1"/>
  <c r="AW104" i="1"/>
  <c r="AW112" i="1"/>
  <c r="AX116" i="1"/>
  <c r="AW116" i="1"/>
  <c r="AT133" i="1"/>
  <c r="AX134" i="1"/>
  <c r="AW134" i="1"/>
  <c r="AB138" i="1"/>
  <c r="AL59" i="1"/>
  <c r="AU59" i="1"/>
  <c r="AL62" i="1"/>
  <c r="AU62" i="1"/>
  <c r="AU67" i="1"/>
  <c r="AW94" i="1"/>
  <c r="AX97" i="1"/>
  <c r="AW97" i="1"/>
  <c r="AX98" i="1"/>
  <c r="AW98" i="1"/>
  <c r="AT109" i="1"/>
  <c r="X7" i="2" s="1"/>
  <c r="AT117" i="1"/>
  <c r="AW120" i="1"/>
  <c r="AX124" i="1"/>
  <c r="AW124" i="1"/>
  <c r="AT126" i="1"/>
  <c r="AX131" i="1"/>
  <c r="AW131" i="1"/>
  <c r="AU134" i="1"/>
  <c r="AW139" i="1"/>
  <c r="AX140" i="1"/>
  <c r="AW140" i="1"/>
  <c r="AT141" i="1"/>
  <c r="AU55" i="1"/>
  <c r="AU60" i="1"/>
  <c r="AU63" i="1"/>
  <c r="AU70" i="1"/>
  <c r="AU79" i="1"/>
  <c r="AU87" i="1"/>
  <c r="AT108" i="1"/>
  <c r="X6" i="2" s="1"/>
  <c r="AL112" i="1"/>
  <c r="AT111" i="1"/>
  <c r="AT114" i="1"/>
  <c r="AX115" i="1"/>
  <c r="AW115" i="1"/>
  <c r="AX126" i="1"/>
  <c r="AW126" i="1"/>
  <c r="AW128" i="1"/>
  <c r="AU137" i="1"/>
  <c r="AS139" i="1"/>
  <c r="AR139" i="1"/>
  <c r="AV142" i="1"/>
  <c r="AX142" i="1"/>
  <c r="AW71" i="1"/>
  <c r="AU77" i="1"/>
  <c r="AU78" i="1"/>
  <c r="AW80" i="1"/>
  <c r="AU86" i="1"/>
  <c r="AW88" i="1"/>
  <c r="AW93" i="1"/>
  <c r="AW109" i="1"/>
  <c r="AA7" i="2" s="1"/>
  <c r="AL110" i="1"/>
  <c r="AX111" i="1"/>
  <c r="AW111" i="1"/>
  <c r="AT122" i="1"/>
  <c r="AX123" i="1"/>
  <c r="AW123" i="1"/>
  <c r="AT128" i="1"/>
  <c r="AC137" i="1"/>
  <c r="BA137" i="1" s="1"/>
  <c r="AM141" i="1"/>
  <c r="AT105" i="1"/>
  <c r="AT106" i="1"/>
  <c r="AX107" i="1"/>
  <c r="AW107" i="1"/>
  <c r="AX110" i="1"/>
  <c r="AT130" i="1"/>
  <c r="AU139" i="1"/>
  <c r="AU101" i="1"/>
  <c r="AU105" i="1"/>
  <c r="AU109" i="1"/>
  <c r="Y7" i="2" s="1"/>
  <c r="AT116" i="1"/>
  <c r="AU117" i="1"/>
  <c r="AT124" i="1"/>
  <c r="AU125" i="1"/>
  <c r="AT132" i="1"/>
  <c r="AU133" i="1"/>
  <c r="V135" i="1"/>
  <c r="AS135" i="1"/>
  <c r="AU141" i="1"/>
  <c r="AR142" i="1"/>
  <c r="AT115" i="1"/>
  <c r="AU116" i="1"/>
  <c r="AT123" i="1"/>
  <c r="AU124" i="1"/>
  <c r="AT131" i="1"/>
  <c r="AU132" i="1"/>
  <c r="AW117" i="1"/>
  <c r="AW125" i="1"/>
  <c r="AW133" i="1"/>
  <c r="AU130" i="1"/>
  <c r="AU99" i="1"/>
  <c r="AU103" i="1"/>
  <c r="AU113" i="1"/>
  <c r="AU121" i="1"/>
  <c r="AU129" i="1"/>
  <c r="AW135" i="1"/>
  <c r="AW136" i="1"/>
  <c r="AU120" i="1"/>
  <c r="AU128" i="1"/>
  <c r="AW137" i="1"/>
  <c r="AR141" i="1"/>
  <c r="AW142" i="1"/>
  <c r="AQ7" i="2" l="1"/>
  <c r="W8" i="2"/>
  <c r="O8" i="2"/>
  <c r="G8" i="2"/>
  <c r="AD8" i="2"/>
  <c r="V8" i="2"/>
  <c r="N8" i="2"/>
  <c r="F8" i="2"/>
  <c r="AC8" i="2"/>
  <c r="U8" i="2"/>
  <c r="M8" i="2"/>
  <c r="E8" i="2"/>
  <c r="AB8" i="2"/>
  <c r="T8" i="2"/>
  <c r="L8" i="2"/>
  <c r="C8" i="2"/>
  <c r="AA8" i="2"/>
  <c r="S8" i="2"/>
  <c r="K8" i="2"/>
  <c r="B8" i="2"/>
  <c r="Z8" i="2"/>
  <c r="R8" i="2"/>
  <c r="J8" i="2"/>
  <c r="Y8" i="2"/>
  <c r="Q8" i="2"/>
  <c r="I8" i="2"/>
  <c r="X8" i="2"/>
  <c r="P8" i="2"/>
  <c r="H8" i="2"/>
  <c r="AV138" i="1"/>
  <c r="M7" i="2"/>
  <c r="AG19" i="2"/>
  <c r="AF12" i="2"/>
  <c r="AU7" i="2"/>
  <c r="F59" i="1"/>
  <c r="C60" i="1"/>
  <c r="F60" i="1" s="1"/>
  <c r="AF9" i="2"/>
  <c r="AF18" i="2"/>
  <c r="AZ138" i="1"/>
  <c r="AU5" i="2"/>
  <c r="AG21" i="2"/>
  <c r="AF13" i="2"/>
  <c r="AG12" i="2"/>
  <c r="BA134" i="1"/>
  <c r="AG10" i="2"/>
  <c r="BA141" i="1"/>
  <c r="AU6" i="2"/>
  <c r="AF20" i="2"/>
  <c r="AQ5" i="2"/>
  <c r="AG20" i="2"/>
  <c r="AG18" i="2"/>
  <c r="BA136" i="1"/>
  <c r="AF11" i="2"/>
  <c r="AQ6" i="2"/>
  <c r="A9" i="2"/>
  <c r="D7" i="2"/>
  <c r="AT134" i="1"/>
  <c r="AU140" i="1"/>
  <c r="AU142" i="1"/>
  <c r="AL111" i="1"/>
  <c r="AC139" i="1"/>
  <c r="BA139" i="1" s="1"/>
  <c r="F71" i="1"/>
  <c r="C72" i="1"/>
  <c r="AL64" i="1"/>
  <c r="AK65" i="1"/>
  <c r="AT137" i="1"/>
  <c r="C110" i="1"/>
  <c r="F109" i="1"/>
  <c r="S7" i="2" s="1"/>
  <c r="AL41" i="1"/>
  <c r="AK42" i="1"/>
  <c r="AW138" i="1"/>
  <c r="AL113" i="1"/>
  <c r="AK114" i="1"/>
  <c r="AC138" i="1"/>
  <c r="C65" i="1"/>
  <c r="F64" i="1"/>
  <c r="AU138" i="1"/>
  <c r="V138" i="1"/>
  <c r="F96" i="1"/>
  <c r="C97" i="1"/>
  <c r="F41" i="1"/>
  <c r="C42" i="1"/>
  <c r="AT138" i="1"/>
  <c r="AS138" i="1"/>
  <c r="AR138" i="1"/>
  <c r="AK96" i="1"/>
  <c r="AL95" i="1"/>
  <c r="AU9" i="2" l="1"/>
  <c r="AQ9" i="2"/>
  <c r="Y9" i="2"/>
  <c r="Q9" i="2"/>
  <c r="I9" i="2"/>
  <c r="X9" i="2"/>
  <c r="P9" i="2"/>
  <c r="H9" i="2"/>
  <c r="W9" i="2"/>
  <c r="O9" i="2"/>
  <c r="G9" i="2"/>
  <c r="AD9" i="2"/>
  <c r="V9" i="2"/>
  <c r="N9" i="2"/>
  <c r="F9" i="2"/>
  <c r="AC9" i="2"/>
  <c r="U9" i="2"/>
  <c r="M9" i="2"/>
  <c r="E9" i="2"/>
  <c r="AB9" i="2"/>
  <c r="T9" i="2"/>
  <c r="L9" i="2"/>
  <c r="C9" i="2"/>
  <c r="AA9" i="2"/>
  <c r="S9" i="2"/>
  <c r="K9" i="2"/>
  <c r="B9" i="2"/>
  <c r="Z9" i="2"/>
  <c r="R9" i="2"/>
  <c r="J9" i="2"/>
  <c r="BA138" i="1"/>
  <c r="A10" i="2"/>
  <c r="D8" i="2"/>
  <c r="AT139" i="1"/>
  <c r="F42" i="1"/>
  <c r="C43" i="1"/>
  <c r="C66" i="1"/>
  <c r="F65" i="1"/>
  <c r="C111" i="1"/>
  <c r="F110" i="1"/>
  <c r="AK66" i="1"/>
  <c r="AL65" i="1"/>
  <c r="F97" i="1"/>
  <c r="C98" i="1"/>
  <c r="AK97" i="1"/>
  <c r="AL96" i="1"/>
  <c r="AL114" i="1"/>
  <c r="AK115" i="1"/>
  <c r="AL42" i="1"/>
  <c r="AK43" i="1"/>
  <c r="F72" i="1"/>
  <c r="C73" i="1"/>
  <c r="AB10" i="2" l="1"/>
  <c r="T10" i="2"/>
  <c r="K10" i="2"/>
  <c r="B10" i="2"/>
  <c r="AA10" i="2"/>
  <c r="S10" i="2"/>
  <c r="J10" i="2"/>
  <c r="Z10" i="2"/>
  <c r="R10" i="2"/>
  <c r="I10" i="2"/>
  <c r="Y10" i="2"/>
  <c r="Q10" i="2"/>
  <c r="H10" i="2"/>
  <c r="X10" i="2"/>
  <c r="O10" i="2"/>
  <c r="G10" i="2"/>
  <c r="W10" i="2"/>
  <c r="N10" i="2"/>
  <c r="F10" i="2"/>
  <c r="AD10" i="2"/>
  <c r="V10" i="2"/>
  <c r="M10" i="2"/>
  <c r="E10" i="2"/>
  <c r="AC10" i="2"/>
  <c r="U10" i="2"/>
  <c r="L10" i="2"/>
  <c r="C10" i="2"/>
  <c r="P10" i="2"/>
  <c r="D9" i="2"/>
  <c r="A11" i="2"/>
  <c r="C112" i="1"/>
  <c r="F111" i="1"/>
  <c r="AK67" i="1"/>
  <c r="AL67" i="1" s="1"/>
  <c r="AL66" i="1"/>
  <c r="AK98" i="1"/>
  <c r="AL97" i="1"/>
  <c r="C67" i="1"/>
  <c r="F67" i="1" s="1"/>
  <c r="F66" i="1"/>
  <c r="C74" i="1"/>
  <c r="F73" i="1"/>
  <c r="F98" i="1"/>
  <c r="C99" i="1"/>
  <c r="C44" i="1"/>
  <c r="F43" i="1"/>
  <c r="AL43" i="1"/>
  <c r="AK44" i="1"/>
  <c r="AL115" i="1"/>
  <c r="AK116" i="1"/>
  <c r="AD11" i="2" l="1"/>
  <c r="V11" i="2"/>
  <c r="N11" i="2"/>
  <c r="F11" i="2"/>
  <c r="AC11" i="2"/>
  <c r="U11" i="2"/>
  <c r="M11" i="2"/>
  <c r="E11" i="2"/>
  <c r="AB11" i="2"/>
  <c r="T11" i="2"/>
  <c r="L11" i="2"/>
  <c r="C11" i="2"/>
  <c r="AA11" i="2"/>
  <c r="K11" i="2"/>
  <c r="B11" i="2"/>
  <c r="Z11" i="2"/>
  <c r="R11" i="2"/>
  <c r="J11" i="2"/>
  <c r="Y11" i="2"/>
  <c r="Q11" i="2"/>
  <c r="I11" i="2"/>
  <c r="X11" i="2"/>
  <c r="P11" i="2"/>
  <c r="H11" i="2"/>
  <c r="W11" i="2"/>
  <c r="O11" i="2"/>
  <c r="G11" i="2"/>
  <c r="D10" i="2"/>
  <c r="A12" i="2"/>
  <c r="AK45" i="1"/>
  <c r="AL44" i="1"/>
  <c r="F44" i="1"/>
  <c r="C45" i="1"/>
  <c r="AL98" i="1"/>
  <c r="AK99" i="1"/>
  <c r="F99" i="1"/>
  <c r="C100" i="1"/>
  <c r="AL116" i="1"/>
  <c r="AK117" i="1"/>
  <c r="C75" i="1"/>
  <c r="F74" i="1"/>
  <c r="F112" i="1"/>
  <c r="C113" i="1"/>
  <c r="Y12" i="2" l="1"/>
  <c r="Q12" i="2"/>
  <c r="H12" i="2"/>
  <c r="X12" i="2"/>
  <c r="O12" i="2"/>
  <c r="G12" i="2"/>
  <c r="W12" i="2"/>
  <c r="N12" i="2"/>
  <c r="AD12" i="2"/>
  <c r="V12" i="2"/>
  <c r="M12" i="2"/>
  <c r="E12" i="2"/>
  <c r="AC12" i="2"/>
  <c r="U12" i="2"/>
  <c r="L12" i="2"/>
  <c r="C12" i="2"/>
  <c r="AB12" i="2"/>
  <c r="T12" i="2"/>
  <c r="K12" i="2"/>
  <c r="B12" i="2"/>
  <c r="AA12" i="2"/>
  <c r="S12" i="2"/>
  <c r="J12" i="2"/>
  <c r="Z12" i="2"/>
  <c r="R12" i="2"/>
  <c r="I12" i="2"/>
  <c r="P12" i="2"/>
  <c r="A13" i="2"/>
  <c r="D11" i="2"/>
  <c r="F100" i="1"/>
  <c r="C101" i="1"/>
  <c r="F113" i="1"/>
  <c r="S11" i="2" s="1"/>
  <c r="C114" i="1"/>
  <c r="AL99" i="1"/>
  <c r="AK100" i="1"/>
  <c r="C46" i="1"/>
  <c r="F45" i="1"/>
  <c r="C76" i="1"/>
  <c r="F75" i="1"/>
  <c r="AK118" i="1"/>
  <c r="AL117" i="1"/>
  <c r="AL45" i="1"/>
  <c r="AK46" i="1"/>
  <c r="AA13" i="2" l="1"/>
  <c r="S13" i="2"/>
  <c r="K13" i="2"/>
  <c r="B13" i="2"/>
  <c r="Z13" i="2"/>
  <c r="R13" i="2"/>
  <c r="J13" i="2"/>
  <c r="Y13" i="2"/>
  <c r="Q13" i="2"/>
  <c r="I13" i="2"/>
  <c r="X13" i="2"/>
  <c r="P13" i="2"/>
  <c r="H13" i="2"/>
  <c r="W13" i="2"/>
  <c r="O13" i="2"/>
  <c r="G13" i="2"/>
  <c r="AD13" i="2"/>
  <c r="V13" i="2"/>
  <c r="N13" i="2"/>
  <c r="AC13" i="2"/>
  <c r="U13" i="2"/>
  <c r="M13" i="2"/>
  <c r="E13" i="2"/>
  <c r="AB13" i="2"/>
  <c r="T13" i="2"/>
  <c r="L13" i="2"/>
  <c r="C13" i="2"/>
  <c r="A14" i="2"/>
  <c r="D12" i="2"/>
  <c r="C47" i="1"/>
  <c r="F46" i="1"/>
  <c r="AK47" i="1"/>
  <c r="AL46" i="1"/>
  <c r="AL100" i="1"/>
  <c r="AK101" i="1"/>
  <c r="F114" i="1"/>
  <c r="F12" i="2" s="1"/>
  <c r="C115" i="1"/>
  <c r="AK119" i="1"/>
  <c r="AL118" i="1"/>
  <c r="C102" i="1"/>
  <c r="F101" i="1"/>
  <c r="F76" i="1"/>
  <c r="C77" i="1"/>
  <c r="AD14" i="2" l="1"/>
  <c r="V14" i="2"/>
  <c r="M14" i="2"/>
  <c r="E14" i="2"/>
  <c r="AC14" i="2"/>
  <c r="U14" i="2"/>
  <c r="L14" i="2"/>
  <c r="C14" i="2"/>
  <c r="AB14" i="2"/>
  <c r="T14" i="2"/>
  <c r="K14" i="2"/>
  <c r="B14" i="2"/>
  <c r="AA14" i="2"/>
  <c r="S14" i="2"/>
  <c r="J14" i="2"/>
  <c r="Z14" i="2"/>
  <c r="R14" i="2"/>
  <c r="I14" i="2"/>
  <c r="Y14" i="2"/>
  <c r="P14" i="2"/>
  <c r="H14" i="2"/>
  <c r="X14" i="2"/>
  <c r="O14" i="2"/>
  <c r="G14" i="2"/>
  <c r="W14" i="2"/>
  <c r="N14" i="2"/>
  <c r="Q14" i="2"/>
  <c r="A15" i="2"/>
  <c r="D13" i="2"/>
  <c r="F115" i="1"/>
  <c r="F13" i="2" s="1"/>
  <c r="C116" i="1"/>
  <c r="F77" i="1"/>
  <c r="C78" i="1"/>
  <c r="AK102" i="1"/>
  <c r="AL101" i="1"/>
  <c r="F102" i="1"/>
  <c r="C103" i="1"/>
  <c r="AK48" i="1"/>
  <c r="AL47" i="1"/>
  <c r="AL119" i="1"/>
  <c r="AK120" i="1"/>
  <c r="C48" i="1"/>
  <c r="F47" i="1"/>
  <c r="AA15" i="2" l="1"/>
  <c r="S15" i="2"/>
  <c r="J15" i="2"/>
  <c r="Z15" i="2"/>
  <c r="R15" i="2"/>
  <c r="I15" i="2"/>
  <c r="Y15" i="2"/>
  <c r="Q15" i="2"/>
  <c r="H15" i="2"/>
  <c r="X15" i="2"/>
  <c r="O15" i="2"/>
  <c r="G15" i="2"/>
  <c r="W15" i="2"/>
  <c r="N15" i="2"/>
  <c r="AD15" i="2"/>
  <c r="V15" i="2"/>
  <c r="M15" i="2"/>
  <c r="E15" i="2"/>
  <c r="AC15" i="2"/>
  <c r="U15" i="2"/>
  <c r="L15" i="2"/>
  <c r="C15" i="2"/>
  <c r="AB15" i="2"/>
  <c r="T15" i="2"/>
  <c r="K15" i="2"/>
  <c r="B15" i="2"/>
  <c r="P15" i="2"/>
  <c r="D14" i="2"/>
  <c r="A16" i="2"/>
  <c r="F103" i="1"/>
  <c r="C104" i="1"/>
  <c r="F48" i="1"/>
  <c r="C49" i="1"/>
  <c r="AL102" i="1"/>
  <c r="AK103" i="1"/>
  <c r="AL120" i="1"/>
  <c r="AK121" i="1"/>
  <c r="F78" i="1"/>
  <c r="C79" i="1"/>
  <c r="C117" i="1"/>
  <c r="F116" i="1"/>
  <c r="F14" i="2" s="1"/>
  <c r="AK49" i="1"/>
  <c r="AL48" i="1"/>
  <c r="X16" i="2" l="1"/>
  <c r="O16" i="2"/>
  <c r="G16" i="2"/>
  <c r="W16" i="2"/>
  <c r="N16" i="2"/>
  <c r="AD16" i="2"/>
  <c r="V16" i="2"/>
  <c r="M16" i="2"/>
  <c r="E16" i="2"/>
  <c r="AC16" i="2"/>
  <c r="U16" i="2"/>
  <c r="L16" i="2"/>
  <c r="C16" i="2"/>
  <c r="AB16" i="2"/>
  <c r="T16" i="2"/>
  <c r="K16" i="2"/>
  <c r="B16" i="2"/>
  <c r="AA16" i="2"/>
  <c r="S16" i="2"/>
  <c r="J16" i="2"/>
  <c r="Z16" i="2"/>
  <c r="R16" i="2"/>
  <c r="I16" i="2"/>
  <c r="Y16" i="2"/>
  <c r="Q16" i="2"/>
  <c r="H16" i="2"/>
  <c r="P16" i="2"/>
  <c r="D15" i="2"/>
  <c r="A17" i="2"/>
  <c r="AL121" i="1"/>
  <c r="AK122" i="1"/>
  <c r="AL103" i="1"/>
  <c r="AK104" i="1"/>
  <c r="C50" i="1"/>
  <c r="F49" i="1"/>
  <c r="AK50" i="1"/>
  <c r="AL49" i="1"/>
  <c r="C118" i="1"/>
  <c r="F117" i="1"/>
  <c r="F15" i="2" s="1"/>
  <c r="F79" i="1"/>
  <c r="C80" i="1"/>
  <c r="F104" i="1"/>
  <c r="C105" i="1"/>
  <c r="X17" i="2" l="1"/>
  <c r="P17" i="2"/>
  <c r="W17" i="2"/>
  <c r="O17" i="2"/>
  <c r="V17" i="2"/>
  <c r="L17" i="2"/>
  <c r="C17" i="2"/>
  <c r="U17" i="2"/>
  <c r="K17" i="2"/>
  <c r="B17" i="2"/>
  <c r="AD17" i="2"/>
  <c r="T17" i="2"/>
  <c r="J17" i="2"/>
  <c r="AC17" i="2"/>
  <c r="S17" i="2"/>
  <c r="I17" i="2"/>
  <c r="AB17" i="2"/>
  <c r="R17" i="2"/>
  <c r="H17" i="2"/>
  <c r="AA17" i="2"/>
  <c r="Q17" i="2"/>
  <c r="G17" i="2"/>
  <c r="Z17" i="2"/>
  <c r="N17" i="2"/>
  <c r="Y17" i="2"/>
  <c r="M17" i="2"/>
  <c r="E17" i="2"/>
  <c r="A18" i="2"/>
  <c r="D16" i="2"/>
  <c r="AL50" i="1"/>
  <c r="AK51" i="1"/>
  <c r="C106" i="1"/>
  <c r="F106" i="1" s="1"/>
  <c r="F105" i="1"/>
  <c r="F50" i="1"/>
  <c r="C51" i="1"/>
  <c r="AL104" i="1"/>
  <c r="AK105" i="1"/>
  <c r="AL122" i="1"/>
  <c r="AK123" i="1"/>
  <c r="F80" i="1"/>
  <c r="C81" i="1"/>
  <c r="C119" i="1"/>
  <c r="F118" i="1"/>
  <c r="F16" i="2" s="1"/>
  <c r="AA18" i="2" l="1"/>
  <c r="S18" i="2"/>
  <c r="J18" i="2"/>
  <c r="Z18" i="2"/>
  <c r="R18" i="2"/>
  <c r="I18" i="2"/>
  <c r="Y18" i="2"/>
  <c r="N18" i="2"/>
  <c r="C18" i="2"/>
  <c r="X18" i="2"/>
  <c r="M18" i="2"/>
  <c r="B18" i="2"/>
  <c r="W18" i="2"/>
  <c r="L18" i="2"/>
  <c r="V18" i="2"/>
  <c r="K18" i="2"/>
  <c r="U18" i="2"/>
  <c r="H18" i="2"/>
  <c r="AD18" i="2"/>
  <c r="T18" i="2"/>
  <c r="G18" i="2"/>
  <c r="AC18" i="2"/>
  <c r="Q18" i="2"/>
  <c r="AB18" i="2"/>
  <c r="O18" i="2"/>
  <c r="E18" i="2"/>
  <c r="P18" i="2"/>
  <c r="D17" i="2"/>
  <c r="A19" i="2"/>
  <c r="AK106" i="1"/>
  <c r="AL106" i="1" s="1"/>
  <c r="AL105" i="1"/>
  <c r="C52" i="1"/>
  <c r="F51" i="1"/>
  <c r="F119" i="1"/>
  <c r="F17" i="2" s="1"/>
  <c r="C120" i="1"/>
  <c r="F81" i="1"/>
  <c r="C82" i="1"/>
  <c r="AL123" i="1"/>
  <c r="AK124" i="1"/>
  <c r="AL51" i="1"/>
  <c r="AK52" i="1"/>
  <c r="W19" i="2" l="1"/>
  <c r="N19" i="2"/>
  <c r="AD19" i="2"/>
  <c r="V19" i="2"/>
  <c r="M19" i="2"/>
  <c r="E19" i="2"/>
  <c r="AC19" i="2"/>
  <c r="U19" i="2"/>
  <c r="L19" i="2"/>
  <c r="C19" i="2"/>
  <c r="S19" i="2"/>
  <c r="G19" i="2"/>
  <c r="R19" i="2"/>
  <c r="AB19" i="2"/>
  <c r="Q19" i="2"/>
  <c r="B19" i="2"/>
  <c r="AA19" i="2"/>
  <c r="O19" i="2"/>
  <c r="Z19" i="2"/>
  <c r="K19" i="2"/>
  <c r="Y19" i="2"/>
  <c r="J19" i="2"/>
  <c r="X19" i="2"/>
  <c r="I19" i="2"/>
  <c r="T19" i="2"/>
  <c r="H19" i="2"/>
  <c r="P19" i="2"/>
  <c r="D18" i="2"/>
  <c r="A20" i="2"/>
  <c r="F120" i="1"/>
  <c r="F18" i="2" s="1"/>
  <c r="C121" i="1"/>
  <c r="C83" i="1"/>
  <c r="F82" i="1"/>
  <c r="AK53" i="1"/>
  <c r="AL52" i="1"/>
  <c r="C53" i="1"/>
  <c r="F52" i="1"/>
  <c r="AL124" i="1"/>
  <c r="AK125" i="1"/>
  <c r="AB20" i="2" l="1"/>
  <c r="T20" i="2"/>
  <c r="J20" i="2"/>
  <c r="AA20" i="2"/>
  <c r="S20" i="2"/>
  <c r="I20" i="2"/>
  <c r="Z20" i="2"/>
  <c r="R20" i="2"/>
  <c r="H20" i="2"/>
  <c r="Y20" i="2"/>
  <c r="O20" i="2"/>
  <c r="G20" i="2"/>
  <c r="X20" i="2"/>
  <c r="N20" i="2"/>
  <c r="W20" i="2"/>
  <c r="M20" i="2"/>
  <c r="AD20" i="2"/>
  <c r="C20" i="2"/>
  <c r="AC20" i="2"/>
  <c r="B20" i="2"/>
  <c r="V20" i="2"/>
  <c r="U20" i="2"/>
  <c r="L20" i="2"/>
  <c r="K20" i="2"/>
  <c r="E20" i="2"/>
  <c r="P20" i="2"/>
  <c r="Q20" i="2"/>
  <c r="D19" i="2"/>
  <c r="A21" i="2"/>
  <c r="C54" i="1"/>
  <c r="F53" i="1"/>
  <c r="AK54" i="1"/>
  <c r="AL53" i="1"/>
  <c r="C84" i="1"/>
  <c r="F83" i="1"/>
  <c r="AK126" i="1"/>
  <c r="AL125" i="1"/>
  <c r="F121" i="1"/>
  <c r="F19" i="2" s="1"/>
  <c r="C122" i="1"/>
  <c r="AD21" i="2" l="1"/>
  <c r="V21" i="2"/>
  <c r="N21" i="2"/>
  <c r="AC21" i="2"/>
  <c r="U21" i="2"/>
  <c r="M21" i="2"/>
  <c r="E21" i="2"/>
  <c r="AB21" i="2"/>
  <c r="T21" i="2"/>
  <c r="L21" i="2"/>
  <c r="C21" i="2"/>
  <c r="AA21" i="2"/>
  <c r="S21" i="2"/>
  <c r="K21" i="2"/>
  <c r="B21" i="2"/>
  <c r="Z21" i="2"/>
  <c r="R21" i="2"/>
  <c r="J21" i="2"/>
  <c r="Y21" i="2"/>
  <c r="Q21" i="2"/>
  <c r="I21" i="2"/>
  <c r="W21" i="2"/>
  <c r="O21" i="2"/>
  <c r="X21" i="2"/>
  <c r="P21" i="2"/>
  <c r="H21" i="2"/>
  <c r="G21" i="2"/>
  <c r="D20" i="2"/>
  <c r="A22" i="2"/>
  <c r="AK127" i="1"/>
  <c r="AL126" i="1"/>
  <c r="C85" i="1"/>
  <c r="F84" i="1"/>
  <c r="AL54" i="1"/>
  <c r="AK55" i="1"/>
  <c r="F122" i="1"/>
  <c r="F20" i="2" s="1"/>
  <c r="C123" i="1"/>
  <c r="F54" i="1"/>
  <c r="C55" i="1"/>
  <c r="X22" i="2" l="1"/>
  <c r="P22" i="2"/>
  <c r="H22" i="2"/>
  <c r="W22" i="2"/>
  <c r="O22" i="2"/>
  <c r="G22" i="2"/>
  <c r="AD22" i="2"/>
  <c r="V22" i="2"/>
  <c r="N22" i="2"/>
  <c r="AC22" i="2"/>
  <c r="U22" i="2"/>
  <c r="M22" i="2"/>
  <c r="E22" i="2"/>
  <c r="AB22" i="2"/>
  <c r="T22" i="2"/>
  <c r="L22" i="2"/>
  <c r="C22" i="2"/>
  <c r="AA22" i="2"/>
  <c r="S22" i="2"/>
  <c r="K22" i="2"/>
  <c r="B22" i="2"/>
  <c r="Z22" i="2"/>
  <c r="R22" i="2"/>
  <c r="J22" i="2"/>
  <c r="Y22" i="2"/>
  <c r="Q22" i="2"/>
  <c r="I22" i="2"/>
  <c r="A23" i="2"/>
  <c r="D21" i="2"/>
  <c r="F123" i="1"/>
  <c r="F21" i="2" s="1"/>
  <c r="C124" i="1"/>
  <c r="F85" i="1"/>
  <c r="C86" i="1"/>
  <c r="AL55" i="1"/>
  <c r="AK56" i="1"/>
  <c r="AL56" i="1" s="1"/>
  <c r="F55" i="1"/>
  <c r="C56" i="1"/>
  <c r="F56" i="1" s="1"/>
  <c r="AL127" i="1"/>
  <c r="AK128" i="1"/>
  <c r="AC23" i="2" l="1"/>
  <c r="U23" i="2"/>
  <c r="L23" i="2"/>
  <c r="C23" i="2"/>
  <c r="AB23" i="2"/>
  <c r="T23" i="2"/>
  <c r="K23" i="2"/>
  <c r="B23" i="2"/>
  <c r="AA23" i="2"/>
  <c r="S23" i="2"/>
  <c r="J23" i="2"/>
  <c r="Z23" i="2"/>
  <c r="R23" i="2"/>
  <c r="I23" i="2"/>
  <c r="Y23" i="2"/>
  <c r="Q23" i="2"/>
  <c r="H23" i="2"/>
  <c r="X23" i="2"/>
  <c r="O23" i="2"/>
  <c r="G23" i="2"/>
  <c r="W23" i="2"/>
  <c r="N23" i="2"/>
  <c r="AD23" i="2"/>
  <c r="V23" i="2"/>
  <c r="M23" i="2"/>
  <c r="E23" i="2"/>
  <c r="P23" i="2"/>
  <c r="D22" i="2"/>
  <c r="A24" i="2"/>
  <c r="F86" i="1"/>
  <c r="C87" i="1"/>
  <c r="AL128" i="1"/>
  <c r="AK129" i="1"/>
  <c r="C125" i="1"/>
  <c r="F124" i="1"/>
  <c r="F22" i="2" s="1"/>
  <c r="Z24" i="2" l="1"/>
  <c r="R24" i="2"/>
  <c r="I24" i="2"/>
  <c r="Y24" i="2"/>
  <c r="Q24" i="2"/>
  <c r="H24" i="2"/>
  <c r="X24" i="2"/>
  <c r="O24" i="2"/>
  <c r="G24" i="2"/>
  <c r="W24" i="2"/>
  <c r="N24" i="2"/>
  <c r="AD24" i="2"/>
  <c r="V24" i="2"/>
  <c r="M24" i="2"/>
  <c r="E24" i="2"/>
  <c r="AC24" i="2"/>
  <c r="U24" i="2"/>
  <c r="L24" i="2"/>
  <c r="C24" i="2"/>
  <c r="AB24" i="2"/>
  <c r="T24" i="2"/>
  <c r="K24" i="2"/>
  <c r="B24" i="2"/>
  <c r="AA24" i="2"/>
  <c r="S24" i="2"/>
  <c r="J24" i="2"/>
  <c r="P24" i="2"/>
  <c r="D23" i="2"/>
  <c r="A25" i="2"/>
  <c r="AL129" i="1"/>
  <c r="AK130" i="1"/>
  <c r="F87" i="1"/>
  <c r="C88" i="1"/>
  <c r="C126" i="1"/>
  <c r="F125" i="1"/>
  <c r="F23" i="2" s="1"/>
  <c r="W25" i="2" l="1"/>
  <c r="N25" i="2"/>
  <c r="AD25" i="2"/>
  <c r="V25" i="2"/>
  <c r="M25" i="2"/>
  <c r="E25" i="2"/>
  <c r="AC25" i="2"/>
  <c r="U25" i="2"/>
  <c r="L25" i="2"/>
  <c r="C25" i="2"/>
  <c r="AB25" i="2"/>
  <c r="T25" i="2"/>
  <c r="K25" i="2"/>
  <c r="B25" i="2"/>
  <c r="AA25" i="2"/>
  <c r="S25" i="2"/>
  <c r="J25" i="2"/>
  <c r="Z25" i="2"/>
  <c r="R25" i="2"/>
  <c r="I25" i="2"/>
  <c r="Y25" i="2"/>
  <c r="Q25" i="2"/>
  <c r="H25" i="2"/>
  <c r="X25" i="2"/>
  <c r="O25" i="2"/>
  <c r="G25" i="2"/>
  <c r="P25" i="2"/>
  <c r="D24" i="2"/>
  <c r="A26" i="2"/>
  <c r="C127" i="1"/>
  <c r="F126" i="1"/>
  <c r="F24" i="2" s="1"/>
  <c r="AL130" i="1"/>
  <c r="AK131" i="1"/>
  <c r="F88" i="1"/>
  <c r="C89" i="1"/>
  <c r="AB26" i="2" l="1"/>
  <c r="T26" i="2"/>
  <c r="K26" i="2"/>
  <c r="B26" i="2"/>
  <c r="AA26" i="2"/>
  <c r="S26" i="2"/>
  <c r="J26" i="2"/>
  <c r="Z26" i="2"/>
  <c r="R26" i="2"/>
  <c r="I26" i="2"/>
  <c r="Y26" i="2"/>
  <c r="P26" i="2"/>
  <c r="H26" i="2"/>
  <c r="X26" i="2"/>
  <c r="O26" i="2"/>
  <c r="G26" i="2"/>
  <c r="W26" i="2"/>
  <c r="N26" i="2"/>
  <c r="AD26" i="2"/>
  <c r="V26" i="2"/>
  <c r="M26" i="2"/>
  <c r="E26" i="2"/>
  <c r="AC26" i="2"/>
  <c r="U26" i="2"/>
  <c r="L26" i="2"/>
  <c r="C26" i="2"/>
  <c r="Q26" i="2"/>
  <c r="A27" i="2"/>
  <c r="D25" i="2"/>
  <c r="F89" i="1"/>
  <c r="C90" i="1"/>
  <c r="AL131" i="1"/>
  <c r="AK132" i="1"/>
  <c r="F127" i="1"/>
  <c r="F25" i="2" s="1"/>
  <c r="C128" i="1"/>
  <c r="Y27" i="2" l="1"/>
  <c r="Q27" i="2"/>
  <c r="H27" i="2"/>
  <c r="X27" i="2"/>
  <c r="O27" i="2"/>
  <c r="G27" i="2"/>
  <c r="W27" i="2"/>
  <c r="N27" i="2"/>
  <c r="AD27" i="2"/>
  <c r="V27" i="2"/>
  <c r="M27" i="2"/>
  <c r="E27" i="2"/>
  <c r="AC27" i="2"/>
  <c r="U27" i="2"/>
  <c r="L27" i="2"/>
  <c r="C27" i="2"/>
  <c r="AB27" i="2"/>
  <c r="T27" i="2"/>
  <c r="K27" i="2"/>
  <c r="B27" i="2"/>
  <c r="AA27" i="2"/>
  <c r="S27" i="2"/>
  <c r="J27" i="2"/>
  <c r="Z27" i="2"/>
  <c r="R27" i="2"/>
  <c r="I27" i="2"/>
  <c r="P27" i="2"/>
  <c r="D26" i="2"/>
  <c r="A28" i="2"/>
  <c r="F128" i="1"/>
  <c r="F26" i="2" s="1"/>
  <c r="C129" i="1"/>
  <c r="AL132" i="1"/>
  <c r="AK133" i="1"/>
  <c r="AL133" i="1" s="1"/>
  <c r="C91" i="1"/>
  <c r="F90" i="1"/>
  <c r="W28" i="2" l="1"/>
  <c r="M28" i="2"/>
  <c r="E28" i="2"/>
  <c r="AD28" i="2"/>
  <c r="V28" i="2"/>
  <c r="L28" i="2"/>
  <c r="C28" i="2"/>
  <c r="AC28" i="2"/>
  <c r="U28" i="2"/>
  <c r="K28" i="2"/>
  <c r="B28" i="2"/>
  <c r="AB28" i="2"/>
  <c r="T28" i="2"/>
  <c r="J28" i="2"/>
  <c r="AA28" i="2"/>
  <c r="S28" i="2"/>
  <c r="I28" i="2"/>
  <c r="Z28" i="2"/>
  <c r="R28" i="2"/>
  <c r="H28" i="2"/>
  <c r="Y28" i="2"/>
  <c r="O28" i="2"/>
  <c r="G28" i="2"/>
  <c r="X28" i="2"/>
  <c r="N28" i="2"/>
  <c r="P28" i="2"/>
  <c r="Q28" i="2"/>
  <c r="D27" i="2"/>
  <c r="A29" i="2"/>
  <c r="C92" i="1"/>
  <c r="F92" i="1" s="1"/>
  <c r="F91" i="1"/>
  <c r="F129" i="1"/>
  <c r="F27" i="2" s="1"/>
  <c r="C130" i="1"/>
  <c r="AB29" i="2" l="1"/>
  <c r="T29" i="2"/>
  <c r="K29" i="2"/>
  <c r="B29" i="2"/>
  <c r="AA29" i="2"/>
  <c r="S29" i="2"/>
  <c r="J29" i="2"/>
  <c r="Z29" i="2"/>
  <c r="R29" i="2"/>
  <c r="I29" i="2"/>
  <c r="Y29" i="2"/>
  <c r="Q29" i="2"/>
  <c r="H29" i="2"/>
  <c r="X29" i="2"/>
  <c r="O29" i="2"/>
  <c r="G29" i="2"/>
  <c r="W29" i="2"/>
  <c r="N29" i="2"/>
  <c r="AD29" i="2"/>
  <c r="V29" i="2"/>
  <c r="M29" i="2"/>
  <c r="E29" i="2"/>
  <c r="AC29" i="2"/>
  <c r="U29" i="2"/>
  <c r="L29" i="2"/>
  <c r="C29" i="2"/>
  <c r="P29" i="2"/>
  <c r="D28" i="2"/>
  <c r="A30" i="2"/>
  <c r="F130" i="1"/>
  <c r="F28" i="2" s="1"/>
  <c r="C131" i="1"/>
  <c r="Y30" i="2" l="1"/>
  <c r="P30" i="2"/>
  <c r="H30" i="2"/>
  <c r="X30" i="2"/>
  <c r="O30" i="2"/>
  <c r="G30" i="2"/>
  <c r="W30" i="2"/>
  <c r="N30" i="2"/>
  <c r="AD30" i="2"/>
  <c r="V30" i="2"/>
  <c r="M30" i="2"/>
  <c r="E30" i="2"/>
  <c r="AC30" i="2"/>
  <c r="U30" i="2"/>
  <c r="L30" i="2"/>
  <c r="C30" i="2"/>
  <c r="AB30" i="2"/>
  <c r="T30" i="2"/>
  <c r="K30" i="2"/>
  <c r="B30" i="2"/>
  <c r="AA30" i="2"/>
  <c r="S30" i="2"/>
  <c r="J30" i="2"/>
  <c r="Z30" i="2"/>
  <c r="R30" i="2"/>
  <c r="I30" i="2"/>
  <c r="Q30" i="2"/>
  <c r="A31" i="2"/>
  <c r="D29" i="2"/>
  <c r="F131" i="1"/>
  <c r="F29" i="2" s="1"/>
  <c r="C132" i="1"/>
  <c r="AD31" i="2" l="1"/>
  <c r="V31" i="2"/>
  <c r="M31" i="2"/>
  <c r="E31" i="2"/>
  <c r="E32" i="2" s="1"/>
  <c r="AC31" i="2"/>
  <c r="U31" i="2"/>
  <c r="U32" i="2" s="1"/>
  <c r="L31" i="2"/>
  <c r="C31" i="2"/>
  <c r="C32" i="2" s="1"/>
  <c r="AB31" i="2"/>
  <c r="T31" i="2"/>
  <c r="K31" i="2"/>
  <c r="B31" i="2"/>
  <c r="AA31" i="2"/>
  <c r="S31" i="2"/>
  <c r="S32" i="2" s="1"/>
  <c r="J31" i="2"/>
  <c r="Z31" i="2"/>
  <c r="R31" i="2"/>
  <c r="R32" i="2" s="1"/>
  <c r="I31" i="2"/>
  <c r="Y31" i="2"/>
  <c r="Q31" i="2"/>
  <c r="Q32" i="2" s="1"/>
  <c r="H31" i="2"/>
  <c r="H32" i="2" s="1"/>
  <c r="X31" i="2"/>
  <c r="X32" i="2" s="1"/>
  <c r="O31" i="2"/>
  <c r="G31" i="2"/>
  <c r="G32" i="2" s="1"/>
  <c r="W31" i="2"/>
  <c r="W32" i="2" s="1"/>
  <c r="N31" i="2"/>
  <c r="P31" i="2"/>
  <c r="P32" i="2" s="1"/>
  <c r="D30" i="2"/>
  <c r="AC32" i="2"/>
  <c r="M32" i="2"/>
  <c r="AB32" i="2"/>
  <c r="T32" i="2"/>
  <c r="L32" i="2"/>
  <c r="AA32" i="2"/>
  <c r="K32" i="2"/>
  <c r="Z32" i="2"/>
  <c r="J32" i="2"/>
  <c r="I32" i="2"/>
  <c r="V32" i="2"/>
  <c r="O32" i="2"/>
  <c r="N32" i="2"/>
  <c r="AD32" i="2"/>
  <c r="C133" i="1"/>
  <c r="F133" i="1" s="1"/>
  <c r="F31" i="2" s="1"/>
  <c r="F132" i="1"/>
  <c r="F30" i="2" s="1"/>
  <c r="F32" i="2" l="1"/>
  <c r="AE32" i="2"/>
  <c r="D31" i="2"/>
  <c r="D32" i="2" s="1"/>
  <c r="R33" i="2" s="1"/>
  <c r="B32" i="2"/>
  <c r="E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Bocok Vojtech</author>
  </authors>
  <commentList>
    <comment ref="J1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Hodně je v Goodwillu</t>
        </r>
      </text>
    </comment>
    <comment ref="P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skutečně NIC</t>
        </r>
      </text>
    </comment>
    <comment ref="P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skutečně nula. 
Řečeno ve zprávě z roku 2003… pro rok 2002 a 2001 nebylo nic. A před tím se to nevyskytovalo řečené takto ve zprávě.</t>
        </r>
      </text>
    </comment>
    <comment ref="V2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Současná hodnota závazku z finančního leasingu</t>
        </r>
      </text>
    </comment>
    <comment ref="X2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skutečně nula
</t>
        </r>
      </text>
    </comment>
    <comment ref="AF2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Celkem minimální leasingové splátky
</t>
        </r>
      </text>
    </comment>
    <comment ref="P23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Zůstatková hodnota majetku pořízeného formou leasingu. Nic víc ve zprávě není.</t>
        </r>
      </text>
    </comment>
    <comment ref="P26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Zůstatková hodnota majetku pořízeného formou leasingu. Nic víc ve zprávě není.</t>
        </r>
      </text>
    </comment>
    <comment ref="P2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Zůstatková hodnota majetku pořízeného formou leasingu. Nic víc ve zprávě není.</t>
        </r>
      </text>
    </comment>
    <comment ref="P2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29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P37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Žádná data o leasingu
</t>
        </r>
      </text>
    </comment>
    <comment ref="D39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Vychází se z konsolidované účetní závěrky</t>
        </r>
      </text>
    </comment>
    <comment ref="U39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Leasing vč. úroků</t>
        </r>
      </text>
    </comment>
    <comment ref="V39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Bocok Vojtech:</t>
        </r>
        <r>
          <rPr>
            <sz val="9"/>
            <color indexed="81"/>
            <rFont val="Tahoma"/>
            <family val="2"/>
            <charset val="238"/>
          </rPr>
          <t xml:space="preserve">
Zbývá zaplatit</t>
        </r>
      </text>
    </comment>
    <comment ref="D76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Bocok Vojtech:</t>
        </r>
        <r>
          <rPr>
            <sz val="9"/>
            <color indexed="81"/>
            <rFont val="Tahoma"/>
            <charset val="1"/>
          </rPr>
          <t xml:space="preserve">
Aktivace finančního leasingu.</t>
        </r>
      </text>
    </comment>
    <comment ref="D8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Bocok Vojtech:</t>
        </r>
        <r>
          <rPr>
            <sz val="9"/>
            <color indexed="81"/>
            <rFont val="Tahoma"/>
            <charset val="1"/>
          </rPr>
          <t xml:space="preserve">
Rozdělení společnosti na CETIN</t>
        </r>
      </text>
    </comment>
  </commentList>
</comments>
</file>

<file path=xl/sharedStrings.xml><?xml version="1.0" encoding="utf-8"?>
<sst xmlns="http://schemas.openxmlformats.org/spreadsheetml/2006/main" count="1263" uniqueCount="144">
  <si>
    <t>Výsledovka</t>
  </si>
  <si>
    <t>Index</t>
  </si>
  <si>
    <t>Lease Dummy</t>
  </si>
  <si>
    <t>Pozemky</t>
  </si>
  <si>
    <t>Budovy</t>
  </si>
  <si>
    <t>Stroje</t>
  </si>
  <si>
    <t>ZÁSOBY</t>
  </si>
  <si>
    <t>Práva k užívání leasingu (operativní leasing)</t>
  </si>
  <si>
    <t>Účetní hodnota práv z FL</t>
  </si>
  <si>
    <t>Diskontovaná hodnota budoucích platez z OL</t>
  </si>
  <si>
    <t>Tržby z prodeje produktů a služeb</t>
  </si>
  <si>
    <t>Tržby z prodeje zboží</t>
  </si>
  <si>
    <t>EBT</t>
  </si>
  <si>
    <t>EAT</t>
  </si>
  <si>
    <t>Other operating income</t>
  </si>
  <si>
    <t>Board size</t>
  </si>
  <si>
    <t>Operativní leasing</t>
  </si>
  <si>
    <t>Listing Age</t>
  </si>
  <si>
    <t>Age of stocking</t>
  </si>
  <si>
    <t>Assets in Place</t>
  </si>
  <si>
    <t>ROA</t>
  </si>
  <si>
    <t>ROE</t>
  </si>
  <si>
    <t>ROS</t>
  </si>
  <si>
    <t>Lease Intensity</t>
  </si>
  <si>
    <t>Leverage Ratio</t>
  </si>
  <si>
    <t>Tobinovo Q</t>
  </si>
  <si>
    <t>Market to Book</t>
  </si>
  <si>
    <t>Kofola ČeskoSlovensko a.s.</t>
  </si>
  <si>
    <t>11.07</t>
  </si>
  <si>
    <t>Avast Software s.r.o.</t>
  </si>
  <si>
    <t>58.29</t>
  </si>
  <si>
    <t>ČEZ, a. s.</t>
  </si>
  <si>
    <t>35.11</t>
  </si>
  <si>
    <t>Komerční banka, a.s.</t>
  </si>
  <si>
    <t>64.19</t>
  </si>
  <si>
    <t>Photon Energy N.V.</t>
  </si>
  <si>
    <t>27.90</t>
  </si>
  <si>
    <t>STOCK SPIRITS GROUP PLC</t>
  </si>
  <si>
    <t>11.01</t>
  </si>
  <si>
    <t>O2 Czech Republic a.s.</t>
  </si>
  <si>
    <t>61.20</t>
  </si>
  <si>
    <t>PFNonwovens a.s.</t>
  </si>
  <si>
    <t>13.20</t>
  </si>
  <si>
    <t>Philip Morris ČR a.s.</t>
  </si>
  <si>
    <t>12.00</t>
  </si>
  <si>
    <t>Royal Dutch Shell PLC</t>
  </si>
  <si>
    <t>47.30</t>
  </si>
  <si>
    <t>OMV AG</t>
  </si>
  <si>
    <t>MOL PLC</t>
  </si>
  <si>
    <t>POLSKI KONCERN NAFTOWY ORLEN</t>
  </si>
  <si>
    <t>SKANSKA AB</t>
  </si>
  <si>
    <t>42.11</t>
  </si>
  <si>
    <t>ERSTE GROUP AG</t>
  </si>
  <si>
    <t>Ano</t>
  </si>
  <si>
    <t>Ne</t>
  </si>
  <si>
    <t>x</t>
  </si>
  <si>
    <t>y</t>
  </si>
  <si>
    <t>Leasing</t>
  </si>
  <si>
    <t>MARKET</t>
  </si>
  <si>
    <t>Total</t>
  </si>
  <si>
    <t>PRIME</t>
  </si>
  <si>
    <t>STANDARD</t>
  </si>
  <si>
    <t>FREE</t>
  </si>
  <si>
    <t>START</t>
  </si>
  <si>
    <t>Stavebnictví</t>
  </si>
  <si>
    <t>CZG</t>
  </si>
  <si>
    <t>25.40</t>
  </si>
  <si>
    <t>PILULKA LÉKÁRNY</t>
  </si>
  <si>
    <t>47.73</t>
  </si>
  <si>
    <t>SKANSKA</t>
  </si>
  <si>
    <t>Není pramen + malý objem</t>
  </si>
  <si>
    <t>Silná matka</t>
  </si>
  <si>
    <t>Banka</t>
  </si>
  <si>
    <t>MONETA MONEY BANK</t>
  </si>
  <si>
    <t>VIG</t>
  </si>
  <si>
    <t>DEUTSCHE BANK</t>
  </si>
  <si>
    <t>PKO BANK POLSKI</t>
  </si>
  <si>
    <t>Lease DUMMY</t>
  </si>
  <si>
    <t>Total Assets</t>
  </si>
  <si>
    <t>FirmAge</t>
  </si>
  <si>
    <t>Total amount</t>
  </si>
  <si>
    <t>Without data</t>
  </si>
  <si>
    <t>Total number of companies with data</t>
  </si>
  <si>
    <t>Time</t>
  </si>
  <si>
    <t>Number of years on the stock market</t>
  </si>
  <si>
    <t>INDEPENDENT VARIABLE</t>
  </si>
  <si>
    <t>DEPENDENT VARIABLE</t>
  </si>
  <si>
    <t>Tobin Q</t>
  </si>
  <si>
    <t>Without leasing</t>
  </si>
  <si>
    <t>Business name</t>
  </si>
  <si>
    <t>Starting a business</t>
  </si>
  <si>
    <t>Accounting period</t>
  </si>
  <si>
    <t>Average number of employees</t>
  </si>
  <si>
    <t>Balance sheet</t>
  </si>
  <si>
    <t>Net assets</t>
  </si>
  <si>
    <t>Year</t>
  </si>
  <si>
    <t>Total assets</t>
  </si>
  <si>
    <t>Turnover</t>
  </si>
  <si>
    <t>Business size</t>
  </si>
  <si>
    <t>Large-sized</t>
  </si>
  <si>
    <t>Medium-sized</t>
  </si>
  <si>
    <t>Micro-sized</t>
  </si>
  <si>
    <t>Tangible assets (fixed)</t>
  </si>
  <si>
    <t>NACE codes</t>
  </si>
  <si>
    <t>NACE classification of economic activities in the European Union (EU)</t>
  </si>
  <si>
    <t>Company´s age</t>
  </si>
  <si>
    <t>Leasing in total</t>
  </si>
  <si>
    <t>Leasing Yes/No</t>
  </si>
  <si>
    <t>YES</t>
  </si>
  <si>
    <t>NO</t>
  </si>
  <si>
    <t>Sales</t>
  </si>
  <si>
    <t>Number of employees</t>
  </si>
  <si>
    <t>Annual Report</t>
  </si>
  <si>
    <t>Securities market</t>
  </si>
  <si>
    <t>Production of non-alcoholic beverages</t>
  </si>
  <si>
    <t>Other software releases</t>
  </si>
  <si>
    <t>Electricity production</t>
  </si>
  <si>
    <t>BRANCH</t>
  </si>
  <si>
    <t>NACE CODE</t>
  </si>
  <si>
    <t>RESEARCH</t>
  </si>
  <si>
    <t>Research</t>
  </si>
  <si>
    <t>Other monetary intermediation</t>
  </si>
  <si>
    <t>Production of electrical equipment</t>
  </si>
  <si>
    <t>Distillation, rectification and mixing of spirits</t>
  </si>
  <si>
    <t>Telecommunication networks</t>
  </si>
  <si>
    <t>Textile weaving</t>
  </si>
  <si>
    <t>Production of tobacco products</t>
  </si>
  <si>
    <t>Fuel retail</t>
  </si>
  <si>
    <t>Construction of roads and highways</t>
  </si>
  <si>
    <t>Equity</t>
  </si>
  <si>
    <t>Foreign capital</t>
  </si>
  <si>
    <t>Marketable value of the share</t>
  </si>
  <si>
    <t>Number of shares outstanding</t>
  </si>
  <si>
    <t>Business’s Market Value</t>
  </si>
  <si>
    <t>Production of weapons and ammunition</t>
  </si>
  <si>
    <t>Pharmaceutical retail</t>
  </si>
  <si>
    <t>Production</t>
  </si>
  <si>
    <t>Services (IT, Telecommunications and Banking)</t>
  </si>
  <si>
    <t>Retail</t>
  </si>
  <si>
    <t>Services (IT, Telecommunications and Banking)unikace a bankovnictví)</t>
  </si>
  <si>
    <t>Construction industry</t>
  </si>
  <si>
    <t>New</t>
  </si>
  <si>
    <t>Bank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</si>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</sst>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2"/>
      <color rgb="FF195BB3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0" fontId="3" fillId="4" borderId="6" xfId="1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14" fontId="0" fillId="0" borderId="12" xfId="0" applyNumberFormat="1" applyBorder="1"/>
    <xf numFmtId="0" fontId="0" fillId="0" borderId="12" xfId="0" applyNumberFormat="1" applyBorder="1" applyAlignment="1">
      <alignment horizontal="center"/>
    </xf>
    <xf numFmtId="3" fontId="0" fillId="9" borderId="13" xfId="0" applyNumberFormat="1" applyFill="1" applyBorder="1"/>
    <xf numFmtId="0" fontId="0" fillId="0" borderId="11" xfId="0" applyBorder="1" applyAlignment="1">
      <alignment horizontal="center"/>
    </xf>
    <xf numFmtId="3" fontId="0" fillId="10" borderId="12" xfId="0" applyNumberFormat="1" applyFill="1" applyBorder="1"/>
    <xf numFmtId="3" fontId="0" fillId="0" borderId="12" xfId="0" applyNumberFormat="1" applyBorder="1"/>
    <xf numFmtId="3" fontId="0" fillId="3" borderId="12" xfId="0" applyNumberFormat="1" applyFill="1" applyBorder="1"/>
    <xf numFmtId="3" fontId="0" fillId="5" borderId="12" xfId="0" applyNumberFormat="1" applyFill="1" applyBorder="1"/>
    <xf numFmtId="3" fontId="0" fillId="9" borderId="12" xfId="0" applyNumberFormat="1" applyFill="1" applyBorder="1"/>
    <xf numFmtId="3" fontId="0" fillId="0" borderId="12" xfId="0" applyNumberFormat="1" applyBorder="1" applyAlignment="1">
      <alignment horizontal="center"/>
    </xf>
    <xf numFmtId="164" fontId="0" fillId="9" borderId="12" xfId="1" applyNumberFormat="1" applyFont="1" applyFill="1" applyBorder="1"/>
    <xf numFmtId="3" fontId="0" fillId="9" borderId="12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 vertical="center"/>
    </xf>
    <xf numFmtId="4" fontId="0" fillId="9" borderId="12" xfId="0" applyNumberFormat="1" applyFill="1" applyBorder="1"/>
    <xf numFmtId="164" fontId="0" fillId="0" borderId="0" xfId="1" applyNumberFormat="1" applyFont="1"/>
    <xf numFmtId="0" fontId="0" fillId="0" borderId="15" xfId="0" applyBorder="1" applyAlignment="1">
      <alignment horizontal="center" vertical="center"/>
    </xf>
    <xf numFmtId="0" fontId="0" fillId="0" borderId="15" xfId="0" applyBorder="1"/>
    <xf numFmtId="14" fontId="0" fillId="0" borderId="13" xfId="0" applyNumberFormat="1" applyBorder="1"/>
    <xf numFmtId="0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10" borderId="13" xfId="0" applyNumberFormat="1" applyFill="1" applyBorder="1"/>
    <xf numFmtId="3" fontId="0" fillId="0" borderId="13" xfId="0" applyNumberFormat="1" applyBorder="1"/>
    <xf numFmtId="3" fontId="0" fillId="3" borderId="13" xfId="0" applyNumberFormat="1" applyFill="1" applyBorder="1"/>
    <xf numFmtId="3" fontId="0" fillId="5" borderId="13" xfId="0" applyNumberFormat="1" applyFill="1" applyBorder="1"/>
    <xf numFmtId="3" fontId="0" fillId="0" borderId="13" xfId="0" applyNumberFormat="1" applyBorder="1" applyAlignment="1">
      <alignment horizontal="center"/>
    </xf>
    <xf numFmtId="164" fontId="0" fillId="9" borderId="13" xfId="1" applyNumberFormat="1" applyFont="1" applyFill="1" applyBorder="1"/>
    <xf numFmtId="3" fontId="0" fillId="9" borderId="13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 vertical="center"/>
    </xf>
    <xf numFmtId="4" fontId="0" fillId="9" borderId="13" xfId="0" applyNumberFormat="1" applyFill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14" fontId="0" fillId="0" borderId="18" xfId="0" applyNumberFormat="1" applyBorder="1"/>
    <xf numFmtId="14" fontId="0" fillId="0" borderId="19" xfId="0" applyNumberFormat="1" applyBorder="1"/>
    <xf numFmtId="0" fontId="0" fillId="0" borderId="19" xfId="0" applyNumberFormat="1" applyBorder="1" applyAlignment="1">
      <alignment horizontal="center"/>
    </xf>
    <xf numFmtId="3" fontId="0" fillId="9" borderId="19" xfId="0" applyNumberFormat="1" applyFill="1" applyBorder="1"/>
    <xf numFmtId="0" fontId="0" fillId="0" borderId="17" xfId="0" applyBorder="1" applyAlignment="1">
      <alignment horizontal="center"/>
    </xf>
    <xf numFmtId="3" fontId="0" fillId="10" borderId="19" xfId="0" applyNumberFormat="1" applyFill="1" applyBorder="1"/>
    <xf numFmtId="3" fontId="0" fillId="0" borderId="19" xfId="0" applyNumberFormat="1" applyBorder="1"/>
    <xf numFmtId="3" fontId="0" fillId="3" borderId="19" xfId="0" applyNumberFormat="1" applyFill="1" applyBorder="1"/>
    <xf numFmtId="3" fontId="0" fillId="0" borderId="19" xfId="0" applyNumberFormat="1" applyBorder="1" applyAlignment="1">
      <alignment horizontal="center"/>
    </xf>
    <xf numFmtId="3" fontId="0" fillId="5" borderId="19" xfId="0" applyNumberFormat="1" applyFill="1" applyBorder="1"/>
    <xf numFmtId="164" fontId="0" fillId="9" borderId="19" xfId="1" applyNumberFormat="1" applyFont="1" applyFill="1" applyBorder="1"/>
    <xf numFmtId="4" fontId="0" fillId="9" borderId="19" xfId="0" applyNumberFormat="1" applyFill="1" applyBorder="1"/>
    <xf numFmtId="3" fontId="0" fillId="0" borderId="0" xfId="0" applyNumberFormat="1" applyBorder="1"/>
    <xf numFmtId="3" fontId="0" fillId="3" borderId="20" xfId="0" applyNumberFormat="1" applyFill="1" applyBorder="1"/>
    <xf numFmtId="3" fontId="7" fillId="3" borderId="13" xfId="0" applyNumberFormat="1" applyFont="1" applyFill="1" applyBorder="1"/>
    <xf numFmtId="3" fontId="0" fillId="0" borderId="20" xfId="0" applyNumberFormat="1" applyFill="1" applyBorder="1"/>
    <xf numFmtId="3" fontId="0" fillId="0" borderId="20" xfId="0" applyNumberFormat="1" applyBorder="1"/>
    <xf numFmtId="3" fontId="0" fillId="5" borderId="20" xfId="0" applyNumberFormat="1" applyFill="1" applyBorder="1"/>
    <xf numFmtId="14" fontId="0" fillId="0" borderId="21" xfId="0" applyNumberFormat="1" applyBorder="1"/>
    <xf numFmtId="3" fontId="7" fillId="0" borderId="13" xfId="0" applyNumberFormat="1" applyFont="1" applyBorder="1"/>
    <xf numFmtId="3" fontId="8" fillId="0" borderId="13" xfId="0" applyNumberFormat="1" applyFont="1" applyBorder="1"/>
    <xf numFmtId="3" fontId="8" fillId="0" borderId="13" xfId="0" applyNumberFormat="1" applyFont="1" applyBorder="1" applyAlignment="1">
      <alignment horizontal="center"/>
    </xf>
    <xf numFmtId="3" fontId="8" fillId="5" borderId="13" xfId="0" applyNumberFormat="1" applyFont="1" applyFill="1" applyBorder="1"/>
    <xf numFmtId="3" fontId="0" fillId="0" borderId="13" xfId="0" applyNumberFormat="1" applyFont="1" applyBorder="1"/>
    <xf numFmtId="3" fontId="0" fillId="0" borderId="13" xfId="0" applyNumberFormat="1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1" xfId="0" applyNumberFormat="1" applyBorder="1" applyAlignment="1">
      <alignment horizontal="center"/>
    </xf>
    <xf numFmtId="3" fontId="0" fillId="9" borderId="21" xfId="0" applyNumberFormat="1" applyFill="1" applyBorder="1"/>
    <xf numFmtId="0" fontId="0" fillId="0" borderId="22" xfId="0" applyBorder="1" applyAlignment="1">
      <alignment horizontal="center"/>
    </xf>
    <xf numFmtId="3" fontId="0" fillId="10" borderId="21" xfId="0" applyNumberFormat="1" applyFill="1" applyBorder="1"/>
    <xf numFmtId="3" fontId="0" fillId="0" borderId="21" xfId="0" applyNumberFormat="1" applyBorder="1"/>
    <xf numFmtId="3" fontId="0" fillId="3" borderId="21" xfId="0" applyNumberFormat="1" applyFill="1" applyBorder="1"/>
    <xf numFmtId="164" fontId="0" fillId="9" borderId="21" xfId="1" applyNumberFormat="1" applyFont="1" applyFill="1" applyBorder="1"/>
    <xf numFmtId="3" fontId="0" fillId="9" borderId="21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 vertical="center"/>
    </xf>
    <xf numFmtId="4" fontId="0" fillId="9" borderId="21" xfId="0" applyNumberFormat="1" applyFill="1" applyBorder="1"/>
    <xf numFmtId="3" fontId="2" fillId="3" borderId="13" xfId="0" applyNumberFormat="1" applyFont="1" applyFill="1" applyBorder="1"/>
    <xf numFmtId="3" fontId="2" fillId="0" borderId="13" xfId="0" applyNumberFormat="1" applyFont="1" applyBorder="1"/>
    <xf numFmtId="3" fontId="0" fillId="0" borderId="13" xfId="0" applyNumberFormat="1" applyFill="1" applyBorder="1"/>
    <xf numFmtId="14" fontId="0" fillId="0" borderId="13" xfId="0" applyNumberFormat="1" applyFont="1" applyBorder="1"/>
    <xf numFmtId="0" fontId="0" fillId="0" borderId="13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14" fontId="2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3" fontId="2" fillId="9" borderId="13" xfId="0" applyNumberFormat="1" applyFont="1" applyFill="1" applyBorder="1"/>
    <xf numFmtId="0" fontId="2" fillId="0" borderId="15" xfId="0" applyFont="1" applyBorder="1" applyAlignment="1">
      <alignment horizontal="center"/>
    </xf>
    <xf numFmtId="3" fontId="2" fillId="10" borderId="13" xfId="0" applyNumberFormat="1" applyFont="1" applyFill="1" applyBorder="1"/>
    <xf numFmtId="3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center"/>
    </xf>
    <xf numFmtId="164" fontId="2" fillId="9" borderId="13" xfId="1" applyNumberFormat="1" applyFont="1" applyFill="1" applyBorder="1"/>
    <xf numFmtId="3" fontId="2" fillId="9" borderId="13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 vertical="center"/>
    </xf>
    <xf numFmtId="4" fontId="2" fillId="9" borderId="13" xfId="0" applyNumberFormat="1" applyFont="1" applyFill="1" applyBorder="1"/>
    <xf numFmtId="0" fontId="2" fillId="0" borderId="0" xfId="0" applyFont="1"/>
    <xf numFmtId="14" fontId="6" fillId="0" borderId="13" xfId="0" applyNumberFormat="1" applyFont="1" applyBorder="1"/>
    <xf numFmtId="0" fontId="6" fillId="0" borderId="1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14" fontId="2" fillId="0" borderId="19" xfId="0" applyNumberFormat="1" applyFont="1" applyBorder="1"/>
    <xf numFmtId="0" fontId="2" fillId="0" borderId="19" xfId="0" applyNumberFormat="1" applyFont="1" applyBorder="1" applyAlignment="1">
      <alignment horizontal="center"/>
    </xf>
    <xf numFmtId="3" fontId="2" fillId="9" borderId="19" xfId="0" applyNumberFormat="1" applyFont="1" applyFill="1" applyBorder="1"/>
    <xf numFmtId="0" fontId="2" fillId="0" borderId="17" xfId="0" applyFont="1" applyBorder="1" applyAlignment="1">
      <alignment horizontal="center"/>
    </xf>
    <xf numFmtId="3" fontId="2" fillId="10" borderId="19" xfId="0" applyNumberFormat="1" applyFont="1" applyFill="1" applyBorder="1"/>
    <xf numFmtId="3" fontId="2" fillId="0" borderId="19" xfId="0" applyNumberFormat="1" applyFont="1" applyBorder="1"/>
    <xf numFmtId="3" fontId="2" fillId="3" borderId="19" xfId="0" applyNumberFormat="1" applyFont="1" applyFill="1" applyBorder="1"/>
    <xf numFmtId="3" fontId="2" fillId="2" borderId="19" xfId="0" applyNumberFormat="1" applyFont="1" applyFill="1" applyBorder="1"/>
    <xf numFmtId="164" fontId="2" fillId="9" borderId="19" xfId="1" applyNumberFormat="1" applyFont="1" applyFill="1" applyBorder="1"/>
    <xf numFmtId="4" fontId="2" fillId="9" borderId="19" xfId="0" applyNumberFormat="1" applyFont="1" applyFill="1" applyBorder="1"/>
    <xf numFmtId="3" fontId="0" fillId="2" borderId="13" xfId="0" applyNumberFormat="1" applyFill="1" applyBorder="1"/>
    <xf numFmtId="3" fontId="0" fillId="2" borderId="21" xfId="0" applyNumberFormat="1" applyFont="1" applyFill="1" applyBorder="1"/>
    <xf numFmtId="3" fontId="0" fillId="2" borderId="21" xfId="0" applyNumberFormat="1" applyFill="1" applyBorder="1"/>
    <xf numFmtId="14" fontId="0" fillId="2" borderId="13" xfId="0" applyNumberFormat="1" applyFill="1" applyBorder="1"/>
    <xf numFmtId="164" fontId="0" fillId="2" borderId="13" xfId="1" applyNumberFormat="1" applyFont="1" applyFill="1" applyBorder="1"/>
    <xf numFmtId="3" fontId="0" fillId="2" borderId="13" xfId="0" applyNumberFormat="1" applyFill="1" applyBorder="1" applyAlignment="1">
      <alignment horizontal="center"/>
    </xf>
    <xf numFmtId="4" fontId="0" fillId="2" borderId="13" xfId="0" applyNumberFormat="1" applyFill="1" applyBorder="1"/>
    <xf numFmtId="14" fontId="3" fillId="0" borderId="13" xfId="0" applyNumberFormat="1" applyFont="1" applyBorder="1"/>
    <xf numFmtId="0" fontId="3" fillId="0" borderId="13" xfId="0" applyNumberFormat="1" applyFont="1" applyBorder="1" applyAlignment="1">
      <alignment horizontal="center"/>
    </xf>
    <xf numFmtId="3" fontId="0" fillId="9" borderId="24" xfId="0" applyNumberFormat="1" applyFill="1" applyBorder="1"/>
    <xf numFmtId="14" fontId="0" fillId="0" borderId="0" xfId="0" applyNumberFormat="1"/>
    <xf numFmtId="0" fontId="0" fillId="0" borderId="20" xfId="0" applyNumberFormat="1" applyFill="1" applyBorder="1" applyAlignment="1">
      <alignment horizontal="center"/>
    </xf>
    <xf numFmtId="3" fontId="0" fillId="9" borderId="25" xfId="0" applyNumberFormat="1" applyFill="1" applyBorder="1"/>
    <xf numFmtId="3" fontId="0" fillId="4" borderId="13" xfId="0" applyNumberFormat="1" applyFill="1" applyBorder="1"/>
    <xf numFmtId="0" fontId="9" fillId="0" borderId="0" xfId="0" applyFont="1"/>
    <xf numFmtId="0" fontId="3" fillId="6" borderId="26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10" fontId="3" fillId="4" borderId="31" xfId="1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26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34" xfId="0" applyBorder="1"/>
    <xf numFmtId="0" fontId="0" fillId="0" borderId="0" xfId="0" applyBorder="1"/>
    <xf numFmtId="0" fontId="0" fillId="0" borderId="35" xfId="0" applyBorder="1"/>
    <xf numFmtId="165" fontId="0" fillId="0" borderId="0" xfId="0" applyNumberFormat="1" applyBorder="1"/>
    <xf numFmtId="164" fontId="0" fillId="0" borderId="0" xfId="1" applyNumberFormat="1" applyFont="1" applyBorder="1"/>
    <xf numFmtId="165" fontId="2" fillId="0" borderId="0" xfId="0" applyNumberFormat="1" applyFont="1" applyBorder="1"/>
    <xf numFmtId="166" fontId="0" fillId="0" borderId="35" xfId="0" applyNumberFormat="1" applyBorder="1"/>
    <xf numFmtId="166" fontId="0" fillId="0" borderId="0" xfId="0" applyNumberFormat="1" applyBorder="1"/>
    <xf numFmtId="0" fontId="0" fillId="14" borderId="13" xfId="0" applyFill="1" applyBorder="1"/>
    <xf numFmtId="0" fontId="0" fillId="0" borderId="13" xfId="0" applyBorder="1" applyAlignment="1">
      <alignment horizontal="center"/>
    </xf>
    <xf numFmtId="0" fontId="3" fillId="0" borderId="36" xfId="0" applyFont="1" applyBorder="1"/>
    <xf numFmtId="0" fontId="0" fillId="0" borderId="23" xfId="0" applyBorder="1"/>
    <xf numFmtId="0" fontId="0" fillId="0" borderId="21" xfId="0" applyBorder="1"/>
    <xf numFmtId="9" fontId="0" fillId="0" borderId="37" xfId="1" applyFont="1" applyBorder="1"/>
    <xf numFmtId="0" fontId="3" fillId="0" borderId="38" xfId="0" applyFont="1" applyBorder="1"/>
    <xf numFmtId="0" fontId="0" fillId="0" borderId="16" xfId="0" applyBorder="1"/>
    <xf numFmtId="9" fontId="0" fillId="0" borderId="25" xfId="1" applyFont="1" applyBorder="1"/>
    <xf numFmtId="0" fontId="3" fillId="0" borderId="39" xfId="0" applyFont="1" applyBorder="1"/>
    <xf numFmtId="0" fontId="0" fillId="0" borderId="4" xfId="0" applyBorder="1"/>
    <xf numFmtId="0" fontId="0" fillId="0" borderId="1" xfId="0" applyBorder="1"/>
    <xf numFmtId="9" fontId="0" fillId="0" borderId="40" xfId="1" applyFont="1" applyBorder="1"/>
    <xf numFmtId="0" fontId="3" fillId="0" borderId="33" xfId="0" applyFont="1" applyBorder="1"/>
    <xf numFmtId="0" fontId="3" fillId="0" borderId="31" xfId="0" applyFont="1" applyBorder="1"/>
    <xf numFmtId="9" fontId="3" fillId="0" borderId="32" xfId="1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7" fillId="15" borderId="13" xfId="0" applyFont="1" applyFill="1" applyBorder="1"/>
    <xf numFmtId="14" fontId="7" fillId="15" borderId="13" xfId="0" applyNumberFormat="1" applyFont="1" applyFill="1" applyBorder="1"/>
    <xf numFmtId="0" fontId="7" fillId="4" borderId="13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13" xfId="0" applyFill="1" applyBorder="1"/>
    <xf numFmtId="0" fontId="0" fillId="0" borderId="26" xfId="0" applyBorder="1"/>
    <xf numFmtId="0" fontId="0" fillId="0" borderId="33" xfId="0" applyBorder="1"/>
    <xf numFmtId="0" fontId="0" fillId="0" borderId="31" xfId="0" applyBorder="1"/>
    <xf numFmtId="165" fontId="0" fillId="0" borderId="31" xfId="0" applyNumberFormat="1" applyBorder="1"/>
    <xf numFmtId="164" fontId="0" fillId="0" borderId="31" xfId="1" applyNumberFormat="1" applyFont="1" applyBorder="1"/>
    <xf numFmtId="165" fontId="2" fillId="0" borderId="31" xfId="0" applyNumberFormat="1" applyFont="1" applyBorder="1"/>
    <xf numFmtId="166" fontId="0" fillId="0" borderId="31" xfId="0" applyNumberFormat="1" applyBorder="1"/>
    <xf numFmtId="166" fontId="0" fillId="0" borderId="32" xfId="0" applyNumberFormat="1" applyBorder="1"/>
    <xf numFmtId="164" fontId="0" fillId="0" borderId="0" xfId="0" applyNumberFormat="1"/>
    <xf numFmtId="9" fontId="0" fillId="0" borderId="0" xfId="1" applyFont="1"/>
    <xf numFmtId="0" fontId="0" fillId="14" borderId="0" xfId="0" applyFill="1" applyAlignment="1">
      <alignment horizontal="center"/>
    </xf>
    <xf numFmtId="10" fontId="0" fillId="14" borderId="0" xfId="1" applyNumberFormat="1" applyFont="1" applyFill="1" applyAlignment="1">
      <alignment horizontal="center"/>
    </xf>
    <xf numFmtId="0" fontId="3" fillId="7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Number of companies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Tabs!$B$4</c:f>
              <c:strCache>
                <c:ptCount val="1"/>
                <c:pt idx="0">
                  <c:v>Total 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Tabs!$B$5:$B$31</c:f>
              <c:numCache>
                <c:formatCode>General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E-44DD-BD6B-E663455D025D}"/>
            </c:ext>
          </c:extLst>
        </c:ser>
        <c:ser>
          <c:idx val="1"/>
          <c:order val="1"/>
          <c:tx>
            <c:strRef>
              <c:f>Tabs!$C$4</c:f>
              <c:strCache>
                <c:ptCount val="1"/>
                <c:pt idx="0">
                  <c:v>Without data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Tabs!$C$5:$C$31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E-44DD-BD6B-E663455D025D}"/>
            </c:ext>
          </c:extLst>
        </c:ser>
        <c:ser>
          <c:idx val="2"/>
          <c:order val="2"/>
          <c:tx>
            <c:strRef>
              <c:f>Tabs!$D$4</c:f>
              <c:strCache>
                <c:ptCount val="1"/>
                <c:pt idx="0">
                  <c:v>Total number of companies with data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Tabs!$D$5:$D$31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13</c:v>
                </c:pt>
                <c:pt idx="2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E-44DD-BD6B-E663455D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607728"/>
        <c:axId val="2037050128"/>
      </c:lineChart>
      <c:catAx>
        <c:axId val="19166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50128"/>
        <c:crosses val="autoZero"/>
        <c:auto val="1"/>
        <c:lblAlgn val="ctr"/>
        <c:lblOffset val="100"/>
        <c:noMultiLvlLbl val="0"/>
      </c:catAx>
      <c:valAx>
        <c:axId val="203705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66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Market</a:t>
            </a:r>
            <a:r>
              <a:rPr lang="cs-CZ" baseline="0"/>
              <a:t> to Book</a:t>
            </a:r>
            <a:endParaRPr lang="cs-CZ"/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6538109206937369E-2"/>
                  <c:y val="-0.226744890540431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Tabs!$O$5:$O$31</c:f>
              <c:numCache>
                <c:formatCode>#\ ##0.000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F6-4EDE-BEE9-9C5FFCB20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51760"/>
        <c:axId val="2037052304"/>
      </c:scatterChart>
      <c:valAx>
        <c:axId val="2037051760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52304"/>
        <c:crosses val="autoZero"/>
        <c:crossBetween val="midCat"/>
      </c:valAx>
      <c:valAx>
        <c:axId val="203705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51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Tobin</a:t>
            </a:r>
            <a:r>
              <a:rPr lang="cs-CZ" baseline="0"/>
              <a:t> Q a Lease intensity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Tabs!$N$4</c:f>
              <c:strCache>
                <c:ptCount val="1"/>
                <c:pt idx="0">
                  <c:v>Tobin 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Tabs!$N$5:$N$31</c:f>
              <c:numCache>
                <c:formatCode>#\ ##0.0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F-4F30-901B-1FC7A0054299}"/>
            </c:ext>
          </c:extLst>
        </c:ser>
        <c:ser>
          <c:idx val="0"/>
          <c:order val="2"/>
          <c:tx>
            <c:strRef>
              <c:f>Tabs!$O$4</c:f>
              <c:strCache>
                <c:ptCount val="1"/>
                <c:pt idx="0">
                  <c:v>Market to 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Tabs!$O$5:$O$31</c:f>
              <c:numCache>
                <c:formatCode>#\ ##0.000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F-4F30-901B-1FC7A005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31088"/>
        <c:axId val="2037024560"/>
      </c:lineChart>
      <c:lineChart>
        <c:grouping val="standard"/>
        <c:varyColors val="0"/>
        <c:ser>
          <c:idx val="1"/>
          <c:order val="0"/>
          <c:tx>
            <c:strRef>
              <c:f>Tabs!$L$4</c:f>
              <c:strCache>
                <c:ptCount val="1"/>
                <c:pt idx="0">
                  <c:v>Lease 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4F-4F30-901B-1FC7A005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25648"/>
        <c:axId val="2037025104"/>
      </c:lineChart>
      <c:catAx>
        <c:axId val="20370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4560"/>
        <c:crosses val="autoZero"/>
        <c:auto val="1"/>
        <c:lblAlgn val="ctr"/>
        <c:lblOffset val="100"/>
        <c:noMultiLvlLbl val="0"/>
      </c:catAx>
      <c:valAx>
        <c:axId val="203702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31088"/>
        <c:crosses val="autoZero"/>
        <c:crossBetween val="between"/>
      </c:valAx>
      <c:valAx>
        <c:axId val="20370251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5648"/>
        <c:crosses val="max"/>
        <c:crossBetween val="between"/>
      </c:valAx>
      <c:catAx>
        <c:axId val="203702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702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Market</a:t>
            </a:r>
            <a:r>
              <a:rPr lang="cs-CZ" baseline="0"/>
              <a:t> to Book</a:t>
            </a:r>
            <a:endParaRPr lang="cs-CZ"/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6538109206937369E-2"/>
                  <c:y val="-0.226744890540431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Tabs!$O$5:$O$31</c:f>
              <c:numCache>
                <c:formatCode>#\ ##0.000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9-4891-B4C3-F746E0440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39792"/>
        <c:axId val="2037050672"/>
      </c:scatterChart>
      <c:valAx>
        <c:axId val="2037039792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50672"/>
        <c:crosses val="autoZero"/>
        <c:crossBetween val="midCat"/>
      </c:valAx>
      <c:valAx>
        <c:axId val="203705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39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ROA</a:t>
            </a:r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989775787830441E-2"/>
                  <c:y val="-0.12480903380012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Tabs!$I$5:$I$31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3-4945-86B6-703100C72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41968"/>
        <c:axId val="2037049040"/>
      </c:scatterChart>
      <c:valAx>
        <c:axId val="203704196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49040"/>
        <c:crosses val="autoZero"/>
        <c:crossBetween val="midCat"/>
      </c:valAx>
      <c:valAx>
        <c:axId val="20370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41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ROS</a:t>
            </a:r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989775787830441E-2"/>
                  <c:y val="-0.12480903380012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Tabs!$K$5:$K$31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5B-4629-B63E-6369BED6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30544"/>
        <c:axId val="2037032720"/>
      </c:scatterChart>
      <c:valAx>
        <c:axId val="2037030544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32720"/>
        <c:crosses val="autoZero"/>
        <c:crossBetween val="midCat"/>
      </c:valAx>
      <c:valAx>
        <c:axId val="20370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3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Tobinovo Q</a:t>
            </a:r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309351037002728E-2"/>
                  <c:y val="-0.198243407953697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Tabs!$N$5:$N$31</c:f>
              <c:numCache>
                <c:formatCode>#\ ##0.0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74-47C3-87C5-7F0ECE675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43600"/>
        <c:axId val="2037027280"/>
      </c:scatterChart>
      <c:valAx>
        <c:axId val="2037043600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7280"/>
        <c:crosses val="autoZero"/>
        <c:crossBetween val="midCat"/>
      </c:valAx>
      <c:valAx>
        <c:axId val="203702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4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ROE</a:t>
            </a:r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989775787830441E-2"/>
                  <c:y val="-0.12480903380012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Tabs!$J$5:$J$31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0-4B99-B7BC-701847D6B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28368"/>
        <c:axId val="2037026192"/>
      </c:scatterChart>
      <c:valAx>
        <c:axId val="203702836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6192"/>
        <c:crosses val="autoZero"/>
        <c:crossBetween val="midCat"/>
      </c:valAx>
      <c:valAx>
        <c:axId val="203702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8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Tobin</a:t>
            </a:r>
            <a:r>
              <a:rPr lang="cs-CZ" baseline="0"/>
              <a:t> Q, Market to a book a Lease intensity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Tabs!$N$4</c:f>
              <c:strCache>
                <c:ptCount val="1"/>
                <c:pt idx="0">
                  <c:v>Tobin 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Tabs!$N$5:$N$31</c:f>
              <c:numCache>
                <c:formatCode>#\ ##0.0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C-4DEA-94E2-37FE0ADB95FD}"/>
            </c:ext>
          </c:extLst>
        </c:ser>
        <c:ser>
          <c:idx val="0"/>
          <c:order val="2"/>
          <c:tx>
            <c:strRef>
              <c:f>Tabs!$O$4</c:f>
              <c:strCache>
                <c:ptCount val="1"/>
                <c:pt idx="0">
                  <c:v>Market to 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Tabs!$O$5:$O$31</c:f>
              <c:numCache>
                <c:formatCode>#\ ##0.000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C-4DEA-94E2-37FE0ADB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23472"/>
        <c:axId val="2037026736"/>
      </c:lineChart>
      <c:lineChart>
        <c:grouping val="standard"/>
        <c:varyColors val="0"/>
        <c:ser>
          <c:idx val="1"/>
          <c:order val="0"/>
          <c:tx>
            <c:strRef>
              <c:f>Tabs!$L$4</c:f>
              <c:strCache>
                <c:ptCount val="1"/>
                <c:pt idx="0">
                  <c:v>Lease 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Tabs!$A$5:$A$31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7C-4DEA-94E2-37FE0ADB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27824"/>
        <c:axId val="2037024016"/>
      </c:lineChart>
      <c:catAx>
        <c:axId val="20370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6736"/>
        <c:crosses val="autoZero"/>
        <c:auto val="1"/>
        <c:lblAlgn val="ctr"/>
        <c:lblOffset val="100"/>
        <c:noMultiLvlLbl val="0"/>
      </c:catAx>
      <c:valAx>
        <c:axId val="203702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3472"/>
        <c:crosses val="autoZero"/>
        <c:crossBetween val="between"/>
      </c:valAx>
      <c:valAx>
        <c:axId val="20370240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27824"/>
        <c:crosses val="max"/>
        <c:crossBetween val="between"/>
      </c:valAx>
      <c:catAx>
        <c:axId val="203702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702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Lease intensity a Tobinovo Q</a:t>
            </a:r>
          </a:p>
        </c:rich>
      </c:tx>
      <c:layout>
        <c:manualLayout>
          <c:xMode val="edge"/>
          <c:yMode val="edge"/>
          <c:x val="0.270020778652668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309351037002728E-2"/>
                  <c:y val="-0.198243407953697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Tabs!$L$5:$L$31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Tabs!$P$5:$P$31</c:f>
              <c:numCache>
                <c:formatCode>#\ ##0.000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6-48D6-AED6-B33B85097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51216"/>
        <c:axId val="2037034896"/>
      </c:scatterChart>
      <c:valAx>
        <c:axId val="2037051216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34896"/>
        <c:crosses val="autoZero"/>
        <c:crossBetween val="midCat"/>
      </c:valAx>
      <c:valAx>
        <c:axId val="203703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705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37</xdr:row>
      <xdr:rowOff>4762</xdr:rowOff>
    </xdr:from>
    <xdr:to>
      <xdr:col>6</xdr:col>
      <xdr:colOff>409575</xdr:colOff>
      <xdr:row>54</xdr:row>
      <xdr:rowOff>80962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666749</xdr:colOff>
      <xdr:row>37</xdr:row>
      <xdr:rowOff>33337</xdr:rowOff>
    </xdr:from>
    <xdr:to>
      <xdr:col>18</xdr:col>
      <xdr:colOff>781050</xdr:colOff>
      <xdr:row>51</xdr:row>
      <xdr:rowOff>109537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70</xdr:row>
      <xdr:rowOff>38100</xdr:rowOff>
    </xdr:from>
    <xdr:to>
      <xdr:col>17</xdr:col>
      <xdr:colOff>419100</xdr:colOff>
      <xdr:row>87</xdr:row>
      <xdr:rowOff>166688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17</xdr:col>
      <xdr:colOff>428625</xdr:colOff>
      <xdr:row>106</xdr:row>
      <xdr:rowOff>128588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108</xdr:row>
      <xdr:rowOff>0</xdr:rowOff>
    </xdr:from>
    <xdr:to>
      <xdr:col>17</xdr:col>
      <xdr:colOff>428625</xdr:colOff>
      <xdr:row>125</xdr:row>
      <xdr:rowOff>128588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28575</xdr:colOff>
      <xdr:row>52</xdr:row>
      <xdr:rowOff>28575</xdr:rowOff>
    </xdr:from>
    <xdr:to>
      <xdr:col>17</xdr:col>
      <xdr:colOff>457200</xdr:colOff>
      <xdr:row>69</xdr:row>
      <xdr:rowOff>157163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127</xdr:row>
      <xdr:rowOff>0</xdr:rowOff>
    </xdr:from>
    <xdr:to>
      <xdr:col>17</xdr:col>
      <xdr:colOff>428625</xdr:colOff>
      <xdr:row>144</xdr:row>
      <xdr:rowOff>128588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38</xdr:row>
      <xdr:rowOff>0</xdr:rowOff>
    </xdr:from>
    <xdr:to>
      <xdr:col>28</xdr:col>
      <xdr:colOff>407670</xdr:colOff>
      <xdr:row>48</xdr:row>
      <xdr:rowOff>6350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52</xdr:row>
      <xdr:rowOff>0</xdr:rowOff>
    </xdr:from>
    <xdr:to>
      <xdr:col>28</xdr:col>
      <xdr:colOff>407670</xdr:colOff>
      <xdr:row>65</xdr:row>
      <xdr:rowOff>185420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72</xdr:row>
      <xdr:rowOff>0</xdr:rowOff>
    </xdr:from>
    <xdr:to>
      <xdr:col>28</xdr:col>
      <xdr:colOff>407670</xdr:colOff>
      <xdr:row>85</xdr:row>
      <xdr:rowOff>185420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60"/>
  <sheetViews>
    <sheetView workbookViewId="0">
      <pane xSplit="4" ySplit="4" topLeftCell="E5" activePane="bottomRight" state="frozen"/>
      <selection pane="topRight" activeCell="D1" sqref="D1"/>
      <selection pane="bottomLeft" activeCell="A4" sqref="A4"/>
      <selection pane="bottomRight" activeCell="AI1" sqref="AI1"/>
    </sheetView>
  </sheetViews>
  <sheetFormatPr defaultColWidth="16" defaultRowHeight="14.4" outlineLevelCol="1" x14ac:dyDescent="0.3"/>
  <cols>
    <col min="2" max="2" width="25.33203125" bestFit="1" customWidth="1"/>
    <col min="3" max="3" width="10.109375" bestFit="1" customWidth="1"/>
    <col min="4" max="4" width="13.6640625" bestFit="1" customWidth="1"/>
    <col min="5" max="5" width="13.6640625" customWidth="1"/>
    <col min="6" max="6" width="15" bestFit="1" customWidth="1"/>
    <col min="7" max="7" width="10.44140625" style="2" bestFit="1" customWidth="1"/>
    <col min="8" max="8" width="21" customWidth="1"/>
    <col min="9" max="10" width="13.44140625" bestFit="1" customWidth="1"/>
    <col min="11" max="11" width="13.44140625" hidden="1" customWidth="1" outlineLevel="1"/>
    <col min="12" max="12" width="14.5546875" hidden="1" customWidth="1" outlineLevel="1"/>
    <col min="13" max="14" width="11.44140625" hidden="1" customWidth="1" outlineLevel="1"/>
    <col min="15" max="15" width="13.88671875" bestFit="1" customWidth="1" collapsed="1"/>
    <col min="16" max="17" width="13.88671875" customWidth="1"/>
    <col min="18" max="18" width="14.109375" hidden="1" customWidth="1" outlineLevel="1"/>
    <col min="19" max="19" width="13.44140625" bestFit="1" customWidth="1" collapsed="1"/>
    <col min="20" max="20" width="13.44140625" bestFit="1" customWidth="1"/>
    <col min="21" max="21" width="14.88671875" hidden="1" customWidth="1" outlineLevel="1"/>
    <col min="22" max="22" width="18.33203125" hidden="1" customWidth="1" outlineLevel="1"/>
    <col min="23" max="23" width="18.33203125" hidden="1" customWidth="1" outlineLevel="1" collapsed="1"/>
    <col min="24" max="24" width="18.33203125" hidden="1" customWidth="1" outlineLevel="1"/>
    <col min="25" max="25" width="13.88671875" customWidth="1" collapsed="1"/>
    <col min="26" max="26" width="13.44140625" bestFit="1" customWidth="1"/>
    <col min="27" max="27" width="12.33203125" bestFit="1" customWidth="1"/>
    <col min="28" max="28" width="10.88671875" hidden="1" customWidth="1" outlineLevel="1"/>
    <col min="29" max="29" width="13.44140625" bestFit="1" customWidth="1" collapsed="1"/>
    <col min="30" max="30" width="12.5546875" bestFit="1" customWidth="1"/>
    <col min="31" max="31" width="10" bestFit="1" customWidth="1"/>
    <col min="32" max="32" width="10.88671875" bestFit="1" customWidth="1"/>
    <col min="33" max="33" width="13.88671875" bestFit="1" customWidth="1"/>
    <col min="34" max="34" width="11.88671875" bestFit="1" customWidth="1"/>
    <col min="35" max="35" width="17.88671875" bestFit="1" customWidth="1"/>
    <col min="36" max="36" width="14.44140625" bestFit="1" customWidth="1"/>
    <col min="37" max="37" width="10.5546875" bestFit="1" customWidth="1"/>
    <col min="38" max="38" width="10.5546875" customWidth="1"/>
    <col min="39" max="39" width="14.109375" bestFit="1" customWidth="1"/>
    <col min="40" max="40" width="10.33203125" bestFit="1" customWidth="1"/>
    <col min="41" max="41" width="11.88671875" bestFit="1" customWidth="1"/>
    <col min="42" max="42" width="12.5546875" customWidth="1"/>
    <col min="43" max="43" width="12.33203125" customWidth="1"/>
    <col min="44" max="46" width="6.6640625" customWidth="1"/>
    <col min="47" max="47" width="19" style="3" bestFit="1" customWidth="1"/>
    <col min="48" max="48" width="14.109375" bestFit="1" customWidth="1"/>
    <col min="49" max="49" width="11.109375" bestFit="1" customWidth="1"/>
    <col min="50" max="50" width="14.6640625" bestFit="1" customWidth="1"/>
  </cols>
  <sheetData>
    <row r="1" spans="1:55" x14ac:dyDescent="0.3">
      <c r="B1" s="1">
        <v>1</v>
      </c>
      <c r="C1" s="1">
        <v>0</v>
      </c>
    </row>
    <row r="2" spans="1:55" x14ac:dyDescent="0.3">
      <c r="D2" s="4"/>
      <c r="E2" s="4"/>
      <c r="F2" s="4"/>
      <c r="G2" s="5"/>
      <c r="H2" s="4"/>
      <c r="I2" s="4"/>
      <c r="J2" s="6" t="s">
        <v>93</v>
      </c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  <c r="W2" s="8" t="s">
        <v>0</v>
      </c>
      <c r="X2" s="9"/>
      <c r="Y2" s="9"/>
      <c r="Z2" s="9"/>
      <c r="AA2" s="9"/>
      <c r="AB2" s="9"/>
      <c r="AC2" s="10"/>
      <c r="AD2" s="11" t="s">
        <v>112</v>
      </c>
      <c r="AE2" s="12"/>
      <c r="AF2" s="13"/>
      <c r="AG2" s="8" t="s">
        <v>113</v>
      </c>
      <c r="AH2" s="9"/>
      <c r="AI2" s="9"/>
      <c r="AJ2" s="9"/>
      <c r="AK2" s="10"/>
      <c r="AL2" s="9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3"/>
    </row>
    <row r="3" spans="1:55" s="2" customFormat="1" ht="15" thickBot="1" x14ac:dyDescent="0.35">
      <c r="B3" s="1"/>
      <c r="C3" s="1"/>
      <c r="J3" s="205" t="s">
        <v>78</v>
      </c>
      <c r="Q3" s="205" t="s">
        <v>77</v>
      </c>
      <c r="AE3" s="205" t="s">
        <v>15</v>
      </c>
      <c r="AL3" s="205" t="s">
        <v>79</v>
      </c>
      <c r="AM3" s="205" t="s">
        <v>19</v>
      </c>
      <c r="AR3" s="205" t="s">
        <v>20</v>
      </c>
      <c r="AS3" s="205" t="s">
        <v>21</v>
      </c>
      <c r="AT3" s="205" t="s">
        <v>22</v>
      </c>
      <c r="AU3" s="206" t="s">
        <v>23</v>
      </c>
      <c r="AV3" s="205" t="s">
        <v>24</v>
      </c>
      <c r="AW3" s="205" t="s">
        <v>25</v>
      </c>
      <c r="AX3" s="205" t="s">
        <v>26</v>
      </c>
    </row>
    <row r="4" spans="1:55" s="27" customFormat="1" ht="59.1" customHeight="1" thickBot="1" x14ac:dyDescent="0.35">
      <c r="A4" s="14" t="s">
        <v>1</v>
      </c>
      <c r="B4" s="14" t="s">
        <v>89</v>
      </c>
      <c r="C4" s="15" t="s">
        <v>90</v>
      </c>
      <c r="D4" s="15" t="s">
        <v>91</v>
      </c>
      <c r="E4" s="15" t="s">
        <v>95</v>
      </c>
      <c r="F4" s="16" t="s">
        <v>105</v>
      </c>
      <c r="G4" s="15" t="s">
        <v>103</v>
      </c>
      <c r="H4" s="15" t="s">
        <v>104</v>
      </c>
      <c r="I4" s="17" t="s">
        <v>2</v>
      </c>
      <c r="J4" s="15" t="s">
        <v>94</v>
      </c>
      <c r="K4" s="18" t="s">
        <v>3</v>
      </c>
      <c r="L4" s="18" t="s">
        <v>4</v>
      </c>
      <c r="M4" s="18" t="s">
        <v>5</v>
      </c>
      <c r="N4" s="19" t="s">
        <v>6</v>
      </c>
      <c r="O4" s="16" t="s">
        <v>102</v>
      </c>
      <c r="P4" s="15" t="s">
        <v>106</v>
      </c>
      <c r="Q4" s="15" t="s">
        <v>107</v>
      </c>
      <c r="R4" s="15" t="s">
        <v>7</v>
      </c>
      <c r="S4" s="15" t="s">
        <v>129</v>
      </c>
      <c r="T4" s="15" t="s">
        <v>130</v>
      </c>
      <c r="U4" s="20" t="s">
        <v>8</v>
      </c>
      <c r="V4" s="20" t="s">
        <v>9</v>
      </c>
      <c r="W4" s="18" t="s">
        <v>10</v>
      </c>
      <c r="X4" s="18" t="s">
        <v>11</v>
      </c>
      <c r="Y4" s="15" t="s">
        <v>97</v>
      </c>
      <c r="Z4" s="15" t="s">
        <v>12</v>
      </c>
      <c r="AA4" s="15" t="s">
        <v>13</v>
      </c>
      <c r="AB4" s="18" t="s">
        <v>14</v>
      </c>
      <c r="AC4" s="15" t="s">
        <v>110</v>
      </c>
      <c r="AD4" s="15" t="s">
        <v>111</v>
      </c>
      <c r="AE4" s="15" t="s">
        <v>15</v>
      </c>
      <c r="AF4" s="15" t="s">
        <v>16</v>
      </c>
      <c r="AG4" s="207" t="s">
        <v>132</v>
      </c>
      <c r="AH4" s="207" t="s">
        <v>131</v>
      </c>
      <c r="AI4" s="16" t="s">
        <v>133</v>
      </c>
      <c r="AJ4" s="16" t="s">
        <v>133</v>
      </c>
      <c r="AK4" s="15" t="s">
        <v>17</v>
      </c>
      <c r="AL4" s="21" t="s">
        <v>18</v>
      </c>
      <c r="AM4" s="22" t="s">
        <v>19</v>
      </c>
      <c r="AN4" s="207" t="s">
        <v>96</v>
      </c>
      <c r="AO4" s="207" t="s">
        <v>97</v>
      </c>
      <c r="AP4" s="207" t="s">
        <v>92</v>
      </c>
      <c r="AQ4" s="23" t="s">
        <v>98</v>
      </c>
      <c r="AR4" s="16" t="s">
        <v>20</v>
      </c>
      <c r="AS4" s="16" t="s">
        <v>21</v>
      </c>
      <c r="AT4" s="16" t="s">
        <v>22</v>
      </c>
      <c r="AU4" s="24" t="s">
        <v>23</v>
      </c>
      <c r="AV4" s="16" t="s">
        <v>24</v>
      </c>
      <c r="AW4" s="16" t="s">
        <v>25</v>
      </c>
      <c r="AX4" s="25" t="s">
        <v>26</v>
      </c>
      <c r="AY4" s="26"/>
      <c r="AZ4" s="16" t="s">
        <v>87</v>
      </c>
      <c r="BA4" s="26"/>
      <c r="BB4" s="26"/>
      <c r="BC4" s="26"/>
    </row>
    <row r="5" spans="1:55" ht="15" thickBot="1" x14ac:dyDescent="0.35">
      <c r="A5" s="28">
        <v>1</v>
      </c>
      <c r="B5" s="29" t="s">
        <v>27</v>
      </c>
      <c r="C5" s="30">
        <v>41164</v>
      </c>
      <c r="D5" s="30">
        <v>43830</v>
      </c>
      <c r="E5" s="31">
        <f>YEAR(D5)</f>
        <v>2019</v>
      </c>
      <c r="F5" s="32">
        <f t="shared" ref="F5:F68" si="0">(D5-C5)/360</f>
        <v>7.4055555555555559</v>
      </c>
      <c r="G5" s="33" t="s">
        <v>28</v>
      </c>
      <c r="H5" s="29" t="s">
        <v>114</v>
      </c>
      <c r="I5" s="34">
        <v>0</v>
      </c>
      <c r="J5" s="35">
        <v>6916438</v>
      </c>
      <c r="K5" s="36">
        <v>3127018</v>
      </c>
      <c r="L5" s="37">
        <v>0</v>
      </c>
      <c r="M5" s="37">
        <v>0</v>
      </c>
      <c r="N5" s="37"/>
      <c r="O5" s="38">
        <f t="shared" ref="O5:O68" si="1">+IF(K5+M5+L5=0,"",K5+L5+M5)</f>
        <v>3127018</v>
      </c>
      <c r="P5" s="35">
        <v>465934</v>
      </c>
      <c r="Q5" s="39" t="s">
        <v>108</v>
      </c>
      <c r="R5" s="35">
        <v>419791</v>
      </c>
      <c r="S5" s="35">
        <v>1513550</v>
      </c>
      <c r="T5" s="35">
        <v>5402888</v>
      </c>
      <c r="U5" s="35">
        <v>46143</v>
      </c>
      <c r="V5" s="35">
        <v>408470</v>
      </c>
      <c r="W5" s="36">
        <v>5827066</v>
      </c>
      <c r="X5" s="36">
        <v>582401</v>
      </c>
      <c r="Y5" s="38">
        <f t="shared" ref="Y5:Y68" si="2">+IF(W5="","",W5+X5)</f>
        <v>6409467</v>
      </c>
      <c r="Z5" s="35">
        <v>398748</v>
      </c>
      <c r="AA5" s="35">
        <v>252695</v>
      </c>
      <c r="AB5" s="35">
        <v>75750</v>
      </c>
      <c r="AC5" s="38">
        <f t="shared" ref="AC5:AC68" si="3">+IF(Y5="","",Y5+AB5)</f>
        <v>6485217</v>
      </c>
      <c r="AD5" s="35">
        <v>1991</v>
      </c>
      <c r="AE5" s="35">
        <v>6</v>
      </c>
      <c r="AF5" s="37"/>
      <c r="AG5" s="36">
        <v>22291948</v>
      </c>
      <c r="AH5" s="36">
        <v>280</v>
      </c>
      <c r="AI5" s="38">
        <f t="shared" ref="AI5:AI68" si="4">+IF(AG5="","",AG5*AH5)</f>
        <v>6241745440</v>
      </c>
      <c r="AJ5" s="38">
        <f t="shared" ref="AJ5:AJ68" si="5">+IFERROR(AI5/1000,"")</f>
        <v>6241745.4400000004</v>
      </c>
      <c r="AK5" s="30">
        <v>42278</v>
      </c>
      <c r="AL5" s="38">
        <f t="shared" ref="AL5:AL68" si="6">+(D5-AK5)/360</f>
        <v>4.3111111111111109</v>
      </c>
      <c r="AM5" s="40">
        <f>+IFERROR((O5+N5)/J5,"")</f>
        <v>0.45211393494743973</v>
      </c>
      <c r="AN5" s="41" t="s">
        <v>99</v>
      </c>
      <c r="AO5" s="41" t="s">
        <v>99</v>
      </c>
      <c r="AP5" s="41" t="s">
        <v>99</v>
      </c>
      <c r="AQ5" s="42" t="s">
        <v>99</v>
      </c>
      <c r="AR5" s="43">
        <f>+IFERROR(Z5/J5,"")</f>
        <v>5.7652219249272531E-2</v>
      </c>
      <c r="AS5" s="43">
        <f>+IFERROR(Z5/S5,"")</f>
        <v>0.26345214892140995</v>
      </c>
      <c r="AT5" s="43">
        <f>+IFERROR(Z5/AC5,"")</f>
        <v>6.1485683516835289E-2</v>
      </c>
      <c r="AU5" s="40">
        <f>+IFERROR((P5)/(O5),"")</f>
        <v>0.14900266004225113</v>
      </c>
      <c r="AV5" s="43">
        <f>+IFERROR(T5/J5,"")</f>
        <v>0.7811662592797044</v>
      </c>
      <c r="AW5" s="43">
        <f>+IFERROR((AJ5+T5)/(S5+T5),"")</f>
        <v>1.6836171219925635</v>
      </c>
      <c r="AX5" s="43">
        <f>+IFERROR(AJ5/(S5),"")</f>
        <v>4.1239109642892542</v>
      </c>
      <c r="AZ5" s="43">
        <f>+IFERROR((AJ5/J5),"")</f>
        <v>0.9024508627128589</v>
      </c>
      <c r="BA5" s="44">
        <f>+Z5/AC5</f>
        <v>6.1485683516835289E-2</v>
      </c>
    </row>
    <row r="6" spans="1:55" ht="15" thickBot="1" x14ac:dyDescent="0.35">
      <c r="A6" s="45">
        <v>2</v>
      </c>
      <c r="B6" s="46" t="s">
        <v>27</v>
      </c>
      <c r="C6" s="47">
        <v>41164</v>
      </c>
      <c r="D6" s="47">
        <v>43465</v>
      </c>
      <c r="E6" s="48">
        <f t="shared" ref="E6:E69" si="7">YEAR(D6)</f>
        <v>2018</v>
      </c>
      <c r="F6" s="32">
        <f t="shared" si="0"/>
        <v>6.3916666666666666</v>
      </c>
      <c r="G6" s="49" t="s">
        <v>28</v>
      </c>
      <c r="H6" s="29" t="s">
        <v>114</v>
      </c>
      <c r="I6" s="50">
        <v>0</v>
      </c>
      <c r="J6" s="51">
        <v>6563030</v>
      </c>
      <c r="K6" s="52">
        <v>2959954</v>
      </c>
      <c r="L6" s="53">
        <v>0</v>
      </c>
      <c r="M6" s="53">
        <v>0</v>
      </c>
      <c r="N6" s="53"/>
      <c r="O6" s="32">
        <f t="shared" si="1"/>
        <v>2959954</v>
      </c>
      <c r="P6" s="51">
        <v>143360</v>
      </c>
      <c r="Q6" s="39" t="s">
        <v>108</v>
      </c>
      <c r="R6" s="53"/>
      <c r="S6" s="51">
        <v>1475246</v>
      </c>
      <c r="T6" s="51">
        <v>5087784</v>
      </c>
      <c r="U6" s="51">
        <v>143360</v>
      </c>
      <c r="V6" s="51">
        <v>135778</v>
      </c>
      <c r="W6" s="52">
        <v>5628627</v>
      </c>
      <c r="X6" s="52">
        <v>530552</v>
      </c>
      <c r="Y6" s="32">
        <f t="shared" si="2"/>
        <v>6159179</v>
      </c>
      <c r="Z6" s="51">
        <v>423644</v>
      </c>
      <c r="AA6" s="51">
        <v>339244</v>
      </c>
      <c r="AB6" s="51">
        <v>68041</v>
      </c>
      <c r="AC6" s="32">
        <f t="shared" si="3"/>
        <v>6227220</v>
      </c>
      <c r="AD6" s="51">
        <v>1902</v>
      </c>
      <c r="AE6" s="51">
        <v>6</v>
      </c>
      <c r="AF6" s="53"/>
      <c r="AG6" s="52">
        <v>22291948</v>
      </c>
      <c r="AH6" s="52">
        <v>283</v>
      </c>
      <c r="AI6" s="32">
        <f t="shared" si="4"/>
        <v>6308621284</v>
      </c>
      <c r="AJ6" s="32">
        <f t="shared" si="5"/>
        <v>6308621.284</v>
      </c>
      <c r="AK6" s="47">
        <v>42278</v>
      </c>
      <c r="AL6" s="32">
        <f t="shared" si="6"/>
        <v>3.2972222222222221</v>
      </c>
      <c r="AM6" s="55">
        <f t="shared" ref="AM6:AM69" si="8">+IFERROR((O6+N6)/J6,"")</f>
        <v>0.45100418556672756</v>
      </c>
      <c r="AN6" s="41" t="s">
        <v>99</v>
      </c>
      <c r="AO6" s="41" t="s">
        <v>99</v>
      </c>
      <c r="AP6" s="41" t="s">
        <v>99</v>
      </c>
      <c r="AQ6" s="57" t="s">
        <v>99</v>
      </c>
      <c r="AR6" s="43">
        <f t="shared" ref="AR6:AR69" si="9">+IFERROR(Z6/J6,"")</f>
        <v>6.4550063004435457E-2</v>
      </c>
      <c r="AS6" s="43">
        <f t="shared" ref="AS6:AS69" si="10">+IFERROR(Z6/S6,"")</f>
        <v>0.28716837734181283</v>
      </c>
      <c r="AT6" s="43">
        <f t="shared" ref="AT6:AT69" si="11">+IFERROR(Z6/AC6,"")</f>
        <v>6.803099938656415E-2</v>
      </c>
      <c r="AU6" s="55">
        <f t="shared" ref="AU6:AU69" si="12">+IFERROR((P6)/(O6),"")</f>
        <v>4.8433185110309147E-2</v>
      </c>
      <c r="AV6" s="58">
        <f t="shared" ref="AV6:AV70" si="13">+IFERROR(T6/J6,"")</f>
        <v>0.77521876328464134</v>
      </c>
      <c r="AW6" s="58">
        <f t="shared" ref="AW6:AW69" si="14">+IFERROR((AJ6+T6)/(S6+T6),"")</f>
        <v>1.7364548514938984</v>
      </c>
      <c r="AX6" s="58">
        <f t="shared" ref="AX6:AX69" si="15">+IFERROR(AJ6/(S6),"")</f>
        <v>4.2763181760872424</v>
      </c>
      <c r="AZ6" s="43">
        <f t="shared" ref="AZ6:AZ69" si="16">+IFERROR((AJ6/J6),"")</f>
        <v>0.96123608820925699</v>
      </c>
      <c r="BA6" s="44">
        <f t="shared" ref="BA6:BA69" si="17">+Z6/AC6</f>
        <v>6.803099938656415E-2</v>
      </c>
    </row>
    <row r="7" spans="1:55" ht="15" thickBot="1" x14ac:dyDescent="0.35">
      <c r="A7" s="45">
        <v>3</v>
      </c>
      <c r="B7" s="46" t="s">
        <v>27</v>
      </c>
      <c r="C7" s="47">
        <v>41164</v>
      </c>
      <c r="D7" s="47">
        <v>43100</v>
      </c>
      <c r="E7" s="48">
        <f t="shared" si="7"/>
        <v>2017</v>
      </c>
      <c r="F7" s="32">
        <f t="shared" si="0"/>
        <v>5.3777777777777782</v>
      </c>
      <c r="G7" s="49" t="s">
        <v>28</v>
      </c>
      <c r="H7" s="29" t="s">
        <v>114</v>
      </c>
      <c r="I7" s="50">
        <v>0</v>
      </c>
      <c r="J7" s="51">
        <v>6578868</v>
      </c>
      <c r="K7" s="52">
        <v>3384892</v>
      </c>
      <c r="L7" s="53">
        <v>0</v>
      </c>
      <c r="M7" s="53">
        <v>0</v>
      </c>
      <c r="N7" s="53"/>
      <c r="O7" s="32">
        <f t="shared" si="1"/>
        <v>3384892</v>
      </c>
      <c r="P7" s="51">
        <v>9761</v>
      </c>
      <c r="Q7" s="39" t="s">
        <v>108</v>
      </c>
      <c r="R7" s="53"/>
      <c r="S7" s="51">
        <v>1973986</v>
      </c>
      <c r="T7" s="51">
        <v>4604882</v>
      </c>
      <c r="U7" s="51">
        <v>9761</v>
      </c>
      <c r="V7" s="51">
        <v>9571</v>
      </c>
      <c r="W7" s="52">
        <v>6409682</v>
      </c>
      <c r="X7" s="52">
        <v>553596</v>
      </c>
      <c r="Y7" s="32">
        <f t="shared" si="2"/>
        <v>6963278</v>
      </c>
      <c r="Z7" s="51">
        <v>266884</v>
      </c>
      <c r="AA7" s="51">
        <v>152195</v>
      </c>
      <c r="AB7" s="51">
        <v>127535</v>
      </c>
      <c r="AC7" s="32">
        <f t="shared" si="3"/>
        <v>7090813</v>
      </c>
      <c r="AD7" s="51">
        <v>2182</v>
      </c>
      <c r="AE7" s="51">
        <v>6</v>
      </c>
      <c r="AF7" s="53"/>
      <c r="AG7" s="52">
        <v>22295000</v>
      </c>
      <c r="AH7" s="52">
        <v>419.4</v>
      </c>
      <c r="AI7" s="32">
        <f t="shared" si="4"/>
        <v>9350523000</v>
      </c>
      <c r="AJ7" s="32">
        <f t="shared" si="5"/>
        <v>9350523</v>
      </c>
      <c r="AK7" s="47">
        <v>42278</v>
      </c>
      <c r="AL7" s="32">
        <f t="shared" si="6"/>
        <v>2.2833333333333332</v>
      </c>
      <c r="AM7" s="55">
        <f t="shared" si="8"/>
        <v>0.51450979104611916</v>
      </c>
      <c r="AN7" s="41" t="s">
        <v>99</v>
      </c>
      <c r="AO7" s="41" t="s">
        <v>99</v>
      </c>
      <c r="AP7" s="41" t="s">
        <v>99</v>
      </c>
      <c r="AQ7" s="57" t="s">
        <v>99</v>
      </c>
      <c r="AR7" s="43">
        <f t="shared" si="9"/>
        <v>4.0566857398567656E-2</v>
      </c>
      <c r="AS7" s="43">
        <f t="shared" si="10"/>
        <v>0.13520055360068409</v>
      </c>
      <c r="AT7" s="43">
        <f t="shared" si="11"/>
        <v>3.7637997222603387E-2</v>
      </c>
      <c r="AU7" s="55">
        <f t="shared" si="12"/>
        <v>2.8836961415607942E-3</v>
      </c>
      <c r="AV7" s="58">
        <f t="shared" si="13"/>
        <v>0.69995050820293092</v>
      </c>
      <c r="AW7" s="58">
        <f t="shared" si="14"/>
        <v>2.1212471507256265</v>
      </c>
      <c r="AX7" s="58">
        <f t="shared" si="15"/>
        <v>4.736874020383123</v>
      </c>
      <c r="AZ7" s="43">
        <f t="shared" si="16"/>
        <v>1.4212966425226954</v>
      </c>
      <c r="BA7" s="44">
        <f t="shared" si="17"/>
        <v>3.7637997222603387E-2</v>
      </c>
    </row>
    <row r="8" spans="1:55" ht="15" thickBot="1" x14ac:dyDescent="0.35">
      <c r="A8" s="45">
        <v>4</v>
      </c>
      <c r="B8" s="46" t="s">
        <v>27</v>
      </c>
      <c r="C8" s="47">
        <v>41164</v>
      </c>
      <c r="D8" s="47">
        <v>42735</v>
      </c>
      <c r="E8" s="48">
        <f t="shared" si="7"/>
        <v>2016</v>
      </c>
      <c r="F8" s="32">
        <f t="shared" si="0"/>
        <v>4.3638888888888889</v>
      </c>
      <c r="G8" s="49" t="s">
        <v>28</v>
      </c>
      <c r="H8" s="29" t="s">
        <v>114</v>
      </c>
      <c r="I8" s="50">
        <v>0</v>
      </c>
      <c r="J8" s="51">
        <v>8019883</v>
      </c>
      <c r="K8" s="52">
        <v>3442624</v>
      </c>
      <c r="L8" s="53">
        <v>0</v>
      </c>
      <c r="M8" s="53">
        <v>0</v>
      </c>
      <c r="N8" s="53"/>
      <c r="O8" s="32">
        <f t="shared" si="1"/>
        <v>3442624</v>
      </c>
      <c r="P8" s="51">
        <v>15052</v>
      </c>
      <c r="Q8" s="39" t="s">
        <v>108</v>
      </c>
      <c r="R8" s="53"/>
      <c r="S8" s="51">
        <v>2739468</v>
      </c>
      <c r="T8" s="51">
        <v>5280415</v>
      </c>
      <c r="U8" s="51">
        <v>15052</v>
      </c>
      <c r="V8" s="51">
        <v>14622</v>
      </c>
      <c r="W8" s="52">
        <v>6506401</v>
      </c>
      <c r="X8" s="52">
        <v>492559</v>
      </c>
      <c r="Y8" s="32">
        <f t="shared" si="2"/>
        <v>6998960</v>
      </c>
      <c r="Z8" s="51">
        <v>170400</v>
      </c>
      <c r="AA8" s="51">
        <v>83400</v>
      </c>
      <c r="AB8" s="51">
        <v>84491</v>
      </c>
      <c r="AC8" s="32">
        <f t="shared" si="3"/>
        <v>7083451</v>
      </c>
      <c r="AD8" s="51">
        <v>2055</v>
      </c>
      <c r="AE8" s="51">
        <v>6</v>
      </c>
      <c r="AF8" s="53"/>
      <c r="AG8" s="52">
        <v>22295000</v>
      </c>
      <c r="AH8" s="52">
        <v>366.9</v>
      </c>
      <c r="AI8" s="32">
        <f t="shared" si="4"/>
        <v>8180035499.999999</v>
      </c>
      <c r="AJ8" s="32">
        <f t="shared" si="5"/>
        <v>8180035.4999999991</v>
      </c>
      <c r="AK8" s="47">
        <v>42278</v>
      </c>
      <c r="AL8" s="32">
        <f t="shared" si="6"/>
        <v>1.2694444444444444</v>
      </c>
      <c r="AM8" s="55">
        <f t="shared" si="8"/>
        <v>0.42926112513112724</v>
      </c>
      <c r="AN8" s="41" t="s">
        <v>99</v>
      </c>
      <c r="AO8" s="41" t="s">
        <v>99</v>
      </c>
      <c r="AP8" s="41" t="s">
        <v>99</v>
      </c>
      <c r="AQ8" s="57" t="s">
        <v>99</v>
      </c>
      <c r="AR8" s="43">
        <f t="shared" si="9"/>
        <v>2.1247192758298346E-2</v>
      </c>
      <c r="AS8" s="43">
        <f t="shared" si="10"/>
        <v>6.2201858171002544E-2</v>
      </c>
      <c r="AT8" s="43">
        <f t="shared" si="11"/>
        <v>2.4056070974444517E-2</v>
      </c>
      <c r="AU8" s="55">
        <f t="shared" si="12"/>
        <v>4.3722462865535125E-3</v>
      </c>
      <c r="AV8" s="58">
        <f t="shared" si="13"/>
        <v>0.65841546566203024</v>
      </c>
      <c r="AW8" s="58">
        <f t="shared" si="14"/>
        <v>1.6783848966375194</v>
      </c>
      <c r="AX8" s="58">
        <f t="shared" si="15"/>
        <v>2.9859941784317243</v>
      </c>
      <c r="AZ8" s="43">
        <f t="shared" si="16"/>
        <v>1.0199694309754892</v>
      </c>
      <c r="BA8" s="44">
        <f t="shared" si="17"/>
        <v>2.4056070974444517E-2</v>
      </c>
    </row>
    <row r="9" spans="1:55" ht="15" thickBot="1" x14ac:dyDescent="0.35">
      <c r="A9" s="59">
        <v>5</v>
      </c>
      <c r="B9" s="60" t="s">
        <v>27</v>
      </c>
      <c r="C9" s="61">
        <v>41164</v>
      </c>
      <c r="D9" s="62">
        <v>42369</v>
      </c>
      <c r="E9" s="63">
        <f t="shared" si="7"/>
        <v>2015</v>
      </c>
      <c r="F9" s="64">
        <f t="shared" si="0"/>
        <v>3.3472222222222223</v>
      </c>
      <c r="G9" s="65" t="s">
        <v>28</v>
      </c>
      <c r="H9" s="29" t="s">
        <v>114</v>
      </c>
      <c r="I9" s="66">
        <v>0</v>
      </c>
      <c r="J9" s="67">
        <v>8491014</v>
      </c>
      <c r="K9" s="68">
        <v>3508993</v>
      </c>
      <c r="L9" s="68">
        <v>0</v>
      </c>
      <c r="M9" s="68">
        <v>0</v>
      </c>
      <c r="N9" s="68"/>
      <c r="O9" s="64">
        <f t="shared" si="1"/>
        <v>3508993</v>
      </c>
      <c r="P9" s="67">
        <v>282913</v>
      </c>
      <c r="Q9" s="39" t="s">
        <v>108</v>
      </c>
      <c r="R9" s="67"/>
      <c r="S9" s="67">
        <v>2870202</v>
      </c>
      <c r="T9" s="67">
        <v>5620812</v>
      </c>
      <c r="U9" s="67">
        <v>282913</v>
      </c>
      <c r="V9" s="67">
        <v>255220</v>
      </c>
      <c r="W9" s="68">
        <v>6755305</v>
      </c>
      <c r="X9" s="68">
        <v>401427</v>
      </c>
      <c r="Y9" s="64">
        <f t="shared" si="2"/>
        <v>7156732</v>
      </c>
      <c r="Z9" s="67">
        <v>322261</v>
      </c>
      <c r="AA9" s="67">
        <v>229001</v>
      </c>
      <c r="AB9" s="67">
        <v>134544</v>
      </c>
      <c r="AC9" s="64">
        <f t="shared" si="3"/>
        <v>7291276</v>
      </c>
      <c r="AD9" s="67">
        <v>1961</v>
      </c>
      <c r="AE9" s="67">
        <v>5</v>
      </c>
      <c r="AF9" s="70"/>
      <c r="AG9" s="68">
        <v>22295000</v>
      </c>
      <c r="AH9" s="68">
        <v>490</v>
      </c>
      <c r="AI9" s="64">
        <f t="shared" si="4"/>
        <v>10924550000</v>
      </c>
      <c r="AJ9" s="64">
        <f t="shared" si="5"/>
        <v>10924550</v>
      </c>
      <c r="AK9" s="61">
        <v>42278</v>
      </c>
      <c r="AL9" s="64">
        <f t="shared" si="6"/>
        <v>0.25277777777777777</v>
      </c>
      <c r="AM9" s="71">
        <f t="shared" si="8"/>
        <v>0.4132595942015877</v>
      </c>
      <c r="AN9" s="41" t="s">
        <v>99</v>
      </c>
      <c r="AO9" s="41" t="s">
        <v>99</v>
      </c>
      <c r="AP9" s="41" t="s">
        <v>99</v>
      </c>
      <c r="AQ9" s="57" t="s">
        <v>99</v>
      </c>
      <c r="AR9" s="43">
        <f t="shared" si="9"/>
        <v>3.7953182034560301E-2</v>
      </c>
      <c r="AS9" s="43">
        <f t="shared" si="10"/>
        <v>0.11227816021311392</v>
      </c>
      <c r="AT9" s="43">
        <f t="shared" si="11"/>
        <v>4.4198162296969691E-2</v>
      </c>
      <c r="AU9" s="71">
        <f t="shared" si="12"/>
        <v>8.062512521398589E-2</v>
      </c>
      <c r="AV9" s="72">
        <f t="shared" si="13"/>
        <v>0.66197182103338892</v>
      </c>
      <c r="AW9" s="72">
        <f t="shared" si="14"/>
        <v>1.9485731621688529</v>
      </c>
      <c r="AX9" s="72">
        <f t="shared" si="15"/>
        <v>3.8061955221270138</v>
      </c>
      <c r="AZ9" s="43">
        <f t="shared" si="16"/>
        <v>1.286601341135464</v>
      </c>
      <c r="BA9" s="44">
        <f t="shared" si="17"/>
        <v>4.4198162296969691E-2</v>
      </c>
    </row>
    <row r="10" spans="1:55" ht="15" thickBot="1" x14ac:dyDescent="0.35">
      <c r="A10" s="45">
        <v>6</v>
      </c>
      <c r="B10" s="46" t="s">
        <v>29</v>
      </c>
      <c r="C10" s="47">
        <v>40034</v>
      </c>
      <c r="D10" s="47">
        <v>43465</v>
      </c>
      <c r="E10" s="48">
        <f t="shared" si="7"/>
        <v>2018</v>
      </c>
      <c r="F10" s="32">
        <f t="shared" si="0"/>
        <v>9.530555555555555</v>
      </c>
      <c r="G10" s="49" t="s">
        <v>30</v>
      </c>
      <c r="H10" s="46" t="s">
        <v>115</v>
      </c>
      <c r="I10" s="50">
        <v>0</v>
      </c>
      <c r="J10" s="73">
        <v>65259236.800000004</v>
      </c>
      <c r="K10" s="74">
        <f>658253.8+R10</f>
        <v>2224134</v>
      </c>
      <c r="L10" s="75">
        <v>0</v>
      </c>
      <c r="M10" s="75">
        <v>0</v>
      </c>
      <c r="N10" s="75"/>
      <c r="O10" s="32">
        <f t="shared" si="1"/>
        <v>2224134</v>
      </c>
      <c r="P10" s="73">
        <v>1610812.2000000002</v>
      </c>
      <c r="Q10" s="39" t="s">
        <v>108</v>
      </c>
      <c r="R10" s="76">
        <v>1565880.2000000002</v>
      </c>
      <c r="S10" s="73">
        <f>900400*AY10</f>
        <v>20228386.400000002</v>
      </c>
      <c r="T10" s="77">
        <f>+J10-S10</f>
        <v>45030850.400000006</v>
      </c>
      <c r="U10" s="77">
        <v>0</v>
      </c>
      <c r="V10" s="73">
        <v>0</v>
      </c>
      <c r="W10" s="74">
        <v>18159267.800000001</v>
      </c>
      <c r="X10" s="74">
        <v>0</v>
      </c>
      <c r="Y10" s="32">
        <f t="shared" si="2"/>
        <v>18159267.800000001</v>
      </c>
      <c r="Z10" s="77">
        <v>4100045</v>
      </c>
      <c r="AA10" s="77">
        <v>5382853.6000000006</v>
      </c>
      <c r="AB10" s="77">
        <v>6739.8</v>
      </c>
      <c r="AC10" s="32">
        <f t="shared" si="3"/>
        <v>18166007.600000001</v>
      </c>
      <c r="AD10" s="73">
        <v>1581</v>
      </c>
      <c r="AE10" s="77">
        <v>13</v>
      </c>
      <c r="AF10" s="78"/>
      <c r="AG10" s="52">
        <v>914567949</v>
      </c>
      <c r="AH10" s="74">
        <v>81.5</v>
      </c>
      <c r="AI10" s="32">
        <f t="shared" si="4"/>
        <v>74537287843.5</v>
      </c>
      <c r="AJ10" s="32">
        <f t="shared" si="5"/>
        <v>74537287.843500003</v>
      </c>
      <c r="AK10" s="47">
        <v>43234</v>
      </c>
      <c r="AL10" s="32">
        <f t="shared" si="6"/>
        <v>0.64166666666666672</v>
      </c>
      <c r="AM10" s="55">
        <f t="shared" si="8"/>
        <v>3.4081520242357478E-2</v>
      </c>
      <c r="AN10" s="41" t="s">
        <v>99</v>
      </c>
      <c r="AO10" s="41" t="s">
        <v>99</v>
      </c>
      <c r="AP10" s="41" t="s">
        <v>99</v>
      </c>
      <c r="AQ10" s="57" t="s">
        <v>99</v>
      </c>
      <c r="AR10" s="43">
        <f t="shared" si="9"/>
        <v>6.2827044891214531E-2</v>
      </c>
      <c r="AS10" s="43">
        <f t="shared" si="10"/>
        <v>0.20268769435806305</v>
      </c>
      <c r="AT10" s="43">
        <f t="shared" si="11"/>
        <v>0.22569873856047487</v>
      </c>
      <c r="AU10" s="55">
        <f>+IFERROR((P10)/(O10),"")</f>
        <v>0.72424242424242435</v>
      </c>
      <c r="AV10" s="58">
        <f t="shared" si="13"/>
        <v>0.69003029468465993</v>
      </c>
      <c r="AW10" s="58">
        <f t="shared" si="14"/>
        <v>1.8322025219194715</v>
      </c>
      <c r="AX10" s="58">
        <f t="shared" si="15"/>
        <v>3.6847866344643285</v>
      </c>
      <c r="AY10">
        <v>22.466000000000001</v>
      </c>
      <c r="AZ10" s="43">
        <f t="shared" si="16"/>
        <v>1.1421722272348118</v>
      </c>
      <c r="BA10" s="44">
        <f t="shared" si="17"/>
        <v>0.22569873856047487</v>
      </c>
    </row>
    <row r="11" spans="1:55" ht="15" thickBot="1" x14ac:dyDescent="0.35">
      <c r="A11" s="59">
        <v>7</v>
      </c>
      <c r="B11" s="60" t="s">
        <v>29</v>
      </c>
      <c r="C11" s="61">
        <v>40034</v>
      </c>
      <c r="D11" s="62">
        <v>43830</v>
      </c>
      <c r="E11" s="63">
        <f t="shared" si="7"/>
        <v>2019</v>
      </c>
      <c r="F11" s="64">
        <f t="shared" si="0"/>
        <v>10.544444444444444</v>
      </c>
      <c r="G11" s="65" t="s">
        <v>30</v>
      </c>
      <c r="H11" s="60" t="s">
        <v>115</v>
      </c>
      <c r="I11" s="66">
        <v>0</v>
      </c>
      <c r="J11" s="67">
        <v>64829523.899999999</v>
      </c>
      <c r="K11" s="68">
        <v>2386515.5</v>
      </c>
      <c r="L11" s="68">
        <v>0</v>
      </c>
      <c r="M11" s="68">
        <v>0</v>
      </c>
      <c r="N11" s="68"/>
      <c r="O11" s="64">
        <f t="shared" si="1"/>
        <v>2386515.5</v>
      </c>
      <c r="P11" s="67">
        <v>1465840.7999999998</v>
      </c>
      <c r="Q11" s="39" t="s">
        <v>108</v>
      </c>
      <c r="R11" s="67"/>
      <c r="S11" s="67">
        <f>1124.4*22.621*1000</f>
        <v>25435052.400000002</v>
      </c>
      <c r="T11" s="67">
        <v>39394471.5</v>
      </c>
      <c r="U11" s="67">
        <v>1465840.7999999998</v>
      </c>
      <c r="V11" s="67">
        <v>1416074.5999999999</v>
      </c>
      <c r="W11" s="68">
        <v>19705153.099999998</v>
      </c>
      <c r="X11" s="68">
        <v>0</v>
      </c>
      <c r="Y11" s="64">
        <f t="shared" si="2"/>
        <v>19705153.099999998</v>
      </c>
      <c r="Z11" s="67">
        <v>7116566.5999999996</v>
      </c>
      <c r="AA11" s="67">
        <v>5625842.6999999993</v>
      </c>
      <c r="AB11" s="67">
        <v>33931.5</v>
      </c>
      <c r="AC11" s="64">
        <f t="shared" si="3"/>
        <v>19739084.599999998</v>
      </c>
      <c r="AD11" s="67">
        <v>1792</v>
      </c>
      <c r="AE11" s="67">
        <v>3</v>
      </c>
      <c r="AF11" s="70"/>
      <c r="AG11" s="68">
        <v>1025162068</v>
      </c>
      <c r="AH11" s="68">
        <v>140</v>
      </c>
      <c r="AI11" s="64">
        <f t="shared" si="4"/>
        <v>143522689520</v>
      </c>
      <c r="AJ11" s="64">
        <f t="shared" si="5"/>
        <v>143522689.52000001</v>
      </c>
      <c r="AK11" s="61">
        <v>43234</v>
      </c>
      <c r="AL11" s="64">
        <f t="shared" si="6"/>
        <v>1.6555555555555554</v>
      </c>
      <c r="AM11" s="71">
        <f t="shared" si="8"/>
        <v>3.6812170696814264E-2</v>
      </c>
      <c r="AN11" s="41" t="s">
        <v>99</v>
      </c>
      <c r="AO11" s="41" t="s">
        <v>99</v>
      </c>
      <c r="AP11" s="41" t="s">
        <v>99</v>
      </c>
      <c r="AQ11" s="57" t="s">
        <v>99</v>
      </c>
      <c r="AR11" s="43">
        <f t="shared" si="9"/>
        <v>0.10977354408737221</v>
      </c>
      <c r="AS11" s="43">
        <f t="shared" si="10"/>
        <v>0.27979366773390246</v>
      </c>
      <c r="AT11" s="43">
        <f t="shared" si="11"/>
        <v>0.36053174421269768</v>
      </c>
      <c r="AU11" s="71">
        <f t="shared" si="12"/>
        <v>0.61421800947867289</v>
      </c>
      <c r="AV11" s="72">
        <f t="shared" si="13"/>
        <v>0.60766251439338426</v>
      </c>
      <c r="AW11" s="72">
        <f t="shared" si="14"/>
        <v>2.8215101703068344</v>
      </c>
      <c r="AX11" s="72">
        <f t="shared" si="15"/>
        <v>5.6427125552137642</v>
      </c>
      <c r="AZ11" s="43">
        <f t="shared" si="16"/>
        <v>2.2138476559134506</v>
      </c>
      <c r="BA11" s="44">
        <f t="shared" si="17"/>
        <v>0.36053174421269768</v>
      </c>
    </row>
    <row r="12" spans="1:55" ht="15" thickBot="1" x14ac:dyDescent="0.35">
      <c r="A12" s="28">
        <v>8</v>
      </c>
      <c r="B12" s="29" t="s">
        <v>31</v>
      </c>
      <c r="C12" s="30">
        <v>33730</v>
      </c>
      <c r="D12" s="30">
        <v>34334</v>
      </c>
      <c r="E12" s="31">
        <f t="shared" si="7"/>
        <v>1993</v>
      </c>
      <c r="F12" s="38">
        <f t="shared" si="0"/>
        <v>1.6777777777777778</v>
      </c>
      <c r="G12" s="33" t="s">
        <v>32</v>
      </c>
      <c r="H12" s="29" t="s">
        <v>116</v>
      </c>
      <c r="I12" s="34">
        <v>0</v>
      </c>
      <c r="J12" s="35">
        <v>97231604</v>
      </c>
      <c r="K12" s="36">
        <v>197577</v>
      </c>
      <c r="L12" s="36">
        <v>14671804</v>
      </c>
      <c r="M12" s="36">
        <v>19498397</v>
      </c>
      <c r="N12" s="36"/>
      <c r="O12" s="38">
        <f t="shared" si="1"/>
        <v>34367778</v>
      </c>
      <c r="P12" s="35">
        <v>161089</v>
      </c>
      <c r="Q12" s="39" t="s">
        <v>108</v>
      </c>
      <c r="R12" s="53"/>
      <c r="S12" s="35">
        <v>72933210</v>
      </c>
      <c r="T12" s="35">
        <v>23699365</v>
      </c>
      <c r="U12" s="35">
        <v>161089</v>
      </c>
      <c r="V12" s="35"/>
      <c r="W12" s="36">
        <v>48352853</v>
      </c>
      <c r="X12" s="36">
        <v>54499</v>
      </c>
      <c r="Y12" s="38">
        <f t="shared" si="2"/>
        <v>48407352</v>
      </c>
      <c r="Z12" s="35">
        <v>14657243</v>
      </c>
      <c r="AA12" s="35">
        <v>7278946</v>
      </c>
      <c r="AB12" s="35">
        <v>189154</v>
      </c>
      <c r="AC12" s="38">
        <f t="shared" si="3"/>
        <v>48596506</v>
      </c>
      <c r="AD12" s="35">
        <v>15061</v>
      </c>
      <c r="AE12" s="35">
        <v>7</v>
      </c>
      <c r="AF12" s="53"/>
      <c r="AG12" s="36">
        <v>53521026</v>
      </c>
      <c r="AH12" s="36">
        <v>1600</v>
      </c>
      <c r="AI12" s="38">
        <f t="shared" si="4"/>
        <v>85633641600</v>
      </c>
      <c r="AJ12" s="38">
        <f t="shared" si="5"/>
        <v>85633641.599999994</v>
      </c>
      <c r="AK12" s="30">
        <v>34142</v>
      </c>
      <c r="AL12" s="38">
        <f t="shared" si="6"/>
        <v>0.53333333333333333</v>
      </c>
      <c r="AM12" s="40">
        <f t="shared" si="8"/>
        <v>0.35346303656576517</v>
      </c>
      <c r="AN12" s="41" t="s">
        <v>99</v>
      </c>
      <c r="AO12" s="41" t="s">
        <v>99</v>
      </c>
      <c r="AP12" s="41" t="s">
        <v>99</v>
      </c>
      <c r="AQ12" s="57" t="s">
        <v>99</v>
      </c>
      <c r="AR12" s="43">
        <f t="shared" si="9"/>
        <v>0.15074566701583983</v>
      </c>
      <c r="AS12" s="43">
        <f t="shared" si="10"/>
        <v>0.20096802266073302</v>
      </c>
      <c r="AT12" s="43">
        <f t="shared" si="11"/>
        <v>0.30161104586407922</v>
      </c>
      <c r="AU12" s="40">
        <f t="shared" si="12"/>
        <v>4.6872102118443622E-3</v>
      </c>
      <c r="AV12" s="43">
        <f t="shared" si="13"/>
        <v>0.24374137651786554</v>
      </c>
      <c r="AW12" s="43">
        <f t="shared" si="14"/>
        <v>1.1314301269525313</v>
      </c>
      <c r="AX12" s="43">
        <f t="shared" si="15"/>
        <v>1.1741378392641706</v>
      </c>
      <c r="AZ12" s="43">
        <f t="shared" si="16"/>
        <v>0.88071818294800519</v>
      </c>
      <c r="BA12" s="44">
        <f t="shared" si="17"/>
        <v>0.30161104586407922</v>
      </c>
    </row>
    <row r="13" spans="1:55" ht="15" thickBot="1" x14ac:dyDescent="0.35">
      <c r="A13" s="45">
        <v>9</v>
      </c>
      <c r="B13" s="46" t="s">
        <v>31</v>
      </c>
      <c r="C13" s="79">
        <v>33730</v>
      </c>
      <c r="D13" s="47">
        <v>34699</v>
      </c>
      <c r="E13" s="48">
        <f t="shared" si="7"/>
        <v>1994</v>
      </c>
      <c r="F13" s="32">
        <f t="shared" si="0"/>
        <v>2.6916666666666669</v>
      </c>
      <c r="G13" s="49" t="s">
        <v>32</v>
      </c>
      <c r="H13" s="29" t="s">
        <v>116</v>
      </c>
      <c r="I13" s="50">
        <v>0</v>
      </c>
      <c r="J13" s="80">
        <v>116927788</v>
      </c>
      <c r="K13" s="75">
        <v>299374</v>
      </c>
      <c r="L13" s="75">
        <v>17616162</v>
      </c>
      <c r="M13" s="75">
        <v>22544491</v>
      </c>
      <c r="N13" s="75"/>
      <c r="O13" s="32">
        <f t="shared" si="1"/>
        <v>40460027</v>
      </c>
      <c r="P13" s="51">
        <v>174249</v>
      </c>
      <c r="Q13" s="39" t="s">
        <v>108</v>
      </c>
      <c r="R13" s="53"/>
      <c r="S13" s="80">
        <v>81774085</v>
      </c>
      <c r="T13" s="80">
        <v>34020312</v>
      </c>
      <c r="U13" s="51">
        <v>174249</v>
      </c>
      <c r="V13" s="53"/>
      <c r="W13" s="75">
        <v>48566969</v>
      </c>
      <c r="X13" s="52">
        <v>35201</v>
      </c>
      <c r="Y13" s="32">
        <f t="shared" si="2"/>
        <v>48602170</v>
      </c>
      <c r="Z13" s="80">
        <v>16188280</v>
      </c>
      <c r="AA13" s="80">
        <v>8888773</v>
      </c>
      <c r="AB13" s="80">
        <v>307345</v>
      </c>
      <c r="AC13" s="32">
        <f t="shared" si="3"/>
        <v>48909515</v>
      </c>
      <c r="AD13" s="51">
        <v>12570</v>
      </c>
      <c r="AE13" s="51">
        <v>7</v>
      </c>
      <c r="AF13" s="53"/>
      <c r="AG13" s="52">
        <v>53812874</v>
      </c>
      <c r="AH13" s="52">
        <v>1360</v>
      </c>
      <c r="AI13" s="32">
        <f t="shared" si="4"/>
        <v>73185508640</v>
      </c>
      <c r="AJ13" s="32">
        <f t="shared" si="5"/>
        <v>73185508.640000001</v>
      </c>
      <c r="AK13" s="79">
        <v>34142</v>
      </c>
      <c r="AL13" s="32">
        <f t="shared" si="6"/>
        <v>1.5472222222222223</v>
      </c>
      <c r="AM13" s="55">
        <f t="shared" si="8"/>
        <v>0.34602576249881678</v>
      </c>
      <c r="AN13" s="41" t="s">
        <v>99</v>
      </c>
      <c r="AO13" s="41" t="s">
        <v>99</v>
      </c>
      <c r="AP13" s="41" t="s">
        <v>99</v>
      </c>
      <c r="AQ13" s="57" t="s">
        <v>99</v>
      </c>
      <c r="AR13" s="43">
        <f t="shared" si="9"/>
        <v>0.13844681642314144</v>
      </c>
      <c r="AS13" s="43">
        <f t="shared" si="10"/>
        <v>0.19796345015661135</v>
      </c>
      <c r="AT13" s="43">
        <f t="shared" si="11"/>
        <v>0.3309842675806538</v>
      </c>
      <c r="AU13" s="55">
        <f t="shared" si="12"/>
        <v>4.3066950993384161E-3</v>
      </c>
      <c r="AV13" s="58">
        <f t="shared" si="13"/>
        <v>0.29095147168951829</v>
      </c>
      <c r="AW13" s="58">
        <f t="shared" si="14"/>
        <v>0.92582908514994899</v>
      </c>
      <c r="AX13" s="58">
        <f t="shared" si="15"/>
        <v>0.89497190509682867</v>
      </c>
      <c r="AZ13" s="43">
        <f t="shared" si="16"/>
        <v>0.62590347334715679</v>
      </c>
      <c r="BA13" s="44">
        <f t="shared" si="17"/>
        <v>0.3309842675806538</v>
      </c>
    </row>
    <row r="14" spans="1:55" ht="15" thickBot="1" x14ac:dyDescent="0.35">
      <c r="A14" s="45">
        <v>10</v>
      </c>
      <c r="B14" s="46" t="s">
        <v>31</v>
      </c>
      <c r="C14" s="79">
        <v>33730</v>
      </c>
      <c r="D14" s="47">
        <v>35064</v>
      </c>
      <c r="E14" s="48">
        <f t="shared" si="7"/>
        <v>1995</v>
      </c>
      <c r="F14" s="32">
        <f t="shared" si="0"/>
        <v>3.7055555555555557</v>
      </c>
      <c r="G14" s="49" t="s">
        <v>32</v>
      </c>
      <c r="H14" s="29" t="s">
        <v>116</v>
      </c>
      <c r="I14" s="50">
        <v>0</v>
      </c>
      <c r="J14" s="80">
        <v>138173850</v>
      </c>
      <c r="K14" s="75">
        <v>503285</v>
      </c>
      <c r="L14" s="75">
        <v>20875020</v>
      </c>
      <c r="M14" s="75">
        <v>24979413</v>
      </c>
      <c r="N14" s="75"/>
      <c r="O14" s="32">
        <f t="shared" si="1"/>
        <v>46357718</v>
      </c>
      <c r="P14" s="51">
        <v>46207</v>
      </c>
      <c r="Q14" s="39" t="s">
        <v>108</v>
      </c>
      <c r="R14" s="53"/>
      <c r="S14" s="80">
        <v>90293560</v>
      </c>
      <c r="T14" s="80">
        <v>46004697</v>
      </c>
      <c r="U14" s="51">
        <v>46207</v>
      </c>
      <c r="V14" s="53"/>
      <c r="W14" s="75">
        <v>50569792</v>
      </c>
      <c r="X14" s="52">
        <v>4121</v>
      </c>
      <c r="Y14" s="32">
        <f t="shared" si="2"/>
        <v>50573913</v>
      </c>
      <c r="Z14" s="80">
        <v>14783189</v>
      </c>
      <c r="AA14" s="80">
        <v>8063793</v>
      </c>
      <c r="AB14" s="80">
        <v>304023</v>
      </c>
      <c r="AC14" s="32">
        <f t="shared" si="3"/>
        <v>50877936</v>
      </c>
      <c r="AD14" s="51">
        <v>11942</v>
      </c>
      <c r="AE14" s="51">
        <v>7</v>
      </c>
      <c r="AF14" s="53"/>
      <c r="AG14" s="52">
        <v>53958062</v>
      </c>
      <c r="AH14" s="52">
        <v>941</v>
      </c>
      <c r="AI14" s="32">
        <f t="shared" si="4"/>
        <v>50774536342</v>
      </c>
      <c r="AJ14" s="32">
        <f t="shared" si="5"/>
        <v>50774536.342</v>
      </c>
      <c r="AK14" s="79">
        <v>34142</v>
      </c>
      <c r="AL14" s="32">
        <f t="shared" si="6"/>
        <v>2.5611111111111109</v>
      </c>
      <c r="AM14" s="55">
        <f t="shared" si="8"/>
        <v>0.3355028321205496</v>
      </c>
      <c r="AN14" s="41" t="s">
        <v>99</v>
      </c>
      <c r="AO14" s="41" t="s">
        <v>99</v>
      </c>
      <c r="AP14" s="41" t="s">
        <v>99</v>
      </c>
      <c r="AQ14" s="57" t="s">
        <v>99</v>
      </c>
      <c r="AR14" s="43">
        <f t="shared" si="9"/>
        <v>0.10698977411427706</v>
      </c>
      <c r="AS14" s="43">
        <f t="shared" si="10"/>
        <v>0.16372362547229283</v>
      </c>
      <c r="AT14" s="43">
        <f t="shared" si="11"/>
        <v>0.2905618852148405</v>
      </c>
      <c r="AU14" s="55">
        <f t="shared" si="12"/>
        <v>9.9674880458956163E-4</v>
      </c>
      <c r="AV14" s="58">
        <f t="shared" si="13"/>
        <v>0.33294792755648045</v>
      </c>
      <c r="AW14" s="58">
        <f t="shared" si="14"/>
        <v>0.71005481267453041</v>
      </c>
      <c r="AX14" s="58">
        <f t="shared" si="15"/>
        <v>0.56232732812838482</v>
      </c>
      <c r="AZ14" s="43">
        <f t="shared" si="16"/>
        <v>0.36746849235220702</v>
      </c>
      <c r="BA14" s="44">
        <f t="shared" si="17"/>
        <v>0.2905618852148405</v>
      </c>
    </row>
    <row r="15" spans="1:55" ht="15" thickBot="1" x14ac:dyDescent="0.35">
      <c r="A15" s="45">
        <v>11</v>
      </c>
      <c r="B15" s="46" t="s">
        <v>31</v>
      </c>
      <c r="C15" s="79">
        <v>33730</v>
      </c>
      <c r="D15" s="47">
        <v>35430</v>
      </c>
      <c r="E15" s="48">
        <f t="shared" si="7"/>
        <v>1996</v>
      </c>
      <c r="F15" s="32">
        <f t="shared" si="0"/>
        <v>4.7222222222222223</v>
      </c>
      <c r="G15" s="49" t="s">
        <v>32</v>
      </c>
      <c r="H15" s="29" t="s">
        <v>116</v>
      </c>
      <c r="I15" s="50">
        <v>0</v>
      </c>
      <c r="J15" s="80">
        <v>158283916</v>
      </c>
      <c r="K15" s="75">
        <v>566272</v>
      </c>
      <c r="L15" s="75">
        <v>25497391</v>
      </c>
      <c r="M15" s="75">
        <v>39965615</v>
      </c>
      <c r="N15" s="75"/>
      <c r="O15" s="32">
        <f t="shared" si="1"/>
        <v>66029278</v>
      </c>
      <c r="P15" s="51">
        <v>42516</v>
      </c>
      <c r="Q15" s="39" t="s">
        <v>108</v>
      </c>
      <c r="R15" s="53"/>
      <c r="S15" s="80">
        <v>98137227</v>
      </c>
      <c r="T15" s="80">
        <v>57281176</v>
      </c>
      <c r="U15" s="51">
        <v>42516</v>
      </c>
      <c r="V15" s="53"/>
      <c r="W15" s="75">
        <v>55494494</v>
      </c>
      <c r="X15" s="52">
        <v>3009</v>
      </c>
      <c r="Y15" s="32">
        <f t="shared" si="2"/>
        <v>55497503</v>
      </c>
      <c r="Z15" s="80">
        <v>12769884</v>
      </c>
      <c r="AA15" s="80">
        <v>7847600</v>
      </c>
      <c r="AB15" s="80">
        <v>971682</v>
      </c>
      <c r="AC15" s="32">
        <f t="shared" si="3"/>
        <v>56469185</v>
      </c>
      <c r="AD15" s="51">
        <v>11443</v>
      </c>
      <c r="AE15" s="51">
        <v>7</v>
      </c>
      <c r="AF15" s="53"/>
      <c r="AG15" s="52">
        <v>53982571</v>
      </c>
      <c r="AH15" s="52">
        <v>979</v>
      </c>
      <c r="AI15" s="32">
        <f t="shared" si="4"/>
        <v>52848937009</v>
      </c>
      <c r="AJ15" s="32">
        <f t="shared" si="5"/>
        <v>52848937.009000003</v>
      </c>
      <c r="AK15" s="79">
        <v>34142</v>
      </c>
      <c r="AL15" s="32">
        <f t="shared" si="6"/>
        <v>3.5777777777777779</v>
      </c>
      <c r="AM15" s="55">
        <f t="shared" si="8"/>
        <v>0.41715721766701802</v>
      </c>
      <c r="AN15" s="41" t="s">
        <v>99</v>
      </c>
      <c r="AO15" s="41" t="s">
        <v>99</v>
      </c>
      <c r="AP15" s="41" t="s">
        <v>99</v>
      </c>
      <c r="AQ15" s="57" t="s">
        <v>99</v>
      </c>
      <c r="AR15" s="43">
        <f t="shared" si="9"/>
        <v>8.0677079028042248E-2</v>
      </c>
      <c r="AS15" s="43">
        <f t="shared" si="10"/>
        <v>0.13012273110182745</v>
      </c>
      <c r="AT15" s="43">
        <f t="shared" si="11"/>
        <v>0.22613898181813674</v>
      </c>
      <c r="AU15" s="55">
        <f t="shared" si="12"/>
        <v>6.4389618193311151E-4</v>
      </c>
      <c r="AV15" s="58">
        <f t="shared" si="13"/>
        <v>0.36188879734312362</v>
      </c>
      <c r="AW15" s="58">
        <f t="shared" si="14"/>
        <v>0.70860407058101094</v>
      </c>
      <c r="AX15" s="58">
        <f t="shared" si="15"/>
        <v>0.53852078996485198</v>
      </c>
      <c r="AZ15" s="43">
        <f t="shared" si="16"/>
        <v>0.33388696934311385</v>
      </c>
      <c r="BA15" s="44">
        <f t="shared" si="17"/>
        <v>0.22613898181813674</v>
      </c>
    </row>
    <row r="16" spans="1:55" ht="15" thickBot="1" x14ac:dyDescent="0.35">
      <c r="A16" s="45">
        <v>12</v>
      </c>
      <c r="B16" s="46" t="s">
        <v>31</v>
      </c>
      <c r="C16" s="79">
        <v>33730</v>
      </c>
      <c r="D16" s="47">
        <v>35795</v>
      </c>
      <c r="E16" s="48">
        <f t="shared" si="7"/>
        <v>1997</v>
      </c>
      <c r="F16" s="32">
        <f t="shared" si="0"/>
        <v>5.7361111111111107</v>
      </c>
      <c r="G16" s="49" t="s">
        <v>32</v>
      </c>
      <c r="H16" s="29" t="s">
        <v>116</v>
      </c>
      <c r="I16" s="50">
        <v>0</v>
      </c>
      <c r="J16" s="80">
        <v>171810038</v>
      </c>
      <c r="K16" s="75">
        <v>645132</v>
      </c>
      <c r="L16" s="75">
        <v>30165609</v>
      </c>
      <c r="M16" s="75">
        <v>50086301</v>
      </c>
      <c r="N16" s="75"/>
      <c r="O16" s="32">
        <f t="shared" si="1"/>
        <v>80897042</v>
      </c>
      <c r="P16" s="51">
        <v>33217</v>
      </c>
      <c r="Q16" s="39" t="s">
        <v>108</v>
      </c>
      <c r="R16" s="53"/>
      <c r="S16" s="80">
        <v>101406863</v>
      </c>
      <c r="T16" s="80">
        <v>68280655</v>
      </c>
      <c r="U16" s="51">
        <v>33217</v>
      </c>
      <c r="V16" s="53"/>
      <c r="W16" s="75">
        <v>54806449</v>
      </c>
      <c r="X16" s="52">
        <v>3324</v>
      </c>
      <c r="Y16" s="32">
        <f t="shared" si="2"/>
        <v>54809773</v>
      </c>
      <c r="Z16" s="80">
        <v>6832080</v>
      </c>
      <c r="AA16" s="80">
        <v>3367214</v>
      </c>
      <c r="AB16" s="80">
        <v>903881</v>
      </c>
      <c r="AC16" s="32">
        <f t="shared" si="3"/>
        <v>55713654</v>
      </c>
      <c r="AD16" s="51">
        <v>11229</v>
      </c>
      <c r="AE16" s="51">
        <v>5</v>
      </c>
      <c r="AF16" s="53"/>
      <c r="AG16" s="52">
        <v>53970913</v>
      </c>
      <c r="AH16" s="52">
        <v>1080</v>
      </c>
      <c r="AI16" s="32">
        <f t="shared" si="4"/>
        <v>58288586040</v>
      </c>
      <c r="AJ16" s="32">
        <f t="shared" si="5"/>
        <v>58288586.039999999</v>
      </c>
      <c r="AK16" s="79">
        <v>34142</v>
      </c>
      <c r="AL16" s="32">
        <f t="shared" si="6"/>
        <v>4.5916666666666668</v>
      </c>
      <c r="AM16" s="55">
        <f t="shared" si="8"/>
        <v>0.4708516623458287</v>
      </c>
      <c r="AN16" s="41" t="s">
        <v>99</v>
      </c>
      <c r="AO16" s="41" t="s">
        <v>99</v>
      </c>
      <c r="AP16" s="41" t="s">
        <v>99</v>
      </c>
      <c r="AQ16" s="57" t="s">
        <v>99</v>
      </c>
      <c r="AR16" s="43">
        <f t="shared" si="9"/>
        <v>3.9765313363122591E-2</v>
      </c>
      <c r="AS16" s="43">
        <f t="shared" si="10"/>
        <v>6.7372954826538711E-2</v>
      </c>
      <c r="AT16" s="43">
        <f t="shared" si="11"/>
        <v>0.12262846734123739</v>
      </c>
      <c r="AU16" s="55">
        <f t="shared" si="12"/>
        <v>4.1060833843590969E-4</v>
      </c>
      <c r="AV16" s="58">
        <f t="shared" si="13"/>
        <v>0.39741947440812508</v>
      </c>
      <c r="AW16" s="58">
        <f t="shared" si="14"/>
        <v>0.74589600067106876</v>
      </c>
      <c r="AX16" s="58">
        <f t="shared" si="15"/>
        <v>0.57479922280999851</v>
      </c>
      <c r="AZ16" s="43">
        <f t="shared" si="16"/>
        <v>0.3392618191493561</v>
      </c>
      <c r="BA16" s="44">
        <f t="shared" si="17"/>
        <v>0.12262846734123739</v>
      </c>
    </row>
    <row r="17" spans="1:53" ht="15" thickBot="1" x14ac:dyDescent="0.35">
      <c r="A17" s="45">
        <v>13</v>
      </c>
      <c r="B17" s="46" t="s">
        <v>31</v>
      </c>
      <c r="C17" s="79">
        <v>33730</v>
      </c>
      <c r="D17" s="47">
        <v>36160</v>
      </c>
      <c r="E17" s="48">
        <f t="shared" si="7"/>
        <v>1998</v>
      </c>
      <c r="F17" s="32">
        <f t="shared" si="0"/>
        <v>6.75</v>
      </c>
      <c r="G17" s="49" t="s">
        <v>32</v>
      </c>
      <c r="H17" s="29" t="s">
        <v>116</v>
      </c>
      <c r="I17" s="50">
        <v>0</v>
      </c>
      <c r="J17" s="80">
        <v>180277757</v>
      </c>
      <c r="K17" s="75">
        <v>649356</v>
      </c>
      <c r="L17" s="75">
        <v>31129248</v>
      </c>
      <c r="M17" s="75">
        <v>54165762</v>
      </c>
      <c r="N17" s="75"/>
      <c r="O17" s="32">
        <f t="shared" si="1"/>
        <v>85944366</v>
      </c>
      <c r="P17" s="51">
        <v>7901</v>
      </c>
      <c r="Q17" s="39" t="s">
        <v>108</v>
      </c>
      <c r="R17" s="53"/>
      <c r="S17" s="80">
        <v>108014942</v>
      </c>
      <c r="T17" s="80">
        <v>69437796</v>
      </c>
      <c r="U17" s="51">
        <v>7901</v>
      </c>
      <c r="V17" s="53"/>
      <c r="W17" s="75">
        <v>54963621</v>
      </c>
      <c r="X17" s="52">
        <v>3886</v>
      </c>
      <c r="Y17" s="32">
        <f t="shared" si="2"/>
        <v>54967507</v>
      </c>
      <c r="Z17" s="80">
        <v>8656947</v>
      </c>
      <c r="AA17" s="80">
        <v>6364149</v>
      </c>
      <c r="AB17" s="80">
        <v>991718</v>
      </c>
      <c r="AC17" s="32">
        <f t="shared" si="3"/>
        <v>55959225</v>
      </c>
      <c r="AD17" s="51">
        <v>10600</v>
      </c>
      <c r="AE17" s="51">
        <v>5</v>
      </c>
      <c r="AF17" s="53"/>
      <c r="AG17" s="52">
        <v>53970913</v>
      </c>
      <c r="AH17" s="52">
        <v>663.1</v>
      </c>
      <c r="AI17" s="32">
        <f t="shared" si="4"/>
        <v>35788112410.300003</v>
      </c>
      <c r="AJ17" s="32">
        <f t="shared" si="5"/>
        <v>35788112.410300002</v>
      </c>
      <c r="AK17" s="79">
        <v>34142</v>
      </c>
      <c r="AL17" s="32">
        <f t="shared" si="6"/>
        <v>5.6055555555555552</v>
      </c>
      <c r="AM17" s="55">
        <f t="shared" si="8"/>
        <v>0.47673305587000397</v>
      </c>
      <c r="AN17" s="41" t="s">
        <v>99</v>
      </c>
      <c r="AO17" s="41" t="s">
        <v>99</v>
      </c>
      <c r="AP17" s="41" t="s">
        <v>99</v>
      </c>
      <c r="AQ17" s="57" t="s">
        <v>99</v>
      </c>
      <c r="AR17" s="43">
        <f t="shared" si="9"/>
        <v>4.8020050526810139E-2</v>
      </c>
      <c r="AS17" s="43">
        <f t="shared" si="10"/>
        <v>8.0145828342897227E-2</v>
      </c>
      <c r="AT17" s="43">
        <f t="shared" si="11"/>
        <v>0.15470098093745938</v>
      </c>
      <c r="AU17" s="55">
        <f t="shared" si="12"/>
        <v>9.1931564193515608E-5</v>
      </c>
      <c r="AV17" s="58">
        <f t="shared" si="13"/>
        <v>0.38517117782866578</v>
      </c>
      <c r="AW17" s="58">
        <f t="shared" si="14"/>
        <v>0.59297990888311902</v>
      </c>
      <c r="AX17" s="58">
        <f t="shared" si="15"/>
        <v>0.33132557170007093</v>
      </c>
      <c r="AZ17" s="43">
        <f t="shared" si="16"/>
        <v>0.1985165169893921</v>
      </c>
      <c r="BA17" s="44">
        <f t="shared" si="17"/>
        <v>0.15470098093745938</v>
      </c>
    </row>
    <row r="18" spans="1:53" ht="15" thickBot="1" x14ac:dyDescent="0.35">
      <c r="A18" s="45">
        <v>14</v>
      </c>
      <c r="B18" s="46" t="s">
        <v>31</v>
      </c>
      <c r="C18" s="79">
        <v>33730</v>
      </c>
      <c r="D18" s="47">
        <v>36525</v>
      </c>
      <c r="E18" s="48">
        <f t="shared" si="7"/>
        <v>1999</v>
      </c>
      <c r="F18" s="32">
        <f t="shared" si="0"/>
        <v>7.7638888888888893</v>
      </c>
      <c r="G18" s="49" t="s">
        <v>32</v>
      </c>
      <c r="H18" s="29" t="s">
        <v>116</v>
      </c>
      <c r="I18" s="50">
        <v>0</v>
      </c>
      <c r="J18" s="80">
        <v>196509960</v>
      </c>
      <c r="K18" s="75">
        <v>639082</v>
      </c>
      <c r="L18" s="75">
        <v>29538912</v>
      </c>
      <c r="M18" s="75">
        <v>48905481</v>
      </c>
      <c r="N18" s="75"/>
      <c r="O18" s="32">
        <f t="shared" si="1"/>
        <v>79083475</v>
      </c>
      <c r="P18" s="51">
        <v>6152</v>
      </c>
      <c r="Q18" s="39" t="s">
        <v>108</v>
      </c>
      <c r="R18" s="53"/>
      <c r="S18" s="80">
        <v>110048990</v>
      </c>
      <c r="T18" s="80">
        <v>84344001</v>
      </c>
      <c r="U18" s="51">
        <v>6152</v>
      </c>
      <c r="V18" s="53"/>
      <c r="W18" s="75">
        <v>53887883</v>
      </c>
      <c r="X18" s="52">
        <v>71111</v>
      </c>
      <c r="Y18" s="32">
        <f t="shared" si="2"/>
        <v>53958994</v>
      </c>
      <c r="Z18" s="80">
        <v>2862046</v>
      </c>
      <c r="AA18" s="80">
        <v>2159851</v>
      </c>
      <c r="AB18" s="80">
        <v>1420674</v>
      </c>
      <c r="AC18" s="32">
        <f t="shared" si="3"/>
        <v>55379668</v>
      </c>
      <c r="AD18" s="51">
        <v>9889</v>
      </c>
      <c r="AE18" s="51">
        <v>4</v>
      </c>
      <c r="AF18" s="53"/>
      <c r="AG18" s="52">
        <v>591949421</v>
      </c>
      <c r="AH18" s="52">
        <v>88.63</v>
      </c>
      <c r="AI18" s="32">
        <f t="shared" si="4"/>
        <v>52464477183.229996</v>
      </c>
      <c r="AJ18" s="32">
        <f t="shared" si="5"/>
        <v>52464477.183229998</v>
      </c>
      <c r="AK18" s="79">
        <v>34142</v>
      </c>
      <c r="AL18" s="32">
        <f t="shared" si="6"/>
        <v>6.6194444444444445</v>
      </c>
      <c r="AM18" s="55">
        <f t="shared" si="8"/>
        <v>0.40244003408275081</v>
      </c>
      <c r="AN18" s="41" t="s">
        <v>99</v>
      </c>
      <c r="AO18" s="41" t="s">
        <v>99</v>
      </c>
      <c r="AP18" s="41" t="s">
        <v>99</v>
      </c>
      <c r="AQ18" s="57" t="s">
        <v>99</v>
      </c>
      <c r="AR18" s="43">
        <f t="shared" si="9"/>
        <v>1.4564381367743396E-2</v>
      </c>
      <c r="AS18" s="43">
        <f t="shared" si="10"/>
        <v>2.6007017420150789E-2</v>
      </c>
      <c r="AT18" s="43">
        <f t="shared" si="11"/>
        <v>5.1680447055045542E-2</v>
      </c>
      <c r="AU18" s="55">
        <f t="shared" si="12"/>
        <v>7.7791219973578552E-5</v>
      </c>
      <c r="AV18" s="58">
        <f t="shared" si="13"/>
        <v>0.42920980188485103</v>
      </c>
      <c r="AW18" s="58">
        <f t="shared" si="14"/>
        <v>0.70377268994863085</v>
      </c>
      <c r="AX18" s="58">
        <f t="shared" si="15"/>
        <v>0.47673747104112446</v>
      </c>
      <c r="AZ18" s="43">
        <f t="shared" si="16"/>
        <v>0.26698126234023961</v>
      </c>
      <c r="BA18" s="44">
        <f t="shared" si="17"/>
        <v>5.1680447055045542E-2</v>
      </c>
    </row>
    <row r="19" spans="1:53" ht="15" thickBot="1" x14ac:dyDescent="0.35">
      <c r="A19" s="45">
        <v>15</v>
      </c>
      <c r="B19" s="46" t="s">
        <v>31</v>
      </c>
      <c r="C19" s="79">
        <v>33730</v>
      </c>
      <c r="D19" s="47">
        <v>36891</v>
      </c>
      <c r="E19" s="48">
        <f t="shared" si="7"/>
        <v>2000</v>
      </c>
      <c r="F19" s="32">
        <f t="shared" si="0"/>
        <v>8.780555555555555</v>
      </c>
      <c r="G19" s="49" t="s">
        <v>32</v>
      </c>
      <c r="H19" s="29" t="s">
        <v>116</v>
      </c>
      <c r="I19" s="50">
        <v>0</v>
      </c>
      <c r="J19" s="80">
        <v>202223562</v>
      </c>
      <c r="K19" s="75">
        <v>670902</v>
      </c>
      <c r="L19" s="75">
        <v>27835405</v>
      </c>
      <c r="M19" s="75">
        <v>46647517</v>
      </c>
      <c r="N19" s="75"/>
      <c r="O19" s="32">
        <f t="shared" si="1"/>
        <v>75153824</v>
      </c>
      <c r="P19" s="51">
        <v>4673</v>
      </c>
      <c r="Q19" s="39" t="s">
        <v>108</v>
      </c>
      <c r="R19" s="53"/>
      <c r="S19" s="80">
        <v>118940762</v>
      </c>
      <c r="T19" s="80">
        <v>81613612</v>
      </c>
      <c r="U19" s="51">
        <v>4673</v>
      </c>
      <c r="V19" s="53"/>
      <c r="W19" s="75">
        <v>53134882</v>
      </c>
      <c r="X19" s="52">
        <v>47047</v>
      </c>
      <c r="Y19" s="32">
        <f t="shared" si="2"/>
        <v>53181929</v>
      </c>
      <c r="Z19" s="80">
        <v>8266266</v>
      </c>
      <c r="AA19" s="80">
        <v>5745414</v>
      </c>
      <c r="AB19" s="80">
        <v>457598</v>
      </c>
      <c r="AC19" s="32">
        <f t="shared" si="3"/>
        <v>53639527</v>
      </c>
      <c r="AD19" s="51">
        <v>9069</v>
      </c>
      <c r="AE19" s="51">
        <v>4</v>
      </c>
      <c r="AF19" s="53"/>
      <c r="AG19" s="52">
        <v>592088461</v>
      </c>
      <c r="AH19" s="52">
        <v>101.1</v>
      </c>
      <c r="AI19" s="32">
        <f t="shared" si="4"/>
        <v>59860143407.099998</v>
      </c>
      <c r="AJ19" s="32">
        <f t="shared" si="5"/>
        <v>59860143.407099999</v>
      </c>
      <c r="AK19" s="79">
        <v>34142</v>
      </c>
      <c r="AL19" s="32">
        <f t="shared" si="6"/>
        <v>7.6361111111111111</v>
      </c>
      <c r="AM19" s="55">
        <f t="shared" si="8"/>
        <v>0.37163732681160072</v>
      </c>
      <c r="AN19" s="41" t="s">
        <v>99</v>
      </c>
      <c r="AO19" s="41" t="s">
        <v>99</v>
      </c>
      <c r="AP19" s="41" t="s">
        <v>99</v>
      </c>
      <c r="AQ19" s="57" t="s">
        <v>99</v>
      </c>
      <c r="AR19" s="43">
        <f t="shared" si="9"/>
        <v>4.0876868739954247E-2</v>
      </c>
      <c r="AS19" s="43">
        <f t="shared" si="10"/>
        <v>6.9499016661756383E-2</v>
      </c>
      <c r="AT19" s="43">
        <f t="shared" si="11"/>
        <v>0.15410773476805639</v>
      </c>
      <c r="AU19" s="55">
        <f t="shared" si="12"/>
        <v>6.2179138083512563E-5</v>
      </c>
      <c r="AV19" s="58">
        <f t="shared" si="13"/>
        <v>0.40358112176858996</v>
      </c>
      <c r="AW19" s="58">
        <f t="shared" si="14"/>
        <v>0.70541346262086502</v>
      </c>
      <c r="AX19" s="58">
        <f t="shared" si="15"/>
        <v>0.50327694560339209</v>
      </c>
      <c r="AZ19" s="43">
        <f t="shared" si="16"/>
        <v>0.29600973702114891</v>
      </c>
      <c r="BA19" s="44">
        <f t="shared" si="17"/>
        <v>0.15410773476805639</v>
      </c>
    </row>
    <row r="20" spans="1:53" ht="15" thickBot="1" x14ac:dyDescent="0.35">
      <c r="A20" s="45">
        <v>16</v>
      </c>
      <c r="B20" s="46" t="s">
        <v>31</v>
      </c>
      <c r="C20" s="79">
        <v>33730</v>
      </c>
      <c r="D20" s="47">
        <v>37256</v>
      </c>
      <c r="E20" s="48">
        <f t="shared" si="7"/>
        <v>2001</v>
      </c>
      <c r="F20" s="32">
        <f t="shared" si="0"/>
        <v>9.7944444444444443</v>
      </c>
      <c r="G20" s="49" t="s">
        <v>32</v>
      </c>
      <c r="H20" s="29" t="s">
        <v>116</v>
      </c>
      <c r="I20" s="50">
        <v>0</v>
      </c>
      <c r="J20" s="51">
        <v>202373315</v>
      </c>
      <c r="K20" s="52">
        <v>663093</v>
      </c>
      <c r="L20" s="52">
        <v>27125687</v>
      </c>
      <c r="M20" s="52">
        <v>42171735</v>
      </c>
      <c r="N20" s="52"/>
      <c r="O20" s="32">
        <f t="shared" si="1"/>
        <v>69960515</v>
      </c>
      <c r="P20" s="51">
        <v>0</v>
      </c>
      <c r="Q20" s="54" t="s">
        <v>109</v>
      </c>
      <c r="R20" s="53"/>
      <c r="S20" s="51">
        <v>123897070</v>
      </c>
      <c r="T20" s="51">
        <v>76445796</v>
      </c>
      <c r="U20" s="51">
        <v>0</v>
      </c>
      <c r="V20" s="53"/>
      <c r="W20" s="52">
        <v>51851799</v>
      </c>
      <c r="X20" s="52">
        <v>7352</v>
      </c>
      <c r="Y20" s="32">
        <f t="shared" si="2"/>
        <v>51859151</v>
      </c>
      <c r="Z20" s="51">
        <v>9377270</v>
      </c>
      <c r="AA20" s="51">
        <v>6434442</v>
      </c>
      <c r="AB20" s="51">
        <v>195902</v>
      </c>
      <c r="AC20" s="32">
        <f t="shared" si="3"/>
        <v>52055053</v>
      </c>
      <c r="AD20" s="51">
        <v>8065</v>
      </c>
      <c r="AE20" s="51">
        <v>5</v>
      </c>
      <c r="AF20" s="53"/>
      <c r="AG20" s="52">
        <v>592088461</v>
      </c>
      <c r="AH20" s="52">
        <v>77.540000000000006</v>
      </c>
      <c r="AI20" s="32">
        <f t="shared" si="4"/>
        <v>45910539265.940002</v>
      </c>
      <c r="AJ20" s="32">
        <f t="shared" si="5"/>
        <v>45910539.265940003</v>
      </c>
      <c r="AK20" s="79">
        <v>34142</v>
      </c>
      <c r="AL20" s="32">
        <f t="shared" si="6"/>
        <v>8.65</v>
      </c>
      <c r="AM20" s="55">
        <f t="shared" si="8"/>
        <v>0.3457002965040129</v>
      </c>
      <c r="AN20" s="41" t="s">
        <v>99</v>
      </c>
      <c r="AO20" s="41" t="s">
        <v>99</v>
      </c>
      <c r="AP20" s="41" t="s">
        <v>99</v>
      </c>
      <c r="AQ20" s="57" t="s">
        <v>99</v>
      </c>
      <c r="AR20" s="43">
        <f t="shared" si="9"/>
        <v>4.6336494512628799E-2</v>
      </c>
      <c r="AS20" s="43">
        <f t="shared" si="10"/>
        <v>7.5685970620612733E-2</v>
      </c>
      <c r="AT20" s="43">
        <f t="shared" si="11"/>
        <v>0.18014139760841277</v>
      </c>
      <c r="AU20" s="55">
        <f t="shared" si="12"/>
        <v>0</v>
      </c>
      <c r="AV20" s="58">
        <f t="shared" si="13"/>
        <v>0.37774642373180478</v>
      </c>
      <c r="AW20" s="58">
        <f t="shared" si="14"/>
        <v>0.6107346755533587</v>
      </c>
      <c r="AX20" s="58">
        <f t="shared" si="15"/>
        <v>0.37055387400154016</v>
      </c>
      <c r="AZ20" s="43">
        <f t="shared" si="16"/>
        <v>0.22686063755955177</v>
      </c>
      <c r="BA20" s="44">
        <f t="shared" si="17"/>
        <v>0.18014139760841277</v>
      </c>
    </row>
    <row r="21" spans="1:53" ht="15" thickBot="1" x14ac:dyDescent="0.35">
      <c r="A21" s="45">
        <v>17</v>
      </c>
      <c r="B21" s="46" t="s">
        <v>31</v>
      </c>
      <c r="C21" s="79">
        <v>33730</v>
      </c>
      <c r="D21" s="47">
        <v>37621</v>
      </c>
      <c r="E21" s="48">
        <f t="shared" si="7"/>
        <v>2002</v>
      </c>
      <c r="F21" s="32">
        <f t="shared" si="0"/>
        <v>10.808333333333334</v>
      </c>
      <c r="G21" s="49" t="s">
        <v>32</v>
      </c>
      <c r="H21" s="29" t="s">
        <v>116</v>
      </c>
      <c r="I21" s="50">
        <v>0</v>
      </c>
      <c r="J21" s="51">
        <v>198874194</v>
      </c>
      <c r="K21" s="52">
        <v>699955</v>
      </c>
      <c r="L21" s="52">
        <v>37752458</v>
      </c>
      <c r="M21" s="52">
        <v>73388194</v>
      </c>
      <c r="N21" s="52"/>
      <c r="O21" s="32">
        <f t="shared" si="1"/>
        <v>111840607</v>
      </c>
      <c r="P21" s="51">
        <v>0</v>
      </c>
      <c r="Q21" s="54" t="s">
        <v>109</v>
      </c>
      <c r="R21" s="53"/>
      <c r="S21" s="51">
        <v>128194872</v>
      </c>
      <c r="T21" s="51">
        <v>69541823</v>
      </c>
      <c r="U21" s="51">
        <v>0</v>
      </c>
      <c r="V21" s="53"/>
      <c r="W21" s="52">
        <v>49492738</v>
      </c>
      <c r="X21" s="52">
        <v>8749</v>
      </c>
      <c r="Y21" s="32">
        <f t="shared" si="2"/>
        <v>49501487</v>
      </c>
      <c r="Z21" s="51">
        <v>8031680</v>
      </c>
      <c r="AA21" s="51">
        <v>6713405</v>
      </c>
      <c r="AB21" s="51">
        <v>488561</v>
      </c>
      <c r="AC21" s="32">
        <f t="shared" si="3"/>
        <v>49990048</v>
      </c>
      <c r="AD21" s="51">
        <v>7364</v>
      </c>
      <c r="AE21" s="51">
        <v>5</v>
      </c>
      <c r="AF21" s="53"/>
      <c r="AG21" s="52">
        <v>592210843</v>
      </c>
      <c r="AH21" s="52">
        <v>92.47</v>
      </c>
      <c r="AI21" s="32">
        <f t="shared" si="4"/>
        <v>54761736652.209999</v>
      </c>
      <c r="AJ21" s="32">
        <f t="shared" si="5"/>
        <v>54761736.652209997</v>
      </c>
      <c r="AK21" s="79">
        <v>34142</v>
      </c>
      <c r="AL21" s="32">
        <f t="shared" si="6"/>
        <v>9.6638888888888896</v>
      </c>
      <c r="AM21" s="55">
        <f t="shared" si="8"/>
        <v>0.56236862486039796</v>
      </c>
      <c r="AN21" s="41" t="s">
        <v>99</v>
      </c>
      <c r="AO21" s="41" t="s">
        <v>99</v>
      </c>
      <c r="AP21" s="41" t="s">
        <v>99</v>
      </c>
      <c r="AQ21" s="57" t="s">
        <v>99</v>
      </c>
      <c r="AR21" s="43">
        <f t="shared" si="9"/>
        <v>4.0385732499813427E-2</v>
      </c>
      <c r="AS21" s="43">
        <f t="shared" si="10"/>
        <v>6.2652116069042141E-2</v>
      </c>
      <c r="AT21" s="43">
        <f t="shared" si="11"/>
        <v>0.16066557887681965</v>
      </c>
      <c r="AU21" s="55">
        <f t="shared" si="12"/>
        <v>0</v>
      </c>
      <c r="AV21" s="58">
        <f t="shared" si="13"/>
        <v>0.34967745991216942</v>
      </c>
      <c r="AW21" s="58">
        <f t="shared" si="14"/>
        <v>0.6286317248915787</v>
      </c>
      <c r="AX21" s="58">
        <f t="shared" si="15"/>
        <v>0.42717571926129771</v>
      </c>
      <c r="AZ21" s="43">
        <f t="shared" si="16"/>
        <v>0.27535868556284382</v>
      </c>
      <c r="BA21" s="44">
        <f t="shared" si="17"/>
        <v>0.16066557887681965</v>
      </c>
    </row>
    <row r="22" spans="1:53" ht="15" thickBot="1" x14ac:dyDescent="0.35">
      <c r="A22" s="45">
        <v>18</v>
      </c>
      <c r="B22" s="46" t="s">
        <v>31</v>
      </c>
      <c r="C22" s="79">
        <v>33730</v>
      </c>
      <c r="D22" s="47">
        <v>37986</v>
      </c>
      <c r="E22" s="48">
        <f t="shared" si="7"/>
        <v>2003</v>
      </c>
      <c r="F22" s="32">
        <f t="shared" si="0"/>
        <v>11.822222222222223</v>
      </c>
      <c r="G22" s="49" t="s">
        <v>32</v>
      </c>
      <c r="H22" s="29" t="s">
        <v>116</v>
      </c>
      <c r="I22" s="50">
        <v>0</v>
      </c>
      <c r="J22" s="51">
        <v>217920470</v>
      </c>
      <c r="K22" s="52">
        <v>691666</v>
      </c>
      <c r="L22" s="52">
        <v>44430807</v>
      </c>
      <c r="M22" s="52">
        <v>96249260</v>
      </c>
      <c r="N22" s="52"/>
      <c r="O22" s="32">
        <f t="shared" si="1"/>
        <v>141371733</v>
      </c>
      <c r="P22" s="51">
        <v>173000</v>
      </c>
      <c r="Q22" s="54" t="s">
        <v>108</v>
      </c>
      <c r="R22" s="53"/>
      <c r="S22" s="51">
        <v>139014969</v>
      </c>
      <c r="T22" s="51">
        <v>78224940</v>
      </c>
      <c r="U22" s="51">
        <v>173000</v>
      </c>
      <c r="V22" s="53">
        <v>50345</v>
      </c>
      <c r="W22" s="52">
        <v>54445309</v>
      </c>
      <c r="X22" s="52">
        <v>0</v>
      </c>
      <c r="Y22" s="32">
        <f t="shared" si="2"/>
        <v>54445309</v>
      </c>
      <c r="Z22" s="51">
        <v>18626473</v>
      </c>
      <c r="AA22" s="51">
        <v>13931028</v>
      </c>
      <c r="AB22" s="51">
        <v>660621</v>
      </c>
      <c r="AC22" s="32">
        <f t="shared" si="3"/>
        <v>55105930</v>
      </c>
      <c r="AD22" s="51">
        <v>6964</v>
      </c>
      <c r="AE22" s="51">
        <v>5</v>
      </c>
      <c r="AF22" s="53">
        <v>55912</v>
      </c>
      <c r="AG22" s="52">
        <v>592210843</v>
      </c>
      <c r="AH22" s="52">
        <v>145.69999999999999</v>
      </c>
      <c r="AI22" s="32">
        <f t="shared" si="4"/>
        <v>86285119825.099991</v>
      </c>
      <c r="AJ22" s="32">
        <f t="shared" si="5"/>
        <v>86285119.82509999</v>
      </c>
      <c r="AK22" s="79">
        <v>34142</v>
      </c>
      <c r="AL22" s="32">
        <f t="shared" si="6"/>
        <v>10.677777777777777</v>
      </c>
      <c r="AM22" s="55">
        <f t="shared" si="8"/>
        <v>0.64873085580257783</v>
      </c>
      <c r="AN22" s="41" t="s">
        <v>99</v>
      </c>
      <c r="AO22" s="41" t="s">
        <v>99</v>
      </c>
      <c r="AP22" s="41" t="s">
        <v>99</v>
      </c>
      <c r="AQ22" s="57" t="s">
        <v>99</v>
      </c>
      <c r="AR22" s="43">
        <f t="shared" si="9"/>
        <v>8.5473718921402847E-2</v>
      </c>
      <c r="AS22" s="43">
        <f t="shared" si="10"/>
        <v>0.13398897351838421</v>
      </c>
      <c r="AT22" s="43">
        <f t="shared" si="11"/>
        <v>0.33801213408429909</v>
      </c>
      <c r="AU22" s="55">
        <f t="shared" si="12"/>
        <v>1.2237241231243872E-3</v>
      </c>
      <c r="AV22" s="58">
        <f t="shared" si="13"/>
        <v>0.35896095488413732</v>
      </c>
      <c r="AW22" s="58">
        <f t="shared" si="14"/>
        <v>0.75727365465385099</v>
      </c>
      <c r="AX22" s="58">
        <f t="shared" si="15"/>
        <v>0.62068941528951449</v>
      </c>
      <c r="AZ22" s="43">
        <f t="shared" si="16"/>
        <v>0.39594775022786977</v>
      </c>
      <c r="BA22" s="44">
        <f t="shared" si="17"/>
        <v>0.33801213408429909</v>
      </c>
    </row>
    <row r="23" spans="1:53" ht="15" thickBot="1" x14ac:dyDescent="0.35">
      <c r="A23" s="45">
        <v>19</v>
      </c>
      <c r="B23" s="46" t="s">
        <v>31</v>
      </c>
      <c r="C23" s="79">
        <v>33730</v>
      </c>
      <c r="D23" s="47">
        <v>38352</v>
      </c>
      <c r="E23" s="48">
        <f t="shared" si="7"/>
        <v>2004</v>
      </c>
      <c r="F23" s="32">
        <f t="shared" si="0"/>
        <v>12.838888888888889</v>
      </c>
      <c r="G23" s="49" t="s">
        <v>32</v>
      </c>
      <c r="H23" s="29" t="s">
        <v>116</v>
      </c>
      <c r="I23" s="50">
        <v>0</v>
      </c>
      <c r="J23" s="51">
        <v>227777908</v>
      </c>
      <c r="K23" s="52">
        <v>652946</v>
      </c>
      <c r="L23" s="52">
        <v>42906952</v>
      </c>
      <c r="M23" s="52">
        <v>89025067</v>
      </c>
      <c r="N23" s="52"/>
      <c r="O23" s="32">
        <f t="shared" si="1"/>
        <v>132584965</v>
      </c>
      <c r="P23" s="51">
        <v>811000</v>
      </c>
      <c r="Q23" s="54" t="s">
        <v>108</v>
      </c>
      <c r="R23" s="53"/>
      <c r="S23" s="51">
        <v>147740491</v>
      </c>
      <c r="T23" s="51">
        <v>79223443</v>
      </c>
      <c r="U23" s="51">
        <v>811000</v>
      </c>
      <c r="V23" s="53"/>
      <c r="W23" s="52">
        <v>62214421</v>
      </c>
      <c r="X23" s="52">
        <v>0</v>
      </c>
      <c r="Y23" s="32">
        <f t="shared" si="2"/>
        <v>62214421</v>
      </c>
      <c r="Z23" s="51">
        <v>16430323</v>
      </c>
      <c r="AA23" s="51">
        <v>12363700</v>
      </c>
      <c r="AB23" s="51">
        <v>1026783</v>
      </c>
      <c r="AC23" s="32">
        <f t="shared" si="3"/>
        <v>63241204</v>
      </c>
      <c r="AD23" s="51">
        <v>6635</v>
      </c>
      <c r="AE23" s="51">
        <v>5</v>
      </c>
      <c r="AF23" s="53"/>
      <c r="AG23" s="52">
        <v>592210843</v>
      </c>
      <c r="AH23" s="52">
        <v>340.7</v>
      </c>
      <c r="AI23" s="32">
        <f t="shared" si="4"/>
        <v>201766234210.10001</v>
      </c>
      <c r="AJ23" s="32">
        <f t="shared" si="5"/>
        <v>201766234.2101</v>
      </c>
      <c r="AK23" s="79">
        <v>34142</v>
      </c>
      <c r="AL23" s="32">
        <f t="shared" si="6"/>
        <v>11.694444444444445</v>
      </c>
      <c r="AM23" s="55">
        <f t="shared" si="8"/>
        <v>0.5820800013669456</v>
      </c>
      <c r="AN23" s="41" t="s">
        <v>99</v>
      </c>
      <c r="AO23" s="41" t="s">
        <v>99</v>
      </c>
      <c r="AP23" s="41" t="s">
        <v>99</v>
      </c>
      <c r="AQ23" s="57" t="s">
        <v>99</v>
      </c>
      <c r="AR23" s="43">
        <f t="shared" si="9"/>
        <v>7.2133084126841662E-2</v>
      </c>
      <c r="AS23" s="43">
        <f t="shared" si="10"/>
        <v>0.11121069714056928</v>
      </c>
      <c r="AT23" s="43">
        <f t="shared" si="11"/>
        <v>0.25980408279386963</v>
      </c>
      <c r="AU23" s="55">
        <f t="shared" si="12"/>
        <v>6.1168323271043592E-3</v>
      </c>
      <c r="AV23" s="58">
        <f t="shared" si="13"/>
        <v>0.34781003871543154</v>
      </c>
      <c r="AW23" s="58">
        <f t="shared" si="14"/>
        <v>1.2380366882876641</v>
      </c>
      <c r="AX23" s="58">
        <f t="shared" si="15"/>
        <v>1.3656800031218252</v>
      </c>
      <c r="AZ23" s="43">
        <f t="shared" si="16"/>
        <v>0.88580247303922022</v>
      </c>
      <c r="BA23" s="44">
        <f t="shared" si="17"/>
        <v>0.25980408279386963</v>
      </c>
    </row>
    <row r="24" spans="1:53" ht="15" thickBot="1" x14ac:dyDescent="0.35">
      <c r="A24" s="45">
        <v>20</v>
      </c>
      <c r="B24" s="46" t="s">
        <v>31</v>
      </c>
      <c r="C24" s="79">
        <v>33730</v>
      </c>
      <c r="D24" s="47">
        <v>38717</v>
      </c>
      <c r="E24" s="48">
        <f t="shared" si="7"/>
        <v>2005</v>
      </c>
      <c r="F24" s="32">
        <f t="shared" si="0"/>
        <v>13.852777777777778</v>
      </c>
      <c r="G24" s="49" t="s">
        <v>32</v>
      </c>
      <c r="H24" s="29" t="s">
        <v>116</v>
      </c>
      <c r="I24" s="50">
        <v>0</v>
      </c>
      <c r="J24" s="51">
        <v>274208000</v>
      </c>
      <c r="K24" s="52">
        <v>675000</v>
      </c>
      <c r="L24" s="52">
        <v>46736000</v>
      </c>
      <c r="M24" s="52">
        <v>113321000</v>
      </c>
      <c r="N24" s="52"/>
      <c r="O24" s="32">
        <f t="shared" si="1"/>
        <v>160732000</v>
      </c>
      <c r="P24" s="81">
        <v>270000</v>
      </c>
      <c r="Q24" s="82" t="s">
        <v>108</v>
      </c>
      <c r="R24" s="83">
        <v>107000</v>
      </c>
      <c r="S24" s="51">
        <v>174276000</v>
      </c>
      <c r="T24" s="51">
        <f>66329000+20582000</f>
        <v>86911000</v>
      </c>
      <c r="U24" s="81">
        <v>163000</v>
      </c>
      <c r="V24" s="53">
        <v>101000</v>
      </c>
      <c r="W24" s="52">
        <v>67644000</v>
      </c>
      <c r="X24" s="52">
        <v>0</v>
      </c>
      <c r="Y24" s="32">
        <f t="shared" si="2"/>
        <v>67644000</v>
      </c>
      <c r="Z24" s="51">
        <v>20458000</v>
      </c>
      <c r="AA24" s="51">
        <v>17635000</v>
      </c>
      <c r="AB24" s="51">
        <v>0</v>
      </c>
      <c r="AC24" s="32">
        <f t="shared" si="3"/>
        <v>67644000</v>
      </c>
      <c r="AD24" s="51">
        <v>6618</v>
      </c>
      <c r="AE24" s="51">
        <v>5</v>
      </c>
      <c r="AF24" s="53"/>
      <c r="AG24" s="52">
        <v>592210843</v>
      </c>
      <c r="AH24" s="52">
        <v>736.3</v>
      </c>
      <c r="AI24" s="32">
        <f t="shared" si="4"/>
        <v>436044843700.89996</v>
      </c>
      <c r="AJ24" s="32">
        <f t="shared" si="5"/>
        <v>436044843.70089996</v>
      </c>
      <c r="AK24" s="79">
        <v>34142</v>
      </c>
      <c r="AL24" s="32">
        <f t="shared" si="6"/>
        <v>12.708333333333334</v>
      </c>
      <c r="AM24" s="55">
        <f t="shared" si="8"/>
        <v>0.58616816431322205</v>
      </c>
      <c r="AN24" s="41" t="s">
        <v>99</v>
      </c>
      <c r="AO24" s="41" t="s">
        <v>99</v>
      </c>
      <c r="AP24" s="41" t="s">
        <v>99</v>
      </c>
      <c r="AQ24" s="57" t="s">
        <v>99</v>
      </c>
      <c r="AR24" s="43">
        <f t="shared" si="9"/>
        <v>7.4607597152526545E-2</v>
      </c>
      <c r="AS24" s="43">
        <f t="shared" si="10"/>
        <v>0.11738851017925589</v>
      </c>
      <c r="AT24" s="43">
        <f t="shared" si="11"/>
        <v>0.30243628407545387</v>
      </c>
      <c r="AU24" s="55">
        <f t="shared" si="12"/>
        <v>1.6798148470746335E-3</v>
      </c>
      <c r="AV24" s="58">
        <f t="shared" si="13"/>
        <v>0.31695282413350451</v>
      </c>
      <c r="AW24" s="58">
        <f t="shared" si="14"/>
        <v>2.0022276901258484</v>
      </c>
      <c r="AX24" s="58">
        <f t="shared" si="15"/>
        <v>2.5020361019354356</v>
      </c>
      <c r="AZ24" s="43">
        <f t="shared" si="16"/>
        <v>1.5901973819177411</v>
      </c>
      <c r="BA24" s="44">
        <f t="shared" si="17"/>
        <v>0.30243628407545387</v>
      </c>
    </row>
    <row r="25" spans="1:53" ht="15" thickBot="1" x14ac:dyDescent="0.35">
      <c r="A25" s="45">
        <v>21</v>
      </c>
      <c r="B25" s="46" t="s">
        <v>31</v>
      </c>
      <c r="C25" s="79">
        <v>33730</v>
      </c>
      <c r="D25" s="47">
        <v>39082</v>
      </c>
      <c r="E25" s="48">
        <f t="shared" si="7"/>
        <v>2006</v>
      </c>
      <c r="F25" s="32">
        <f t="shared" si="0"/>
        <v>14.866666666666667</v>
      </c>
      <c r="G25" s="49" t="s">
        <v>32</v>
      </c>
      <c r="H25" s="29" t="s">
        <v>116</v>
      </c>
      <c r="I25" s="50">
        <v>0</v>
      </c>
      <c r="J25" s="51">
        <v>311377000</v>
      </c>
      <c r="K25" s="52">
        <v>150495000</v>
      </c>
      <c r="L25" s="52">
        <v>0</v>
      </c>
      <c r="M25" s="52">
        <v>0</v>
      </c>
      <c r="N25" s="52"/>
      <c r="O25" s="32">
        <f t="shared" si="1"/>
        <v>150495000</v>
      </c>
      <c r="P25" s="81">
        <v>106000</v>
      </c>
      <c r="Q25" s="82" t="s">
        <v>108</v>
      </c>
      <c r="R25" s="83">
        <v>63000</v>
      </c>
      <c r="S25" s="51">
        <v>190822000</v>
      </c>
      <c r="T25" s="51">
        <f>72636000+13389000</f>
        <v>86025000</v>
      </c>
      <c r="U25" s="81">
        <v>43000</v>
      </c>
      <c r="V25" s="53">
        <v>53000</v>
      </c>
      <c r="W25" s="52">
        <v>95970000</v>
      </c>
      <c r="X25" s="52">
        <v>0</v>
      </c>
      <c r="Y25" s="32">
        <f t="shared" si="2"/>
        <v>95970000</v>
      </c>
      <c r="Z25" s="51">
        <v>32471000</v>
      </c>
      <c r="AA25" s="51">
        <v>25803000</v>
      </c>
      <c r="AB25" s="51">
        <v>0</v>
      </c>
      <c r="AC25" s="32">
        <f t="shared" si="3"/>
        <v>95970000</v>
      </c>
      <c r="AD25" s="51">
        <v>6415</v>
      </c>
      <c r="AE25" s="51">
        <v>5</v>
      </c>
      <c r="AF25" s="53"/>
      <c r="AG25" s="52">
        <v>592210843</v>
      </c>
      <c r="AH25" s="52">
        <v>960</v>
      </c>
      <c r="AI25" s="32">
        <f t="shared" si="4"/>
        <v>568522409280</v>
      </c>
      <c r="AJ25" s="32">
        <f t="shared" si="5"/>
        <v>568522409.27999997</v>
      </c>
      <c r="AK25" s="79">
        <v>34142</v>
      </c>
      <c r="AL25" s="32">
        <f t="shared" si="6"/>
        <v>13.722222222222221</v>
      </c>
      <c r="AM25" s="55">
        <f t="shared" si="8"/>
        <v>0.48332086184914108</v>
      </c>
      <c r="AN25" s="41" t="s">
        <v>99</v>
      </c>
      <c r="AO25" s="41" t="s">
        <v>99</v>
      </c>
      <c r="AP25" s="41" t="s">
        <v>99</v>
      </c>
      <c r="AQ25" s="57" t="s">
        <v>99</v>
      </c>
      <c r="AR25" s="43">
        <f t="shared" si="9"/>
        <v>0.10428194760692022</v>
      </c>
      <c r="AS25" s="43">
        <f t="shared" si="10"/>
        <v>0.17016381758916688</v>
      </c>
      <c r="AT25" s="43">
        <f t="shared" si="11"/>
        <v>0.3383453162446598</v>
      </c>
      <c r="AU25" s="55">
        <f t="shared" si="12"/>
        <v>7.0434233695471614E-4</v>
      </c>
      <c r="AV25" s="58">
        <f t="shared" si="13"/>
        <v>0.27627281398433412</v>
      </c>
      <c r="AW25" s="58">
        <f t="shared" si="14"/>
        <v>2.3642929462121676</v>
      </c>
      <c r="AX25" s="58">
        <f t="shared" si="15"/>
        <v>2.9793336684449381</v>
      </c>
      <c r="AZ25" s="43">
        <f t="shared" si="16"/>
        <v>1.8258330232483451</v>
      </c>
      <c r="BA25" s="44">
        <f t="shared" si="17"/>
        <v>0.3383453162446598</v>
      </c>
    </row>
    <row r="26" spans="1:53" ht="15" thickBot="1" x14ac:dyDescent="0.35">
      <c r="A26" s="45">
        <v>22</v>
      </c>
      <c r="B26" s="46" t="s">
        <v>31</v>
      </c>
      <c r="C26" s="79">
        <v>33730</v>
      </c>
      <c r="D26" s="47">
        <v>39447</v>
      </c>
      <c r="E26" s="48">
        <f t="shared" si="7"/>
        <v>2007</v>
      </c>
      <c r="F26" s="32">
        <f t="shared" si="0"/>
        <v>15.880555555555556</v>
      </c>
      <c r="G26" s="49" t="s">
        <v>32</v>
      </c>
      <c r="H26" s="29" t="s">
        <v>116</v>
      </c>
      <c r="I26" s="50">
        <v>0</v>
      </c>
      <c r="J26" s="51">
        <v>312654000</v>
      </c>
      <c r="K26" s="52">
        <v>171494000</v>
      </c>
      <c r="L26" s="52">
        <v>0</v>
      </c>
      <c r="M26" s="52">
        <v>0</v>
      </c>
      <c r="N26" s="52"/>
      <c r="O26" s="32">
        <f t="shared" si="1"/>
        <v>171494000</v>
      </c>
      <c r="P26" s="81">
        <v>39000</v>
      </c>
      <c r="Q26" s="82" t="s">
        <v>108</v>
      </c>
      <c r="R26" s="83"/>
      <c r="S26" s="51">
        <v>149448000</v>
      </c>
      <c r="T26" s="51">
        <f>91319000+11557000</f>
        <v>102876000</v>
      </c>
      <c r="U26" s="81">
        <v>39000</v>
      </c>
      <c r="V26" s="53"/>
      <c r="W26" s="52">
        <v>95410000</v>
      </c>
      <c r="X26" s="52">
        <v>0</v>
      </c>
      <c r="Y26" s="32">
        <f t="shared" si="2"/>
        <v>95410000</v>
      </c>
      <c r="Z26" s="51">
        <v>36987000</v>
      </c>
      <c r="AA26" s="51">
        <v>31272000</v>
      </c>
      <c r="AB26" s="51">
        <v>0</v>
      </c>
      <c r="AC26" s="32">
        <f t="shared" si="3"/>
        <v>95410000</v>
      </c>
      <c r="AD26" s="51">
        <v>6472</v>
      </c>
      <c r="AE26" s="51">
        <v>5</v>
      </c>
      <c r="AF26" s="53"/>
      <c r="AG26" s="52">
        <v>592210843</v>
      </c>
      <c r="AH26" s="52">
        <v>1362</v>
      </c>
      <c r="AI26" s="32">
        <f t="shared" si="4"/>
        <v>806591168166</v>
      </c>
      <c r="AJ26" s="32">
        <f t="shared" si="5"/>
        <v>806591168.16600001</v>
      </c>
      <c r="AK26" s="79">
        <v>34142</v>
      </c>
      <c r="AL26" s="32">
        <f t="shared" si="6"/>
        <v>14.736111111111111</v>
      </c>
      <c r="AM26" s="55">
        <f t="shared" si="8"/>
        <v>0.54851049402854268</v>
      </c>
      <c r="AN26" s="41" t="s">
        <v>99</v>
      </c>
      <c r="AO26" s="41" t="s">
        <v>99</v>
      </c>
      <c r="AP26" s="41" t="s">
        <v>99</v>
      </c>
      <c r="AQ26" s="57" t="s">
        <v>99</v>
      </c>
      <c r="AR26" s="43">
        <f t="shared" si="9"/>
        <v>0.11830010170987737</v>
      </c>
      <c r="AS26" s="43">
        <f t="shared" si="10"/>
        <v>0.24749076601894973</v>
      </c>
      <c r="AT26" s="43">
        <f t="shared" si="11"/>
        <v>0.38766376690074417</v>
      </c>
      <c r="AU26" s="55">
        <f t="shared" si="12"/>
        <v>2.274132039604884E-4</v>
      </c>
      <c r="AV26" s="58">
        <f t="shared" si="13"/>
        <v>0.32904104857126409</v>
      </c>
      <c r="AW26" s="58">
        <f t="shared" si="14"/>
        <v>3.6043625186902553</v>
      </c>
      <c r="AX26" s="58">
        <f t="shared" si="15"/>
        <v>5.3971359146057489</v>
      </c>
      <c r="AZ26" s="43">
        <f t="shared" si="16"/>
        <v>2.5798204026367806</v>
      </c>
      <c r="BA26" s="44">
        <f t="shared" si="17"/>
        <v>0.38766376690074417</v>
      </c>
    </row>
    <row r="27" spans="1:53" ht="15" thickBot="1" x14ac:dyDescent="0.35">
      <c r="A27" s="45">
        <v>23</v>
      </c>
      <c r="B27" s="46" t="s">
        <v>31</v>
      </c>
      <c r="C27" s="79">
        <v>33730</v>
      </c>
      <c r="D27" s="47">
        <v>39813</v>
      </c>
      <c r="E27" s="48">
        <f t="shared" si="7"/>
        <v>2008</v>
      </c>
      <c r="F27" s="32">
        <f t="shared" si="0"/>
        <v>16.897222222222222</v>
      </c>
      <c r="G27" s="49" t="s">
        <v>32</v>
      </c>
      <c r="H27" s="29" t="s">
        <v>116</v>
      </c>
      <c r="I27" s="50">
        <v>0</v>
      </c>
      <c r="J27" s="51">
        <v>392593000</v>
      </c>
      <c r="K27" s="52">
        <v>173032000</v>
      </c>
      <c r="L27" s="52">
        <v>0</v>
      </c>
      <c r="M27" s="52">
        <v>0</v>
      </c>
      <c r="N27" s="52"/>
      <c r="O27" s="32">
        <f t="shared" si="1"/>
        <v>173032000</v>
      </c>
      <c r="P27" s="81">
        <v>6000</v>
      </c>
      <c r="Q27" s="82" t="s">
        <v>108</v>
      </c>
      <c r="R27" s="83"/>
      <c r="S27" s="51">
        <v>154927000</v>
      </c>
      <c r="T27" s="51">
        <f>102620000+8613000</f>
        <v>111233000</v>
      </c>
      <c r="U27" s="81">
        <v>6000</v>
      </c>
      <c r="V27" s="53"/>
      <c r="W27" s="52">
        <v>109528000</v>
      </c>
      <c r="X27" s="52">
        <v>0</v>
      </c>
      <c r="Y27" s="32">
        <f t="shared" si="2"/>
        <v>109528000</v>
      </c>
      <c r="Z27" s="51">
        <v>56967000</v>
      </c>
      <c r="AA27" s="51">
        <v>47118000</v>
      </c>
      <c r="AB27" s="51">
        <v>0</v>
      </c>
      <c r="AC27" s="32">
        <f t="shared" si="3"/>
        <v>109528000</v>
      </c>
      <c r="AD27" s="51">
        <v>6196</v>
      </c>
      <c r="AE27" s="51">
        <v>6</v>
      </c>
      <c r="AF27" s="53"/>
      <c r="AG27" s="52">
        <v>592210843</v>
      </c>
      <c r="AH27" s="52">
        <v>784.8</v>
      </c>
      <c r="AI27" s="32">
        <f t="shared" si="4"/>
        <v>464767069586.39996</v>
      </c>
      <c r="AJ27" s="32">
        <f t="shared" si="5"/>
        <v>464767069.58639997</v>
      </c>
      <c r="AK27" s="79">
        <v>34142</v>
      </c>
      <c r="AL27" s="32">
        <f t="shared" si="6"/>
        <v>15.752777777777778</v>
      </c>
      <c r="AM27" s="55">
        <f t="shared" si="8"/>
        <v>0.44074142941927136</v>
      </c>
      <c r="AN27" s="41" t="s">
        <v>99</v>
      </c>
      <c r="AO27" s="41" t="s">
        <v>99</v>
      </c>
      <c r="AP27" s="41" t="s">
        <v>99</v>
      </c>
      <c r="AQ27" s="57" t="s">
        <v>99</v>
      </c>
      <c r="AR27" s="43">
        <f t="shared" si="9"/>
        <v>0.14510447206139693</v>
      </c>
      <c r="AS27" s="43">
        <f t="shared" si="10"/>
        <v>0.36770220813673538</v>
      </c>
      <c r="AT27" s="43">
        <f t="shared" si="11"/>
        <v>0.52011357826309257</v>
      </c>
      <c r="AU27" s="55">
        <f t="shared" si="12"/>
        <v>3.4675666928660595E-5</v>
      </c>
      <c r="AV27" s="58">
        <f t="shared" si="13"/>
        <v>0.28332904560193378</v>
      </c>
      <c r="AW27" s="58">
        <f t="shared" si="14"/>
        <v>2.16411207388939</v>
      </c>
      <c r="AX27" s="58">
        <f t="shared" si="15"/>
        <v>2.9999100840163431</v>
      </c>
      <c r="AZ27" s="43">
        <f t="shared" si="16"/>
        <v>1.1838394204338845</v>
      </c>
      <c r="BA27" s="44">
        <f t="shared" si="17"/>
        <v>0.52011357826309257</v>
      </c>
    </row>
    <row r="28" spans="1:53" ht="15" thickBot="1" x14ac:dyDescent="0.35">
      <c r="A28" s="45">
        <v>24</v>
      </c>
      <c r="B28" s="46" t="s">
        <v>31</v>
      </c>
      <c r="C28" s="79">
        <v>33730</v>
      </c>
      <c r="D28" s="47">
        <v>40178</v>
      </c>
      <c r="E28" s="48">
        <f t="shared" si="7"/>
        <v>2009</v>
      </c>
      <c r="F28" s="32">
        <f t="shared" si="0"/>
        <v>17.911111111111111</v>
      </c>
      <c r="G28" s="49" t="s">
        <v>32</v>
      </c>
      <c r="H28" s="29" t="s">
        <v>116</v>
      </c>
      <c r="I28" s="50">
        <v>0</v>
      </c>
      <c r="J28" s="51">
        <v>444698000</v>
      </c>
      <c r="K28" s="52">
        <v>184909000</v>
      </c>
      <c r="L28" s="52">
        <v>0</v>
      </c>
      <c r="M28" s="52">
        <v>0</v>
      </c>
      <c r="N28" s="52"/>
      <c r="O28" s="32">
        <f t="shared" si="1"/>
        <v>184909000</v>
      </c>
      <c r="P28" s="51">
        <v>0</v>
      </c>
      <c r="Q28" s="54" t="s">
        <v>109</v>
      </c>
      <c r="R28" s="83"/>
      <c r="S28" s="51">
        <v>177460000</v>
      </c>
      <c r="T28" s="51">
        <f>154025000+104492000</f>
        <v>258517000</v>
      </c>
      <c r="U28" s="51">
        <v>0</v>
      </c>
      <c r="V28" s="53"/>
      <c r="W28" s="52">
        <v>119205000</v>
      </c>
      <c r="X28" s="52">
        <v>0</v>
      </c>
      <c r="Y28" s="32">
        <f t="shared" si="2"/>
        <v>119205000</v>
      </c>
      <c r="Z28" s="51">
        <v>54805000</v>
      </c>
      <c r="AA28" s="51">
        <v>45427000</v>
      </c>
      <c r="AB28" s="51">
        <v>0</v>
      </c>
      <c r="AC28" s="32">
        <f t="shared" si="3"/>
        <v>119205000</v>
      </c>
      <c r="AD28" s="51">
        <v>6230</v>
      </c>
      <c r="AE28" s="51">
        <v>6</v>
      </c>
      <c r="AF28" s="53"/>
      <c r="AG28" s="52">
        <v>537989759</v>
      </c>
      <c r="AH28" s="52">
        <v>864</v>
      </c>
      <c r="AI28" s="32">
        <f t="shared" si="4"/>
        <v>464823151776</v>
      </c>
      <c r="AJ28" s="32">
        <f t="shared" si="5"/>
        <v>464823151.77600002</v>
      </c>
      <c r="AK28" s="79">
        <v>34142</v>
      </c>
      <c r="AL28" s="32">
        <f t="shared" si="6"/>
        <v>16.766666666666666</v>
      </c>
      <c r="AM28" s="55">
        <f t="shared" si="8"/>
        <v>0.41580803151801898</v>
      </c>
      <c r="AN28" s="41" t="s">
        <v>99</v>
      </c>
      <c r="AO28" s="41" t="s">
        <v>99</v>
      </c>
      <c r="AP28" s="41" t="s">
        <v>99</v>
      </c>
      <c r="AQ28" s="57" t="s">
        <v>99</v>
      </c>
      <c r="AR28" s="43">
        <f t="shared" si="9"/>
        <v>0.12324094104313489</v>
      </c>
      <c r="AS28" s="43">
        <f t="shared" si="10"/>
        <v>0.30883015890904991</v>
      </c>
      <c r="AT28" s="43">
        <f t="shared" si="11"/>
        <v>0.45975420494106789</v>
      </c>
      <c r="AU28" s="55">
        <f t="shared" si="12"/>
        <v>0</v>
      </c>
      <c r="AV28" s="58">
        <f t="shared" si="13"/>
        <v>0.58133160032201625</v>
      </c>
      <c r="AW28" s="58">
        <f t="shared" si="14"/>
        <v>1.6591245679840909</v>
      </c>
      <c r="AX28" s="58">
        <f t="shared" si="15"/>
        <v>2.6193122493857772</v>
      </c>
      <c r="AZ28" s="43">
        <f t="shared" si="16"/>
        <v>1.0452557730774594</v>
      </c>
      <c r="BA28" s="44">
        <f t="shared" si="17"/>
        <v>0.45975420494106789</v>
      </c>
    </row>
    <row r="29" spans="1:53" ht="15" thickBot="1" x14ac:dyDescent="0.35">
      <c r="A29" s="45">
        <v>25</v>
      </c>
      <c r="B29" s="46" t="s">
        <v>31</v>
      </c>
      <c r="C29" s="79">
        <v>33730</v>
      </c>
      <c r="D29" s="47">
        <v>40543</v>
      </c>
      <c r="E29" s="48">
        <f t="shared" si="7"/>
        <v>2010</v>
      </c>
      <c r="F29" s="32">
        <f t="shared" si="0"/>
        <v>18.925000000000001</v>
      </c>
      <c r="G29" s="49" t="s">
        <v>32</v>
      </c>
      <c r="H29" s="29" t="s">
        <v>116</v>
      </c>
      <c r="I29" s="50">
        <v>0</v>
      </c>
      <c r="J29" s="51">
        <v>469161000</v>
      </c>
      <c r="K29" s="52">
        <v>195172000</v>
      </c>
      <c r="L29" s="52">
        <v>0</v>
      </c>
      <c r="M29" s="52">
        <v>0</v>
      </c>
      <c r="N29" s="52"/>
      <c r="O29" s="32">
        <f t="shared" si="1"/>
        <v>195172000</v>
      </c>
      <c r="P29" s="51">
        <v>0</v>
      </c>
      <c r="Q29" s="54" t="s">
        <v>109</v>
      </c>
      <c r="R29" s="83"/>
      <c r="S29" s="51">
        <v>189468000</v>
      </c>
      <c r="T29" s="51">
        <f>176008000+93132000</f>
        <v>269140000</v>
      </c>
      <c r="U29" s="51">
        <v>0</v>
      </c>
      <c r="V29" s="53"/>
      <c r="W29" s="52">
        <v>110198000</v>
      </c>
      <c r="X29" s="52">
        <v>0</v>
      </c>
      <c r="Y29" s="32">
        <f t="shared" si="2"/>
        <v>110198000</v>
      </c>
      <c r="Z29" s="51">
        <v>42321000</v>
      </c>
      <c r="AA29" s="51">
        <v>34762000</v>
      </c>
      <c r="AB29" s="51">
        <v>0</v>
      </c>
      <c r="AC29" s="32">
        <f t="shared" si="3"/>
        <v>110198000</v>
      </c>
      <c r="AD29" s="51">
        <v>6009</v>
      </c>
      <c r="AE29" s="51">
        <v>6</v>
      </c>
      <c r="AF29" s="53"/>
      <c r="AG29" s="52">
        <v>537989759</v>
      </c>
      <c r="AH29" s="52">
        <v>783</v>
      </c>
      <c r="AI29" s="32">
        <f t="shared" si="4"/>
        <v>421245981297</v>
      </c>
      <c r="AJ29" s="32">
        <f t="shared" si="5"/>
        <v>421245981.29699999</v>
      </c>
      <c r="AK29" s="79">
        <v>34142</v>
      </c>
      <c r="AL29" s="32">
        <f t="shared" si="6"/>
        <v>17.780555555555555</v>
      </c>
      <c r="AM29" s="55">
        <f t="shared" si="8"/>
        <v>0.41600218261961247</v>
      </c>
      <c r="AN29" s="41" t="s">
        <v>99</v>
      </c>
      <c r="AO29" s="41" t="s">
        <v>99</v>
      </c>
      <c r="AP29" s="41" t="s">
        <v>99</v>
      </c>
      <c r="AQ29" s="57" t="s">
        <v>99</v>
      </c>
      <c r="AR29" s="43">
        <f t="shared" si="9"/>
        <v>9.0205707635545154E-2</v>
      </c>
      <c r="AS29" s="43">
        <f t="shared" si="10"/>
        <v>0.2233675343593641</v>
      </c>
      <c r="AT29" s="43">
        <f t="shared" si="11"/>
        <v>0.38404508248788544</v>
      </c>
      <c r="AU29" s="55">
        <f t="shared" si="12"/>
        <v>0</v>
      </c>
      <c r="AV29" s="58">
        <f t="shared" si="13"/>
        <v>0.57366234618819556</v>
      </c>
      <c r="AW29" s="58">
        <f t="shared" si="14"/>
        <v>1.5053945445718346</v>
      </c>
      <c r="AX29" s="58">
        <f t="shared" si="15"/>
        <v>2.2233093783488505</v>
      </c>
      <c r="AZ29" s="43">
        <f t="shared" si="16"/>
        <v>0.89787084028084174</v>
      </c>
      <c r="BA29" s="44">
        <f t="shared" si="17"/>
        <v>0.38404508248788544</v>
      </c>
    </row>
    <row r="30" spans="1:53" ht="15" thickBot="1" x14ac:dyDescent="0.35">
      <c r="A30" s="45">
        <v>26</v>
      </c>
      <c r="B30" s="46" t="s">
        <v>31</v>
      </c>
      <c r="C30" s="79">
        <v>33730</v>
      </c>
      <c r="D30" s="47">
        <v>40908</v>
      </c>
      <c r="E30" s="48">
        <f t="shared" si="7"/>
        <v>2011</v>
      </c>
      <c r="F30" s="32">
        <f t="shared" si="0"/>
        <v>19.93888888888889</v>
      </c>
      <c r="G30" s="49" t="s">
        <v>32</v>
      </c>
      <c r="H30" s="29" t="s">
        <v>116</v>
      </c>
      <c r="I30" s="50">
        <v>0</v>
      </c>
      <c r="J30" s="51">
        <v>503660000</v>
      </c>
      <c r="K30" s="52">
        <v>206703000</v>
      </c>
      <c r="L30" s="52">
        <v>0</v>
      </c>
      <c r="M30" s="52">
        <v>0</v>
      </c>
      <c r="N30" s="52"/>
      <c r="O30" s="32">
        <f t="shared" si="1"/>
        <v>206703000</v>
      </c>
      <c r="P30" s="51">
        <v>0</v>
      </c>
      <c r="Q30" s="54" t="s">
        <v>109</v>
      </c>
      <c r="R30" s="83"/>
      <c r="S30" s="51">
        <v>192600000</v>
      </c>
      <c r="T30" s="51">
        <f>187626000+114636000</f>
        <v>302262000</v>
      </c>
      <c r="U30" s="51">
        <v>0</v>
      </c>
      <c r="V30" s="53"/>
      <c r="W30" s="52">
        <v>113441000</v>
      </c>
      <c r="X30" s="52">
        <v>0</v>
      </c>
      <c r="Y30" s="32">
        <f t="shared" si="2"/>
        <v>113441000</v>
      </c>
      <c r="Z30" s="51">
        <v>43896000</v>
      </c>
      <c r="AA30" s="51">
        <v>37337000</v>
      </c>
      <c r="AB30" s="51">
        <v>0</v>
      </c>
      <c r="AC30" s="32">
        <f t="shared" si="3"/>
        <v>113441000</v>
      </c>
      <c r="AD30" s="51">
        <v>5933</v>
      </c>
      <c r="AE30" s="51">
        <v>7</v>
      </c>
      <c r="AF30" s="53"/>
      <c r="AG30" s="52">
        <v>537989759</v>
      </c>
      <c r="AH30" s="52">
        <v>786</v>
      </c>
      <c r="AI30" s="32">
        <f t="shared" si="4"/>
        <v>422859950574</v>
      </c>
      <c r="AJ30" s="32">
        <f t="shared" si="5"/>
        <v>422859950.574</v>
      </c>
      <c r="AK30" s="79">
        <v>34142</v>
      </c>
      <c r="AL30" s="32">
        <f t="shared" si="6"/>
        <v>18.794444444444444</v>
      </c>
      <c r="AM30" s="55">
        <f t="shared" si="8"/>
        <v>0.41040185839653737</v>
      </c>
      <c r="AN30" s="41" t="s">
        <v>99</v>
      </c>
      <c r="AO30" s="41" t="s">
        <v>99</v>
      </c>
      <c r="AP30" s="41" t="s">
        <v>99</v>
      </c>
      <c r="AQ30" s="57" t="s">
        <v>99</v>
      </c>
      <c r="AR30" s="43">
        <f t="shared" si="9"/>
        <v>8.7154032482230082E-2</v>
      </c>
      <c r="AS30" s="43">
        <f t="shared" si="10"/>
        <v>0.22791277258566978</v>
      </c>
      <c r="AT30" s="43">
        <f t="shared" si="11"/>
        <v>0.38695004451653281</v>
      </c>
      <c r="AU30" s="55">
        <f t="shared" si="12"/>
        <v>0</v>
      </c>
      <c r="AV30" s="58">
        <f t="shared" si="13"/>
        <v>0.60013104078147961</v>
      </c>
      <c r="AW30" s="58">
        <f t="shared" si="14"/>
        <v>1.4653013376941451</v>
      </c>
      <c r="AX30" s="58">
        <f t="shared" si="15"/>
        <v>2.1955345304984424</v>
      </c>
      <c r="AZ30" s="43">
        <f t="shared" si="16"/>
        <v>0.83957421787316844</v>
      </c>
      <c r="BA30" s="44">
        <f t="shared" si="17"/>
        <v>0.38695004451653281</v>
      </c>
    </row>
    <row r="31" spans="1:53" ht="15" thickBot="1" x14ac:dyDescent="0.35">
      <c r="A31" s="45">
        <v>27</v>
      </c>
      <c r="B31" s="46" t="s">
        <v>31</v>
      </c>
      <c r="C31" s="79">
        <v>33730</v>
      </c>
      <c r="D31" s="47">
        <v>41274</v>
      </c>
      <c r="E31" s="48">
        <f t="shared" si="7"/>
        <v>2012</v>
      </c>
      <c r="F31" s="32">
        <f t="shared" si="0"/>
        <v>20.955555555555556</v>
      </c>
      <c r="G31" s="49" t="s">
        <v>32</v>
      </c>
      <c r="H31" s="29" t="s">
        <v>116</v>
      </c>
      <c r="I31" s="50">
        <v>0</v>
      </c>
      <c r="J31" s="51">
        <v>538873000</v>
      </c>
      <c r="K31" s="52">
        <v>220452000</v>
      </c>
      <c r="L31" s="52">
        <v>0</v>
      </c>
      <c r="M31" s="52">
        <v>0</v>
      </c>
      <c r="N31" s="52"/>
      <c r="O31" s="32">
        <f t="shared" si="1"/>
        <v>220452000</v>
      </c>
      <c r="P31" s="51">
        <v>0</v>
      </c>
      <c r="Q31" s="54" t="s">
        <v>109</v>
      </c>
      <c r="R31" s="83"/>
      <c r="S31" s="51">
        <v>210911000</v>
      </c>
      <c r="T31" s="51">
        <f>208939000+108007000</f>
        <v>316946000</v>
      </c>
      <c r="U31" s="51">
        <v>0</v>
      </c>
      <c r="V31" s="53"/>
      <c r="W31" s="52">
        <v>108147000</v>
      </c>
      <c r="X31" s="52">
        <v>0</v>
      </c>
      <c r="Y31" s="32">
        <f t="shared" si="2"/>
        <v>108147000</v>
      </c>
      <c r="Z31" s="51">
        <v>41610000</v>
      </c>
      <c r="AA31" s="51">
        <v>35336000</v>
      </c>
      <c r="AB31" s="51">
        <v>0</v>
      </c>
      <c r="AC31" s="32">
        <f t="shared" si="3"/>
        <v>108147000</v>
      </c>
      <c r="AD31" s="51">
        <v>5722</v>
      </c>
      <c r="AE31" s="51">
        <v>7</v>
      </c>
      <c r="AF31" s="53"/>
      <c r="AG31" s="52">
        <v>537989759</v>
      </c>
      <c r="AH31" s="52">
        <v>680</v>
      </c>
      <c r="AI31" s="32">
        <f t="shared" si="4"/>
        <v>365833036120</v>
      </c>
      <c r="AJ31" s="32">
        <f t="shared" si="5"/>
        <v>365833036.12</v>
      </c>
      <c r="AK31" s="79">
        <v>34142</v>
      </c>
      <c r="AL31" s="32">
        <f t="shared" si="6"/>
        <v>19.81111111111111</v>
      </c>
      <c r="AM31" s="55">
        <f t="shared" si="8"/>
        <v>0.40909824763905411</v>
      </c>
      <c r="AN31" s="41" t="s">
        <v>99</v>
      </c>
      <c r="AO31" s="41" t="s">
        <v>99</v>
      </c>
      <c r="AP31" s="41" t="s">
        <v>99</v>
      </c>
      <c r="AQ31" s="57" t="s">
        <v>99</v>
      </c>
      <c r="AR31" s="43">
        <f t="shared" si="9"/>
        <v>7.7216709688553709E-2</v>
      </c>
      <c r="AS31" s="43">
        <f t="shared" si="10"/>
        <v>0.19728700731588206</v>
      </c>
      <c r="AT31" s="43">
        <f t="shared" si="11"/>
        <v>0.38475408471802269</v>
      </c>
      <c r="AU31" s="55">
        <f t="shared" si="12"/>
        <v>0</v>
      </c>
      <c r="AV31" s="58">
        <f t="shared" si="13"/>
        <v>0.58816455825398561</v>
      </c>
      <c r="AW31" s="58">
        <f t="shared" si="14"/>
        <v>1.2934924347313761</v>
      </c>
      <c r="AX31" s="58">
        <f t="shared" si="15"/>
        <v>1.7345374879451523</v>
      </c>
      <c r="AZ31" s="43">
        <f t="shared" si="16"/>
        <v>0.67888544447392984</v>
      </c>
      <c r="BA31" s="44">
        <f t="shared" si="17"/>
        <v>0.38475408471802269</v>
      </c>
    </row>
    <row r="32" spans="1:53" ht="15" thickBot="1" x14ac:dyDescent="0.35">
      <c r="A32" s="45">
        <v>28</v>
      </c>
      <c r="B32" s="46" t="s">
        <v>31</v>
      </c>
      <c r="C32" s="79">
        <v>33730</v>
      </c>
      <c r="D32" s="47">
        <v>41639</v>
      </c>
      <c r="E32" s="48">
        <f t="shared" si="7"/>
        <v>2013</v>
      </c>
      <c r="F32" s="32">
        <f t="shared" si="0"/>
        <v>21.969444444444445</v>
      </c>
      <c r="G32" s="49" t="s">
        <v>32</v>
      </c>
      <c r="H32" s="29" t="s">
        <v>116</v>
      </c>
      <c r="I32" s="50">
        <v>0</v>
      </c>
      <c r="J32" s="51">
        <v>549257000</v>
      </c>
      <c r="K32" s="52">
        <v>233938000</v>
      </c>
      <c r="L32" s="52">
        <v>0</v>
      </c>
      <c r="M32" s="52">
        <v>0</v>
      </c>
      <c r="N32" s="52"/>
      <c r="O32" s="32">
        <f t="shared" si="1"/>
        <v>233938000</v>
      </c>
      <c r="P32" s="51">
        <v>0</v>
      </c>
      <c r="Q32" s="54" t="s">
        <v>109</v>
      </c>
      <c r="R32" s="83"/>
      <c r="S32" s="51">
        <v>205243000</v>
      </c>
      <c r="T32" s="51">
        <f>216708000+118562000</f>
        <v>335270000</v>
      </c>
      <c r="U32" s="51">
        <v>0</v>
      </c>
      <c r="V32" s="53"/>
      <c r="W32" s="52">
        <v>101644000</v>
      </c>
      <c r="X32" s="52">
        <v>0</v>
      </c>
      <c r="Y32" s="32">
        <f t="shared" si="2"/>
        <v>101644000</v>
      </c>
      <c r="Z32" s="51">
        <v>29662000</v>
      </c>
      <c r="AA32" s="51">
        <v>26373000</v>
      </c>
      <c r="AB32" s="51">
        <v>0</v>
      </c>
      <c r="AC32" s="32">
        <f t="shared" si="3"/>
        <v>101644000</v>
      </c>
      <c r="AD32" s="51">
        <v>5678</v>
      </c>
      <c r="AE32" s="51">
        <v>7</v>
      </c>
      <c r="AF32" s="53"/>
      <c r="AG32" s="52">
        <v>537989759</v>
      </c>
      <c r="AH32" s="52">
        <v>517</v>
      </c>
      <c r="AI32" s="32">
        <f t="shared" si="4"/>
        <v>278140705403</v>
      </c>
      <c r="AJ32" s="32">
        <f t="shared" si="5"/>
        <v>278140705.403</v>
      </c>
      <c r="AK32" s="79">
        <v>34142</v>
      </c>
      <c r="AL32" s="32">
        <f t="shared" si="6"/>
        <v>20.824999999999999</v>
      </c>
      <c r="AM32" s="55">
        <f t="shared" si="8"/>
        <v>0.42591719359061425</v>
      </c>
      <c r="AN32" s="41" t="s">
        <v>99</v>
      </c>
      <c r="AO32" s="41" t="s">
        <v>99</v>
      </c>
      <c r="AP32" s="41" t="s">
        <v>99</v>
      </c>
      <c r="AQ32" s="57" t="s">
        <v>99</v>
      </c>
      <c r="AR32" s="43">
        <f t="shared" si="9"/>
        <v>5.4003863400921608E-2</v>
      </c>
      <c r="AS32" s="43">
        <f t="shared" si="10"/>
        <v>0.14452137222706743</v>
      </c>
      <c r="AT32" s="43">
        <f t="shared" si="11"/>
        <v>0.29182243910117667</v>
      </c>
      <c r="AU32" s="55">
        <f t="shared" si="12"/>
        <v>0</v>
      </c>
      <c r="AV32" s="58">
        <f t="shared" si="13"/>
        <v>0.61040642176613136</v>
      </c>
      <c r="AW32" s="58">
        <f t="shared" si="14"/>
        <v>1.1348676265011202</v>
      </c>
      <c r="AX32" s="58">
        <f t="shared" si="15"/>
        <v>1.3551775476045469</v>
      </c>
      <c r="AZ32" s="43">
        <f t="shared" si="16"/>
        <v>0.50639446634817575</v>
      </c>
      <c r="BA32" s="44">
        <f t="shared" si="17"/>
        <v>0.29182243910117667</v>
      </c>
    </row>
    <row r="33" spans="1:53" ht="15" thickBot="1" x14ac:dyDescent="0.35">
      <c r="A33" s="45">
        <v>29</v>
      </c>
      <c r="B33" s="46" t="s">
        <v>31</v>
      </c>
      <c r="C33" s="79">
        <v>33730</v>
      </c>
      <c r="D33" s="47">
        <v>42004</v>
      </c>
      <c r="E33" s="48">
        <f t="shared" si="7"/>
        <v>2014</v>
      </c>
      <c r="F33" s="32">
        <f t="shared" si="0"/>
        <v>22.983333333333334</v>
      </c>
      <c r="G33" s="49" t="s">
        <v>32</v>
      </c>
      <c r="H33" s="29" t="s">
        <v>116</v>
      </c>
      <c r="I33" s="50">
        <v>0</v>
      </c>
      <c r="J33" s="51">
        <v>537183000</v>
      </c>
      <c r="K33" s="52">
        <v>240724000</v>
      </c>
      <c r="L33" s="52">
        <v>0</v>
      </c>
      <c r="M33" s="52">
        <v>0</v>
      </c>
      <c r="N33" s="52"/>
      <c r="O33" s="32">
        <f t="shared" si="1"/>
        <v>240724000</v>
      </c>
      <c r="P33" s="51">
        <v>0</v>
      </c>
      <c r="Q33" s="54" t="s">
        <v>109</v>
      </c>
      <c r="R33" s="83"/>
      <c r="S33" s="51">
        <v>206132000</v>
      </c>
      <c r="T33" s="51">
        <f>200412000+121015000</f>
        <v>321427000</v>
      </c>
      <c r="U33" s="51">
        <v>0</v>
      </c>
      <c r="V33" s="53"/>
      <c r="W33" s="52">
        <v>84706000</v>
      </c>
      <c r="X33" s="52">
        <v>0</v>
      </c>
      <c r="Y33" s="32">
        <f t="shared" si="2"/>
        <v>84706000</v>
      </c>
      <c r="Z33" s="51">
        <v>22688000</v>
      </c>
      <c r="AA33" s="51">
        <v>20910000</v>
      </c>
      <c r="AB33" s="51">
        <v>0</v>
      </c>
      <c r="AC33" s="32">
        <f t="shared" si="3"/>
        <v>84706000</v>
      </c>
      <c r="AD33" s="51">
        <v>5373</v>
      </c>
      <c r="AE33" s="51">
        <v>7</v>
      </c>
      <c r="AF33" s="53"/>
      <c r="AG33" s="52">
        <v>537989759</v>
      </c>
      <c r="AH33" s="52">
        <v>591</v>
      </c>
      <c r="AI33" s="32">
        <f t="shared" si="4"/>
        <v>317951947569</v>
      </c>
      <c r="AJ33" s="32">
        <f t="shared" si="5"/>
        <v>317951947.56900001</v>
      </c>
      <c r="AK33" s="79">
        <v>34142</v>
      </c>
      <c r="AL33" s="32">
        <f t="shared" si="6"/>
        <v>21.838888888888889</v>
      </c>
      <c r="AM33" s="55">
        <f t="shared" si="8"/>
        <v>0.4481228929433731</v>
      </c>
      <c r="AN33" s="41" t="s">
        <v>99</v>
      </c>
      <c r="AO33" s="41" t="s">
        <v>99</v>
      </c>
      <c r="AP33" s="41" t="s">
        <v>99</v>
      </c>
      <c r="AQ33" s="57" t="s">
        <v>99</v>
      </c>
      <c r="AR33" s="43">
        <f t="shared" si="9"/>
        <v>4.2235141469480604E-2</v>
      </c>
      <c r="AS33" s="43">
        <f t="shared" si="10"/>
        <v>0.1100653949896183</v>
      </c>
      <c r="AT33" s="43">
        <f t="shared" si="11"/>
        <v>0.26784407243878827</v>
      </c>
      <c r="AU33" s="55">
        <f t="shared" si="12"/>
        <v>0</v>
      </c>
      <c r="AV33" s="58">
        <f t="shared" si="13"/>
        <v>0.5983566121787175</v>
      </c>
      <c r="AW33" s="58">
        <f t="shared" si="14"/>
        <v>1.2119572361934874</v>
      </c>
      <c r="AX33" s="58">
        <f t="shared" si="15"/>
        <v>1.5424676788126055</v>
      </c>
      <c r="AZ33" s="43">
        <f t="shared" si="16"/>
        <v>0.59188758313088841</v>
      </c>
      <c r="BA33" s="44">
        <f t="shared" si="17"/>
        <v>0.26784407243878827</v>
      </c>
    </row>
    <row r="34" spans="1:53" ht="15" thickBot="1" x14ac:dyDescent="0.35">
      <c r="A34" s="45">
        <v>30</v>
      </c>
      <c r="B34" s="46" t="s">
        <v>31</v>
      </c>
      <c r="C34" s="79">
        <v>33730</v>
      </c>
      <c r="D34" s="47">
        <v>42369</v>
      </c>
      <c r="E34" s="48">
        <f t="shared" si="7"/>
        <v>2015</v>
      </c>
      <c r="F34" s="32">
        <f t="shared" si="0"/>
        <v>23.997222222222224</v>
      </c>
      <c r="G34" s="49" t="s">
        <v>32</v>
      </c>
      <c r="H34" s="29" t="s">
        <v>116</v>
      </c>
      <c r="I34" s="50">
        <v>0</v>
      </c>
      <c r="J34" s="51">
        <v>516380000</v>
      </c>
      <c r="K34" s="52">
        <v>240757000</v>
      </c>
      <c r="L34" s="52">
        <v>0</v>
      </c>
      <c r="M34" s="52">
        <v>0</v>
      </c>
      <c r="N34" s="52"/>
      <c r="O34" s="32">
        <f t="shared" si="1"/>
        <v>240757000</v>
      </c>
      <c r="P34" s="51">
        <v>0</v>
      </c>
      <c r="Q34" s="54" t="s">
        <v>109</v>
      </c>
      <c r="R34" s="83"/>
      <c r="S34" s="51">
        <v>220569000</v>
      </c>
      <c r="T34" s="51">
        <f>189667000+108144000</f>
        <v>297811000</v>
      </c>
      <c r="U34" s="51">
        <v>0</v>
      </c>
      <c r="V34" s="53"/>
      <c r="W34" s="52">
        <v>72635000</v>
      </c>
      <c r="X34" s="52">
        <v>9088000</v>
      </c>
      <c r="Y34" s="32">
        <f t="shared" si="2"/>
        <v>81723000</v>
      </c>
      <c r="Z34" s="51">
        <v>29814000</v>
      </c>
      <c r="AA34" s="51">
        <v>28115000</v>
      </c>
      <c r="AB34" s="51">
        <v>1597000</v>
      </c>
      <c r="AC34" s="32">
        <f t="shared" si="3"/>
        <v>83320000</v>
      </c>
      <c r="AD34" s="51">
        <v>5019</v>
      </c>
      <c r="AE34" s="51">
        <v>7</v>
      </c>
      <c r="AF34" s="53"/>
      <c r="AG34" s="52">
        <v>537989759</v>
      </c>
      <c r="AH34" s="52">
        <v>444.3</v>
      </c>
      <c r="AI34" s="32">
        <f t="shared" si="4"/>
        <v>239028849923.70001</v>
      </c>
      <c r="AJ34" s="32">
        <f t="shared" si="5"/>
        <v>239028849.9237</v>
      </c>
      <c r="AK34" s="79">
        <v>34142</v>
      </c>
      <c r="AL34" s="32">
        <f t="shared" si="6"/>
        <v>22.852777777777778</v>
      </c>
      <c r="AM34" s="55">
        <f t="shared" si="8"/>
        <v>0.46623997831054648</v>
      </c>
      <c r="AN34" s="41" t="s">
        <v>99</v>
      </c>
      <c r="AO34" s="41" t="s">
        <v>99</v>
      </c>
      <c r="AP34" s="41" t="s">
        <v>99</v>
      </c>
      <c r="AQ34" s="57" t="s">
        <v>99</v>
      </c>
      <c r="AR34" s="43">
        <f t="shared" si="9"/>
        <v>5.7736550602269648E-2</v>
      </c>
      <c r="AS34" s="43">
        <f t="shared" si="10"/>
        <v>0.13516858670076032</v>
      </c>
      <c r="AT34" s="43">
        <f t="shared" si="11"/>
        <v>0.35782525204032645</v>
      </c>
      <c r="AU34" s="55">
        <f t="shared" si="12"/>
        <v>0</v>
      </c>
      <c r="AV34" s="58">
        <f t="shared" si="13"/>
        <v>0.57672837832603896</v>
      </c>
      <c r="AW34" s="58">
        <f t="shared" si="14"/>
        <v>1.0356106522699564</v>
      </c>
      <c r="AX34" s="58">
        <f t="shared" si="15"/>
        <v>1.0836919509255607</v>
      </c>
      <c r="AZ34" s="43">
        <f t="shared" si="16"/>
        <v>0.46289331485282159</v>
      </c>
      <c r="BA34" s="44">
        <f t="shared" si="17"/>
        <v>0.35782525204032645</v>
      </c>
    </row>
    <row r="35" spans="1:53" ht="15" thickBot="1" x14ac:dyDescent="0.35">
      <c r="A35" s="45">
        <v>31</v>
      </c>
      <c r="B35" s="46" t="s">
        <v>31</v>
      </c>
      <c r="C35" s="79">
        <v>33730</v>
      </c>
      <c r="D35" s="47">
        <v>42735</v>
      </c>
      <c r="E35" s="48">
        <f t="shared" si="7"/>
        <v>2016</v>
      </c>
      <c r="F35" s="32">
        <f t="shared" si="0"/>
        <v>25.013888888888889</v>
      </c>
      <c r="G35" s="49" t="s">
        <v>32</v>
      </c>
      <c r="H35" s="29" t="s">
        <v>116</v>
      </c>
      <c r="I35" s="50">
        <v>0</v>
      </c>
      <c r="J35" s="51">
        <v>536934000</v>
      </c>
      <c r="K35" s="52">
        <v>241230000</v>
      </c>
      <c r="L35" s="52">
        <v>0</v>
      </c>
      <c r="M35" s="52">
        <v>0</v>
      </c>
      <c r="N35" s="52"/>
      <c r="O35" s="32">
        <f t="shared" si="1"/>
        <v>241230000</v>
      </c>
      <c r="P35" s="51">
        <v>0</v>
      </c>
      <c r="Q35" s="54" t="s">
        <v>109</v>
      </c>
      <c r="R35" s="83"/>
      <c r="S35" s="51">
        <v>200698000</v>
      </c>
      <c r="T35" s="51">
        <f>202988000+133248000</f>
        <v>336236000</v>
      </c>
      <c r="U35" s="51">
        <v>0</v>
      </c>
      <c r="V35" s="53"/>
      <c r="W35" s="52">
        <v>72462000</v>
      </c>
      <c r="X35" s="52">
        <v>8126000</v>
      </c>
      <c r="Y35" s="32">
        <f t="shared" si="2"/>
        <v>80588000</v>
      </c>
      <c r="Z35" s="51">
        <v>8462000</v>
      </c>
      <c r="AA35" s="51">
        <v>8834000</v>
      </c>
      <c r="AB35" s="51">
        <v>1205000</v>
      </c>
      <c r="AC35" s="32">
        <f t="shared" si="3"/>
        <v>81793000</v>
      </c>
      <c r="AD35" s="51">
        <v>5079</v>
      </c>
      <c r="AE35" s="51">
        <v>7</v>
      </c>
      <c r="AF35" s="53"/>
      <c r="AG35" s="52">
        <v>537989759</v>
      </c>
      <c r="AH35" s="52">
        <v>430</v>
      </c>
      <c r="AI35" s="32">
        <f t="shared" si="4"/>
        <v>231335596370</v>
      </c>
      <c r="AJ35" s="32">
        <f t="shared" si="5"/>
        <v>231335596.37</v>
      </c>
      <c r="AK35" s="79">
        <v>34142</v>
      </c>
      <c r="AL35" s="32">
        <f t="shared" si="6"/>
        <v>23.869444444444444</v>
      </c>
      <c r="AM35" s="55">
        <f t="shared" si="8"/>
        <v>0.4492730950172647</v>
      </c>
      <c r="AN35" s="41" t="s">
        <v>99</v>
      </c>
      <c r="AO35" s="41" t="s">
        <v>99</v>
      </c>
      <c r="AP35" s="41" t="s">
        <v>99</v>
      </c>
      <c r="AQ35" s="57" t="s">
        <v>99</v>
      </c>
      <c r="AR35" s="43">
        <f t="shared" si="9"/>
        <v>1.5759851303884648E-2</v>
      </c>
      <c r="AS35" s="43">
        <f t="shared" si="10"/>
        <v>4.2162851647749355E-2</v>
      </c>
      <c r="AT35" s="43">
        <f t="shared" si="11"/>
        <v>0.10345628599024366</v>
      </c>
      <c r="AU35" s="55">
        <f t="shared" si="12"/>
        <v>0</v>
      </c>
      <c r="AV35" s="58">
        <f t="shared" si="13"/>
        <v>0.62621476755057415</v>
      </c>
      <c r="AW35" s="58">
        <f t="shared" si="14"/>
        <v>1.0570602650791345</v>
      </c>
      <c r="AX35" s="58">
        <f t="shared" si="15"/>
        <v>1.1526552151491296</v>
      </c>
      <c r="AZ35" s="43">
        <f t="shared" si="16"/>
        <v>0.43084549752856033</v>
      </c>
      <c r="BA35" s="44">
        <f t="shared" si="17"/>
        <v>0.10345628599024366</v>
      </c>
    </row>
    <row r="36" spans="1:53" ht="15" thickBot="1" x14ac:dyDescent="0.35">
      <c r="A36" s="45">
        <v>32</v>
      </c>
      <c r="B36" s="46" t="s">
        <v>31</v>
      </c>
      <c r="C36" s="79">
        <v>33730</v>
      </c>
      <c r="D36" s="47">
        <v>43100</v>
      </c>
      <c r="E36" s="48">
        <f t="shared" si="7"/>
        <v>2017</v>
      </c>
      <c r="F36" s="32">
        <f t="shared" si="0"/>
        <v>26.027777777777779</v>
      </c>
      <c r="G36" s="49" t="s">
        <v>32</v>
      </c>
      <c r="H36" s="29" t="s">
        <v>116</v>
      </c>
      <c r="I36" s="50">
        <v>0</v>
      </c>
      <c r="J36" s="51">
        <v>532770000</v>
      </c>
      <c r="K36" s="52">
        <v>240229000</v>
      </c>
      <c r="L36" s="52">
        <v>0</v>
      </c>
      <c r="M36" s="52">
        <v>0</v>
      </c>
      <c r="N36" s="52"/>
      <c r="O36" s="32">
        <f t="shared" si="1"/>
        <v>240229000</v>
      </c>
      <c r="P36" s="51">
        <v>0</v>
      </c>
      <c r="Q36" s="54" t="s">
        <v>109</v>
      </c>
      <c r="R36" s="83"/>
      <c r="S36" s="51">
        <v>187507000</v>
      </c>
      <c r="T36" s="51">
        <f>202717000+142546000</f>
        <v>345263000</v>
      </c>
      <c r="U36" s="51">
        <v>0</v>
      </c>
      <c r="V36" s="53"/>
      <c r="W36" s="52">
        <v>65830000</v>
      </c>
      <c r="X36" s="52">
        <v>9154000</v>
      </c>
      <c r="Y36" s="32">
        <f t="shared" si="2"/>
        <v>74984000</v>
      </c>
      <c r="Z36" s="51">
        <v>4548000</v>
      </c>
      <c r="AA36" s="51">
        <v>5105000</v>
      </c>
      <c r="AB36" s="51">
        <v>2273000</v>
      </c>
      <c r="AC36" s="32">
        <f t="shared" si="3"/>
        <v>77257000</v>
      </c>
      <c r="AD36" s="51">
        <v>5086</v>
      </c>
      <c r="AE36" s="51">
        <v>7</v>
      </c>
      <c r="AF36" s="53"/>
      <c r="AG36" s="52">
        <v>537989759</v>
      </c>
      <c r="AH36" s="52">
        <v>496.5</v>
      </c>
      <c r="AI36" s="32">
        <f t="shared" si="4"/>
        <v>267111915343.5</v>
      </c>
      <c r="AJ36" s="32">
        <f t="shared" si="5"/>
        <v>267111915.34349999</v>
      </c>
      <c r="AK36" s="79">
        <v>34142</v>
      </c>
      <c r="AL36" s="32">
        <f t="shared" si="6"/>
        <v>24.883333333333333</v>
      </c>
      <c r="AM36" s="55">
        <f t="shared" si="8"/>
        <v>0.45090564408656642</v>
      </c>
      <c r="AN36" s="41" t="s">
        <v>99</v>
      </c>
      <c r="AO36" s="41" t="s">
        <v>99</v>
      </c>
      <c r="AP36" s="41" t="s">
        <v>99</v>
      </c>
      <c r="AQ36" s="57" t="s">
        <v>99</v>
      </c>
      <c r="AR36" s="43">
        <f t="shared" si="9"/>
        <v>8.5365166957598968E-3</v>
      </c>
      <c r="AS36" s="43">
        <f t="shared" si="10"/>
        <v>2.425509447647288E-2</v>
      </c>
      <c r="AT36" s="43">
        <f t="shared" si="11"/>
        <v>5.8868452049652457E-2</v>
      </c>
      <c r="AU36" s="55">
        <f t="shared" si="12"/>
        <v>0</v>
      </c>
      <c r="AV36" s="58">
        <f t="shared" si="13"/>
        <v>0.64805263059106177</v>
      </c>
      <c r="AW36" s="58">
        <f t="shared" si="14"/>
        <v>1.1494170380154665</v>
      </c>
      <c r="AX36" s="58">
        <f t="shared" si="15"/>
        <v>1.4245436988672422</v>
      </c>
      <c r="AZ36" s="43">
        <f t="shared" si="16"/>
        <v>0.50136440742440447</v>
      </c>
      <c r="BA36" s="44">
        <f t="shared" si="17"/>
        <v>5.8868452049652457E-2</v>
      </c>
    </row>
    <row r="37" spans="1:53" ht="15" thickBot="1" x14ac:dyDescent="0.35">
      <c r="A37" s="45">
        <v>33</v>
      </c>
      <c r="B37" s="46" t="s">
        <v>31</v>
      </c>
      <c r="C37" s="79">
        <v>33730</v>
      </c>
      <c r="D37" s="47">
        <v>43465</v>
      </c>
      <c r="E37" s="48">
        <f t="shared" si="7"/>
        <v>2018</v>
      </c>
      <c r="F37" s="32">
        <f t="shared" si="0"/>
        <v>27.041666666666668</v>
      </c>
      <c r="G37" s="49" t="s">
        <v>32</v>
      </c>
      <c r="H37" s="29" t="s">
        <v>116</v>
      </c>
      <c r="I37" s="50">
        <v>0</v>
      </c>
      <c r="J37" s="51">
        <v>626075000</v>
      </c>
      <c r="K37" s="52">
        <v>231097000</v>
      </c>
      <c r="L37" s="52">
        <v>0</v>
      </c>
      <c r="M37" s="52">
        <v>0</v>
      </c>
      <c r="N37" s="52"/>
      <c r="O37" s="32">
        <f t="shared" si="1"/>
        <v>231097000</v>
      </c>
      <c r="P37" s="51">
        <v>0</v>
      </c>
      <c r="Q37" s="54" t="s">
        <v>109</v>
      </c>
      <c r="R37" s="83"/>
      <c r="S37" s="51">
        <v>183212000</v>
      </c>
      <c r="T37" s="51">
        <f>214312000+228551000</f>
        <v>442863000</v>
      </c>
      <c r="U37" s="51">
        <v>0</v>
      </c>
      <c r="V37" s="51">
        <v>2347000</v>
      </c>
      <c r="W37" s="52">
        <v>74151000</v>
      </c>
      <c r="X37" s="52">
        <v>4834000</v>
      </c>
      <c r="Y37" s="32">
        <f t="shared" si="2"/>
        <v>78985000</v>
      </c>
      <c r="Z37" s="51">
        <v>22609000</v>
      </c>
      <c r="AA37" s="51">
        <v>23776000</v>
      </c>
      <c r="AB37" s="51">
        <v>764000</v>
      </c>
      <c r="AC37" s="32">
        <f t="shared" si="3"/>
        <v>79749000</v>
      </c>
      <c r="AD37" s="51">
        <v>5311</v>
      </c>
      <c r="AE37" s="51">
        <v>7</v>
      </c>
      <c r="AF37" s="53"/>
      <c r="AG37" s="52">
        <v>537989759</v>
      </c>
      <c r="AH37" s="52">
        <v>535</v>
      </c>
      <c r="AI37" s="32">
        <f t="shared" si="4"/>
        <v>287824521065</v>
      </c>
      <c r="AJ37" s="32">
        <f t="shared" si="5"/>
        <v>287824521.065</v>
      </c>
      <c r="AK37" s="79">
        <v>34142</v>
      </c>
      <c r="AL37" s="32">
        <f t="shared" si="6"/>
        <v>25.897222222222222</v>
      </c>
      <c r="AM37" s="55">
        <f t="shared" si="8"/>
        <v>0.36912031306153414</v>
      </c>
      <c r="AN37" s="41" t="s">
        <v>99</v>
      </c>
      <c r="AO37" s="41" t="s">
        <v>99</v>
      </c>
      <c r="AP37" s="41" t="s">
        <v>99</v>
      </c>
      <c r="AQ37" s="57" t="s">
        <v>99</v>
      </c>
      <c r="AR37" s="43">
        <f t="shared" si="9"/>
        <v>3.6112286866589467E-2</v>
      </c>
      <c r="AS37" s="43">
        <f t="shared" si="10"/>
        <v>0.12340348885444184</v>
      </c>
      <c r="AT37" s="43">
        <f t="shared" si="11"/>
        <v>0.28350198748573652</v>
      </c>
      <c r="AU37" s="55">
        <f t="shared" si="12"/>
        <v>0</v>
      </c>
      <c r="AV37" s="58">
        <f t="shared" si="13"/>
        <v>0.70736413369005313</v>
      </c>
      <c r="AW37" s="58">
        <f t="shared" si="14"/>
        <v>1.1670926343728787</v>
      </c>
      <c r="AX37" s="58">
        <f t="shared" si="15"/>
        <v>1.5709916439152458</v>
      </c>
      <c r="AZ37" s="43">
        <f t="shared" si="16"/>
        <v>0.45972850068282556</v>
      </c>
      <c r="BA37" s="44">
        <f t="shared" si="17"/>
        <v>0.28350198748573652</v>
      </c>
    </row>
    <row r="38" spans="1:53" ht="15" thickBot="1" x14ac:dyDescent="0.35">
      <c r="A38" s="59">
        <v>34</v>
      </c>
      <c r="B38" s="60" t="s">
        <v>31</v>
      </c>
      <c r="C38" s="61">
        <v>33730</v>
      </c>
      <c r="D38" s="62">
        <v>43830</v>
      </c>
      <c r="E38" s="63">
        <f t="shared" si="7"/>
        <v>2019</v>
      </c>
      <c r="F38" s="64">
        <f t="shared" si="0"/>
        <v>28.055555555555557</v>
      </c>
      <c r="G38" s="65" t="s">
        <v>32</v>
      </c>
      <c r="H38" s="29" t="s">
        <v>116</v>
      </c>
      <c r="I38" s="66">
        <v>0</v>
      </c>
      <c r="J38" s="67">
        <v>622086000</v>
      </c>
      <c r="K38" s="68">
        <v>239551000</v>
      </c>
      <c r="L38" s="68">
        <v>0</v>
      </c>
      <c r="M38" s="68">
        <v>0</v>
      </c>
      <c r="N38" s="68"/>
      <c r="O38" s="64">
        <f t="shared" si="1"/>
        <v>239551000</v>
      </c>
      <c r="P38" s="67">
        <v>5618000</v>
      </c>
      <c r="Q38" s="69" t="s">
        <v>108</v>
      </c>
      <c r="R38" s="67">
        <v>2347000</v>
      </c>
      <c r="S38" s="67">
        <v>203479000</v>
      </c>
      <c r="T38" s="67">
        <f>225423000+193184000</f>
        <v>418607000</v>
      </c>
      <c r="U38" s="67">
        <v>3271000</v>
      </c>
      <c r="V38" s="67">
        <v>2144000</v>
      </c>
      <c r="W38" s="68">
        <v>81943000</v>
      </c>
      <c r="X38" s="68">
        <v>5002000</v>
      </c>
      <c r="Y38" s="64">
        <f t="shared" si="2"/>
        <v>86945000</v>
      </c>
      <c r="Z38" s="67">
        <v>17797000</v>
      </c>
      <c r="AA38" s="67">
        <v>17393000</v>
      </c>
      <c r="AB38" s="67">
        <v>1353000</v>
      </c>
      <c r="AC38" s="64">
        <f t="shared" si="3"/>
        <v>88298000</v>
      </c>
      <c r="AD38" s="67">
        <v>5381</v>
      </c>
      <c r="AE38" s="67">
        <v>7</v>
      </c>
      <c r="AF38" s="70"/>
      <c r="AG38" s="68">
        <v>537989759</v>
      </c>
      <c r="AH38" s="68">
        <v>509.5</v>
      </c>
      <c r="AI38" s="64">
        <f t="shared" si="4"/>
        <v>274105782210.5</v>
      </c>
      <c r="AJ38" s="64">
        <f t="shared" si="5"/>
        <v>274105782.2105</v>
      </c>
      <c r="AK38" s="61">
        <v>34142</v>
      </c>
      <c r="AL38" s="64">
        <f t="shared" si="6"/>
        <v>26.911111111111111</v>
      </c>
      <c r="AM38" s="71">
        <f t="shared" si="8"/>
        <v>0.38507698292519038</v>
      </c>
      <c r="AN38" s="41" t="s">
        <v>99</v>
      </c>
      <c r="AO38" s="41" t="s">
        <v>99</v>
      </c>
      <c r="AP38" s="41" t="s">
        <v>99</v>
      </c>
      <c r="AQ38" s="57" t="s">
        <v>99</v>
      </c>
      <c r="AR38" s="43">
        <f t="shared" si="9"/>
        <v>2.8608584665142763E-2</v>
      </c>
      <c r="AS38" s="43">
        <f t="shared" si="10"/>
        <v>8.7463571179335453E-2</v>
      </c>
      <c r="AT38" s="43">
        <f t="shared" si="11"/>
        <v>0.20155609413576753</v>
      </c>
      <c r="AU38" s="71">
        <f t="shared" si="12"/>
        <v>2.3452208506748042E-2</v>
      </c>
      <c r="AV38" s="72">
        <f t="shared" si="13"/>
        <v>0.67290856891169393</v>
      </c>
      <c r="AW38" s="72">
        <f t="shared" si="14"/>
        <v>1.1135321839914416</v>
      </c>
      <c r="AX38" s="72">
        <f t="shared" si="15"/>
        <v>1.3470961731210591</v>
      </c>
      <c r="AZ38" s="43">
        <f t="shared" si="16"/>
        <v>0.44062361507974784</v>
      </c>
      <c r="BA38" s="44">
        <f t="shared" si="17"/>
        <v>0.20155609413576753</v>
      </c>
    </row>
    <row r="39" spans="1:53" ht="15" thickBot="1" x14ac:dyDescent="0.35">
      <c r="A39" s="28">
        <v>35</v>
      </c>
      <c r="B39" s="29" t="s">
        <v>33</v>
      </c>
      <c r="C39" s="30">
        <v>33668</v>
      </c>
      <c r="D39" s="30">
        <v>37621</v>
      </c>
      <c r="E39" s="31">
        <f t="shared" si="7"/>
        <v>2002</v>
      </c>
      <c r="F39" s="38">
        <f t="shared" si="0"/>
        <v>10.980555555555556</v>
      </c>
      <c r="G39" s="33" t="s">
        <v>34</v>
      </c>
      <c r="H39" s="29" t="s">
        <v>121</v>
      </c>
      <c r="I39" s="34">
        <v>0</v>
      </c>
      <c r="J39" s="35">
        <v>446092000</v>
      </c>
      <c r="K39" s="36">
        <v>10411000</v>
      </c>
      <c r="L39" s="36">
        <v>0</v>
      </c>
      <c r="M39" s="36">
        <v>0</v>
      </c>
      <c r="N39" s="36"/>
      <c r="O39" s="38">
        <f t="shared" si="1"/>
        <v>10411000</v>
      </c>
      <c r="P39" s="35">
        <v>333000</v>
      </c>
      <c r="Q39" s="69" t="s">
        <v>108</v>
      </c>
      <c r="R39" s="35">
        <v>0</v>
      </c>
      <c r="S39" s="35">
        <v>35366000</v>
      </c>
      <c r="T39" s="35">
        <v>410494000</v>
      </c>
      <c r="U39" s="35">
        <v>333000</v>
      </c>
      <c r="V39" s="35">
        <v>291000</v>
      </c>
      <c r="W39" s="36">
        <v>25920000</v>
      </c>
      <c r="X39" s="36">
        <v>0</v>
      </c>
      <c r="Y39" s="38">
        <f t="shared" si="2"/>
        <v>25920000</v>
      </c>
      <c r="Z39" s="35">
        <v>11781000</v>
      </c>
      <c r="AA39" s="35">
        <v>9120000</v>
      </c>
      <c r="AB39" s="35">
        <v>21000</v>
      </c>
      <c r="AC39" s="38">
        <f t="shared" si="3"/>
        <v>25941000</v>
      </c>
      <c r="AD39" s="35">
        <v>9951</v>
      </c>
      <c r="AE39" s="35">
        <v>6</v>
      </c>
      <c r="AF39" s="53"/>
      <c r="AG39" s="36">
        <v>38009852</v>
      </c>
      <c r="AH39" s="36">
        <v>2078</v>
      </c>
      <c r="AI39" s="38">
        <f t="shared" si="4"/>
        <v>78984472456</v>
      </c>
      <c r="AJ39" s="38">
        <f t="shared" si="5"/>
        <v>78984472.456</v>
      </c>
      <c r="AK39" s="30">
        <v>37235</v>
      </c>
      <c r="AL39" s="38">
        <f t="shared" si="6"/>
        <v>1.0722222222222222</v>
      </c>
      <c r="AM39" s="40">
        <f t="shared" si="8"/>
        <v>2.3338235162253525E-2</v>
      </c>
      <c r="AN39" s="41" t="s">
        <v>99</v>
      </c>
      <c r="AO39" s="41" t="s">
        <v>99</v>
      </c>
      <c r="AP39" s="41" t="s">
        <v>99</v>
      </c>
      <c r="AQ39" s="57" t="s">
        <v>99</v>
      </c>
      <c r="AR39" s="43">
        <f t="shared" si="9"/>
        <v>2.6409350537557275E-2</v>
      </c>
      <c r="AS39" s="43">
        <f t="shared" si="10"/>
        <v>0.33311655262116158</v>
      </c>
      <c r="AT39" s="43">
        <f t="shared" si="11"/>
        <v>0.45414594657106511</v>
      </c>
      <c r="AU39" s="40">
        <f t="shared" si="12"/>
        <v>3.1985400057631348E-2</v>
      </c>
      <c r="AV39" s="43">
        <f t="shared" si="13"/>
        <v>0.92020031742331176</v>
      </c>
      <c r="AW39" s="43">
        <f t="shared" si="14"/>
        <v>1.0978299745570357</v>
      </c>
      <c r="AX39" s="43">
        <f t="shared" si="15"/>
        <v>2.2333448073290731</v>
      </c>
      <c r="AZ39" s="43">
        <f t="shared" si="16"/>
        <v>0.17705870640137011</v>
      </c>
      <c r="BA39" s="44">
        <f t="shared" si="17"/>
        <v>0.45414594657106511</v>
      </c>
    </row>
    <row r="40" spans="1:53" ht="15" thickBot="1" x14ac:dyDescent="0.35">
      <c r="A40" s="45">
        <v>36</v>
      </c>
      <c r="B40" s="46" t="str">
        <f t="shared" ref="B40:C55" si="18">+B39</f>
        <v>Komerční banka, a.s.</v>
      </c>
      <c r="C40" s="47">
        <f t="shared" si="18"/>
        <v>33668</v>
      </c>
      <c r="D40" s="47">
        <v>37986</v>
      </c>
      <c r="E40" s="48">
        <f t="shared" si="7"/>
        <v>2003</v>
      </c>
      <c r="F40" s="32">
        <f t="shared" si="0"/>
        <v>11.994444444444444</v>
      </c>
      <c r="G40" s="49" t="s">
        <v>34</v>
      </c>
      <c r="H40" s="46" t="s">
        <v>121</v>
      </c>
      <c r="I40" s="50">
        <v>0</v>
      </c>
      <c r="J40" s="51">
        <v>456663000</v>
      </c>
      <c r="K40" s="52">
        <v>10378000</v>
      </c>
      <c r="L40" s="52">
        <v>0</v>
      </c>
      <c r="M40" s="52">
        <v>0</v>
      </c>
      <c r="N40" s="52"/>
      <c r="O40" s="32">
        <f t="shared" si="1"/>
        <v>10378000</v>
      </c>
      <c r="P40" s="84">
        <v>146000</v>
      </c>
      <c r="Q40" s="69" t="s">
        <v>108</v>
      </c>
      <c r="R40" s="51">
        <v>0</v>
      </c>
      <c r="S40" s="51">
        <v>41401000</v>
      </c>
      <c r="T40" s="51">
        <v>415016000</v>
      </c>
      <c r="U40" s="51">
        <v>146000</v>
      </c>
      <c r="V40" s="51">
        <v>122000</v>
      </c>
      <c r="W40" s="52">
        <v>22537000</v>
      </c>
      <c r="X40" s="52">
        <v>0</v>
      </c>
      <c r="Y40" s="32">
        <f t="shared" si="2"/>
        <v>22537000</v>
      </c>
      <c r="Z40" s="51">
        <v>12896000</v>
      </c>
      <c r="AA40" s="51">
        <v>8669000</v>
      </c>
      <c r="AB40" s="51">
        <v>433000</v>
      </c>
      <c r="AC40" s="32">
        <f t="shared" si="3"/>
        <v>22970000</v>
      </c>
      <c r="AD40" s="51">
        <v>8813</v>
      </c>
      <c r="AE40" s="51">
        <v>6</v>
      </c>
      <c r="AF40" s="53"/>
      <c r="AG40" s="52">
        <v>38009852</v>
      </c>
      <c r="AH40" s="52">
        <v>2418</v>
      </c>
      <c r="AI40" s="32">
        <f t="shared" si="4"/>
        <v>91907822136</v>
      </c>
      <c r="AJ40" s="32">
        <f t="shared" si="5"/>
        <v>91907822.136000007</v>
      </c>
      <c r="AK40" s="47">
        <f t="shared" ref="AK40:AK47" si="19">+AK39</f>
        <v>37235</v>
      </c>
      <c r="AL40" s="32">
        <f t="shared" si="6"/>
        <v>2.0861111111111112</v>
      </c>
      <c r="AM40" s="55">
        <f t="shared" si="8"/>
        <v>2.2725729914619752E-2</v>
      </c>
      <c r="AN40" s="41" t="s">
        <v>99</v>
      </c>
      <c r="AO40" s="41" t="s">
        <v>99</v>
      </c>
      <c r="AP40" s="41" t="s">
        <v>99</v>
      </c>
      <c r="AQ40" s="57" t="s">
        <v>99</v>
      </c>
      <c r="AR40" s="43">
        <f t="shared" si="9"/>
        <v>2.823964280005168E-2</v>
      </c>
      <c r="AS40" s="43">
        <f t="shared" si="10"/>
        <v>0.31149006062655493</v>
      </c>
      <c r="AT40" s="43">
        <f t="shared" si="11"/>
        <v>0.56142794949934693</v>
      </c>
      <c r="AU40" s="55">
        <f t="shared" si="12"/>
        <v>1.4068221237232607E-2</v>
      </c>
      <c r="AV40" s="58">
        <f t="shared" si="13"/>
        <v>0.90880145752995101</v>
      </c>
      <c r="AW40" s="58">
        <f t="shared" si="14"/>
        <v>1.1106593797689395</v>
      </c>
      <c r="AX40" s="58">
        <f t="shared" si="15"/>
        <v>2.2199420819786964</v>
      </c>
      <c r="AZ40" s="43">
        <f t="shared" si="16"/>
        <v>0.20125962063053063</v>
      </c>
      <c r="BA40" s="44">
        <f t="shared" si="17"/>
        <v>0.56142794949934693</v>
      </c>
    </row>
    <row r="41" spans="1:53" ht="15" thickBot="1" x14ac:dyDescent="0.35">
      <c r="A41" s="45">
        <v>37</v>
      </c>
      <c r="B41" s="46" t="str">
        <f t="shared" si="18"/>
        <v>Komerční banka, a.s.</v>
      </c>
      <c r="C41" s="47">
        <f t="shared" si="18"/>
        <v>33668</v>
      </c>
      <c r="D41" s="47">
        <v>38352</v>
      </c>
      <c r="E41" s="48">
        <f t="shared" si="7"/>
        <v>2004</v>
      </c>
      <c r="F41" s="32">
        <f t="shared" si="0"/>
        <v>13.011111111111111</v>
      </c>
      <c r="G41" s="49" t="s">
        <v>34</v>
      </c>
      <c r="H41" s="46" t="s">
        <v>121</v>
      </c>
      <c r="I41" s="50">
        <v>0</v>
      </c>
      <c r="J41" s="51">
        <v>460269000</v>
      </c>
      <c r="K41" s="52">
        <v>9234000</v>
      </c>
      <c r="L41" s="52">
        <v>0</v>
      </c>
      <c r="M41" s="52">
        <v>0</v>
      </c>
      <c r="N41" s="52"/>
      <c r="O41" s="32">
        <f t="shared" si="1"/>
        <v>9234000</v>
      </c>
      <c r="P41" s="84">
        <v>14000</v>
      </c>
      <c r="Q41" s="69" t="s">
        <v>108</v>
      </c>
      <c r="R41" s="51">
        <v>0</v>
      </c>
      <c r="S41" s="51">
        <v>44451000</v>
      </c>
      <c r="T41" s="51">
        <v>415745000</v>
      </c>
      <c r="U41" s="51">
        <v>14000</v>
      </c>
      <c r="V41" s="51">
        <v>14000</v>
      </c>
      <c r="W41" s="52">
        <v>23212000</v>
      </c>
      <c r="X41" s="52">
        <v>0</v>
      </c>
      <c r="Y41" s="32">
        <f t="shared" si="2"/>
        <v>23212000</v>
      </c>
      <c r="Z41" s="51">
        <v>12787000</v>
      </c>
      <c r="AA41" s="51">
        <v>8897000</v>
      </c>
      <c r="AB41" s="51">
        <v>13000</v>
      </c>
      <c r="AC41" s="32">
        <f t="shared" si="3"/>
        <v>23225000</v>
      </c>
      <c r="AD41" s="51">
        <v>7718</v>
      </c>
      <c r="AE41" s="51">
        <v>6</v>
      </c>
      <c r="AF41" s="53"/>
      <c r="AG41" s="52">
        <v>38009852</v>
      </c>
      <c r="AH41" s="52">
        <v>3272</v>
      </c>
      <c r="AI41" s="32">
        <f t="shared" si="4"/>
        <v>124368235744</v>
      </c>
      <c r="AJ41" s="32">
        <f t="shared" si="5"/>
        <v>124368235.744</v>
      </c>
      <c r="AK41" s="47">
        <f t="shared" si="19"/>
        <v>37235</v>
      </c>
      <c r="AL41" s="32">
        <f t="shared" si="6"/>
        <v>3.1027777777777779</v>
      </c>
      <c r="AM41" s="55">
        <f t="shared" si="8"/>
        <v>2.0062181028920045E-2</v>
      </c>
      <c r="AN41" s="41" t="s">
        <v>99</v>
      </c>
      <c r="AO41" s="41" t="s">
        <v>99</v>
      </c>
      <c r="AP41" s="41" t="s">
        <v>99</v>
      </c>
      <c r="AQ41" s="57" t="s">
        <v>99</v>
      </c>
      <c r="AR41" s="43">
        <f t="shared" si="9"/>
        <v>2.7781579902187634E-2</v>
      </c>
      <c r="AS41" s="43">
        <f t="shared" si="10"/>
        <v>0.28766506940226316</v>
      </c>
      <c r="AT41" s="43">
        <f t="shared" si="11"/>
        <v>0.55057050592034451</v>
      </c>
      <c r="AU41" s="55">
        <f t="shared" si="12"/>
        <v>1.5161360190599957E-3</v>
      </c>
      <c r="AV41" s="58">
        <f t="shared" si="13"/>
        <v>0.90326526444318433</v>
      </c>
      <c r="AW41" s="58">
        <f t="shared" si="14"/>
        <v>1.1736591272935879</v>
      </c>
      <c r="AX41" s="58">
        <f t="shared" si="15"/>
        <v>2.7978726180288409</v>
      </c>
      <c r="AZ41" s="43">
        <f t="shared" si="16"/>
        <v>0.27020771710456276</v>
      </c>
      <c r="BA41" s="44">
        <f t="shared" si="17"/>
        <v>0.55057050592034451</v>
      </c>
    </row>
    <row r="42" spans="1:53" ht="15" thickBot="1" x14ac:dyDescent="0.35">
      <c r="A42" s="45">
        <v>38</v>
      </c>
      <c r="B42" s="46" t="str">
        <f t="shared" si="18"/>
        <v>Komerční banka, a.s.</v>
      </c>
      <c r="C42" s="47">
        <f t="shared" si="18"/>
        <v>33668</v>
      </c>
      <c r="D42" s="47">
        <v>38717</v>
      </c>
      <c r="E42" s="48">
        <f t="shared" si="7"/>
        <v>2005</v>
      </c>
      <c r="F42" s="32">
        <f t="shared" si="0"/>
        <v>14.025</v>
      </c>
      <c r="G42" s="49" t="s">
        <v>34</v>
      </c>
      <c r="H42" s="46" t="s">
        <v>121</v>
      </c>
      <c r="I42" s="50">
        <v>0</v>
      </c>
      <c r="J42" s="51">
        <v>514934000</v>
      </c>
      <c r="K42" s="52">
        <v>7278000</v>
      </c>
      <c r="L42" s="52">
        <v>0</v>
      </c>
      <c r="M42" s="52">
        <v>0</v>
      </c>
      <c r="N42" s="52"/>
      <c r="O42" s="32">
        <f t="shared" si="1"/>
        <v>7278000</v>
      </c>
      <c r="P42" s="84">
        <v>1000</v>
      </c>
      <c r="Q42" s="69" t="s">
        <v>108</v>
      </c>
      <c r="R42" s="51">
        <v>0</v>
      </c>
      <c r="S42" s="51">
        <v>51327000</v>
      </c>
      <c r="T42" s="51">
        <v>463607000</v>
      </c>
      <c r="U42" s="51">
        <v>1000</v>
      </c>
      <c r="V42" s="51">
        <v>1000</v>
      </c>
      <c r="W42" s="52">
        <v>24519000</v>
      </c>
      <c r="X42" s="52">
        <v>0</v>
      </c>
      <c r="Y42" s="32">
        <f t="shared" si="2"/>
        <v>24519000</v>
      </c>
      <c r="Z42" s="51">
        <v>11565000</v>
      </c>
      <c r="AA42" s="51">
        <v>8911000</v>
      </c>
      <c r="AB42" s="51">
        <v>106000</v>
      </c>
      <c r="AC42" s="32">
        <f t="shared" si="3"/>
        <v>24625000</v>
      </c>
      <c r="AD42" s="51">
        <v>7750</v>
      </c>
      <c r="AE42" s="51">
        <v>5</v>
      </c>
      <c r="AF42" s="53"/>
      <c r="AG42" s="52">
        <v>38009852</v>
      </c>
      <c r="AH42" s="52">
        <v>3441</v>
      </c>
      <c r="AI42" s="32">
        <f t="shared" si="4"/>
        <v>130791900732</v>
      </c>
      <c r="AJ42" s="32">
        <f t="shared" si="5"/>
        <v>130791900.73199999</v>
      </c>
      <c r="AK42" s="47">
        <f t="shared" si="19"/>
        <v>37235</v>
      </c>
      <c r="AL42" s="32">
        <f t="shared" si="6"/>
        <v>4.1166666666666663</v>
      </c>
      <c r="AM42" s="55">
        <f t="shared" si="8"/>
        <v>1.4133850163321901E-2</v>
      </c>
      <c r="AN42" s="41" t="s">
        <v>99</v>
      </c>
      <c r="AO42" s="41" t="s">
        <v>99</v>
      </c>
      <c r="AP42" s="41" t="s">
        <v>99</v>
      </c>
      <c r="AQ42" s="57" t="s">
        <v>99</v>
      </c>
      <c r="AR42" s="43">
        <f t="shared" si="9"/>
        <v>2.2459188944602609E-2</v>
      </c>
      <c r="AS42" s="43">
        <f t="shared" si="10"/>
        <v>0.22532000701385235</v>
      </c>
      <c r="AT42" s="43">
        <f t="shared" si="11"/>
        <v>0.46964467005076144</v>
      </c>
      <c r="AU42" s="55">
        <f t="shared" si="12"/>
        <v>1.3740038472107721E-4</v>
      </c>
      <c r="AV42" s="58">
        <f t="shared" si="13"/>
        <v>0.90032314820928505</v>
      </c>
      <c r="AW42" s="58">
        <f t="shared" si="14"/>
        <v>1.1543205551235691</v>
      </c>
      <c r="AX42" s="58">
        <f t="shared" si="15"/>
        <v>2.5482085594716231</v>
      </c>
      <c r="AZ42" s="43">
        <f t="shared" si="16"/>
        <v>0.25399740691428413</v>
      </c>
      <c r="BA42" s="44">
        <f t="shared" si="17"/>
        <v>0.46964467005076144</v>
      </c>
    </row>
    <row r="43" spans="1:53" ht="15" thickBot="1" x14ac:dyDescent="0.35">
      <c r="A43" s="45">
        <v>39</v>
      </c>
      <c r="B43" s="46" t="str">
        <f t="shared" si="18"/>
        <v>Komerční banka, a.s.</v>
      </c>
      <c r="C43" s="47">
        <f t="shared" si="18"/>
        <v>33668</v>
      </c>
      <c r="D43" s="47">
        <v>39082</v>
      </c>
      <c r="E43" s="48">
        <f t="shared" si="7"/>
        <v>2006</v>
      </c>
      <c r="F43" s="32">
        <f t="shared" si="0"/>
        <v>15.03888888888889</v>
      </c>
      <c r="G43" s="49" t="s">
        <v>34</v>
      </c>
      <c r="H43" s="46" t="s">
        <v>121</v>
      </c>
      <c r="I43" s="50">
        <v>0</v>
      </c>
      <c r="J43" s="51">
        <v>597555000</v>
      </c>
      <c r="K43" s="52">
        <v>7795000</v>
      </c>
      <c r="L43" s="52">
        <v>0</v>
      </c>
      <c r="M43" s="52">
        <v>0</v>
      </c>
      <c r="N43" s="52"/>
      <c r="O43" s="32">
        <f t="shared" si="1"/>
        <v>7795000</v>
      </c>
      <c r="P43" s="84">
        <v>0</v>
      </c>
      <c r="Q43" s="85" t="s">
        <v>109</v>
      </c>
      <c r="R43" s="51">
        <v>0</v>
      </c>
      <c r="S43" s="51">
        <v>50598000</v>
      </c>
      <c r="T43" s="51">
        <v>546957000</v>
      </c>
      <c r="U43" s="51">
        <v>0</v>
      </c>
      <c r="V43" s="51">
        <v>0</v>
      </c>
      <c r="W43" s="52">
        <v>26302000</v>
      </c>
      <c r="X43" s="52">
        <v>0</v>
      </c>
      <c r="Y43" s="32">
        <f t="shared" si="2"/>
        <v>26302000</v>
      </c>
      <c r="Z43" s="51">
        <v>11815000</v>
      </c>
      <c r="AA43" s="51">
        <v>9120000</v>
      </c>
      <c r="AB43" s="51">
        <v>184000</v>
      </c>
      <c r="AC43" s="32">
        <f t="shared" si="3"/>
        <v>26486000</v>
      </c>
      <c r="AD43" s="51">
        <v>8305</v>
      </c>
      <c r="AE43" s="51">
        <v>5</v>
      </c>
      <c r="AF43" s="53"/>
      <c r="AG43" s="52">
        <v>38009852</v>
      </c>
      <c r="AH43" s="52">
        <v>3099</v>
      </c>
      <c r="AI43" s="32">
        <f t="shared" si="4"/>
        <v>117792531348</v>
      </c>
      <c r="AJ43" s="32">
        <f t="shared" si="5"/>
        <v>117792531.348</v>
      </c>
      <c r="AK43" s="47">
        <f t="shared" si="19"/>
        <v>37235</v>
      </c>
      <c r="AL43" s="32">
        <f t="shared" si="6"/>
        <v>5.1305555555555555</v>
      </c>
      <c r="AM43" s="55">
        <f t="shared" si="8"/>
        <v>1.3044824325794279E-2</v>
      </c>
      <c r="AN43" s="41" t="s">
        <v>99</v>
      </c>
      <c r="AO43" s="41" t="s">
        <v>99</v>
      </c>
      <c r="AP43" s="41" t="s">
        <v>99</v>
      </c>
      <c r="AQ43" s="57" t="s">
        <v>99</v>
      </c>
      <c r="AR43" s="43">
        <f t="shared" si="9"/>
        <v>1.9772238538711916E-2</v>
      </c>
      <c r="AS43" s="43">
        <f t="shared" si="10"/>
        <v>0.23350725325111665</v>
      </c>
      <c r="AT43" s="43">
        <f t="shared" si="11"/>
        <v>0.44608472400513477</v>
      </c>
      <c r="AU43" s="55">
        <f t="shared" si="12"/>
        <v>0</v>
      </c>
      <c r="AV43" s="58">
        <f t="shared" si="13"/>
        <v>0.915324949167859</v>
      </c>
      <c r="AW43" s="58">
        <f t="shared" si="14"/>
        <v>1.1124491157265859</v>
      </c>
      <c r="AX43" s="58">
        <f t="shared" si="15"/>
        <v>2.3280076554013993</v>
      </c>
      <c r="AZ43" s="43">
        <f t="shared" si="16"/>
        <v>0.19712416655872683</v>
      </c>
      <c r="BA43" s="44">
        <f t="shared" si="17"/>
        <v>0.44608472400513477</v>
      </c>
    </row>
    <row r="44" spans="1:53" ht="15" thickBot="1" x14ac:dyDescent="0.35">
      <c r="A44" s="45">
        <v>40</v>
      </c>
      <c r="B44" s="46" t="str">
        <f t="shared" si="18"/>
        <v>Komerční banka, a.s.</v>
      </c>
      <c r="C44" s="47">
        <f t="shared" si="18"/>
        <v>33668</v>
      </c>
      <c r="D44" s="47">
        <v>39447</v>
      </c>
      <c r="E44" s="48">
        <f t="shared" si="7"/>
        <v>2007</v>
      </c>
      <c r="F44" s="32">
        <f t="shared" si="0"/>
        <v>16.052777777777777</v>
      </c>
      <c r="G44" s="49" t="s">
        <v>34</v>
      </c>
      <c r="H44" s="46" t="s">
        <v>121</v>
      </c>
      <c r="I44" s="50">
        <v>0</v>
      </c>
      <c r="J44" s="51">
        <v>661819000</v>
      </c>
      <c r="K44" s="52">
        <v>7656000</v>
      </c>
      <c r="L44" s="52">
        <v>0</v>
      </c>
      <c r="M44" s="52">
        <v>0</v>
      </c>
      <c r="N44" s="52"/>
      <c r="O44" s="32">
        <f t="shared" si="1"/>
        <v>7656000</v>
      </c>
      <c r="P44" s="84">
        <v>0</v>
      </c>
      <c r="Q44" s="85" t="s">
        <v>109</v>
      </c>
      <c r="R44" s="51">
        <v>0</v>
      </c>
      <c r="S44" s="51">
        <v>50654000</v>
      </c>
      <c r="T44" s="51">
        <v>611165000</v>
      </c>
      <c r="U44" s="51">
        <v>0</v>
      </c>
      <c r="V44" s="51">
        <v>0</v>
      </c>
      <c r="W44" s="52">
        <v>29665000</v>
      </c>
      <c r="X44" s="52">
        <v>0</v>
      </c>
      <c r="Y44" s="32">
        <f t="shared" si="2"/>
        <v>29665000</v>
      </c>
      <c r="Z44" s="51">
        <v>14328000</v>
      </c>
      <c r="AA44" s="51">
        <v>11225000</v>
      </c>
      <c r="AB44" s="51">
        <v>109000</v>
      </c>
      <c r="AC44" s="32">
        <f t="shared" si="3"/>
        <v>29774000</v>
      </c>
      <c r="AD44" s="51">
        <v>8613</v>
      </c>
      <c r="AE44" s="51">
        <v>5</v>
      </c>
      <c r="AF44" s="53"/>
      <c r="AG44" s="52">
        <v>38009852</v>
      </c>
      <c r="AH44" s="52">
        <v>4371</v>
      </c>
      <c r="AI44" s="32">
        <f t="shared" si="4"/>
        <v>166141063092</v>
      </c>
      <c r="AJ44" s="32">
        <f t="shared" si="5"/>
        <v>166141063.09200001</v>
      </c>
      <c r="AK44" s="47">
        <f t="shared" si="19"/>
        <v>37235</v>
      </c>
      <c r="AL44" s="32">
        <f t="shared" si="6"/>
        <v>6.1444444444444448</v>
      </c>
      <c r="AM44" s="55">
        <f t="shared" si="8"/>
        <v>1.1568117566887623E-2</v>
      </c>
      <c r="AN44" s="41" t="s">
        <v>99</v>
      </c>
      <c r="AO44" s="41" t="s">
        <v>99</v>
      </c>
      <c r="AP44" s="41" t="s">
        <v>99</v>
      </c>
      <c r="AQ44" s="57" t="s">
        <v>99</v>
      </c>
      <c r="AR44" s="43">
        <f t="shared" si="9"/>
        <v>2.1649423785053013E-2</v>
      </c>
      <c r="AS44" s="43">
        <f t="shared" si="10"/>
        <v>0.28286018873139335</v>
      </c>
      <c r="AT44" s="43">
        <f t="shared" si="11"/>
        <v>0.48122523006650098</v>
      </c>
      <c r="AU44" s="55">
        <f t="shared" si="12"/>
        <v>0</v>
      </c>
      <c r="AV44" s="58">
        <f t="shared" si="13"/>
        <v>0.92346245725795117</v>
      </c>
      <c r="AW44" s="58">
        <f t="shared" si="14"/>
        <v>1.1744994675160429</v>
      </c>
      <c r="AX44" s="58">
        <f t="shared" si="15"/>
        <v>3.2799199094247249</v>
      </c>
      <c r="AZ44" s="43">
        <f t="shared" si="16"/>
        <v>0.25103701025809172</v>
      </c>
      <c r="BA44" s="44">
        <f t="shared" si="17"/>
        <v>0.48122523006650098</v>
      </c>
    </row>
    <row r="45" spans="1:53" ht="15" thickBot="1" x14ac:dyDescent="0.35">
      <c r="A45" s="45">
        <v>41</v>
      </c>
      <c r="B45" s="46" t="str">
        <f t="shared" si="18"/>
        <v>Komerční banka, a.s.</v>
      </c>
      <c r="C45" s="47">
        <f t="shared" si="18"/>
        <v>33668</v>
      </c>
      <c r="D45" s="47">
        <v>39813</v>
      </c>
      <c r="E45" s="48">
        <f t="shared" si="7"/>
        <v>2008</v>
      </c>
      <c r="F45" s="32">
        <f t="shared" si="0"/>
        <v>17.069444444444443</v>
      </c>
      <c r="G45" s="49" t="s">
        <v>34</v>
      </c>
      <c r="H45" s="46" t="s">
        <v>121</v>
      </c>
      <c r="I45" s="50">
        <v>0</v>
      </c>
      <c r="J45" s="51">
        <v>699044000</v>
      </c>
      <c r="K45" s="52">
        <v>7581000</v>
      </c>
      <c r="L45" s="52">
        <v>0</v>
      </c>
      <c r="M45" s="52">
        <v>0</v>
      </c>
      <c r="N45" s="52"/>
      <c r="O45" s="32">
        <f t="shared" si="1"/>
        <v>7581000</v>
      </c>
      <c r="P45" s="84">
        <v>0</v>
      </c>
      <c r="Q45" s="85" t="s">
        <v>109</v>
      </c>
      <c r="R45" s="51">
        <v>0</v>
      </c>
      <c r="S45" s="51">
        <v>62974000</v>
      </c>
      <c r="T45" s="51">
        <v>636070000</v>
      </c>
      <c r="U45" s="51">
        <v>0</v>
      </c>
      <c r="V45" s="51">
        <v>0</v>
      </c>
      <c r="W45" s="52">
        <v>33714000</v>
      </c>
      <c r="X45" s="52">
        <v>0</v>
      </c>
      <c r="Y45" s="32">
        <f t="shared" si="2"/>
        <v>33714000</v>
      </c>
      <c r="Z45" s="51">
        <v>16257000</v>
      </c>
      <c r="AA45" s="51">
        <v>13233000</v>
      </c>
      <c r="AB45" s="51">
        <v>12000</v>
      </c>
      <c r="AC45" s="32">
        <f t="shared" si="3"/>
        <v>33726000</v>
      </c>
      <c r="AD45" s="51">
        <v>8905</v>
      </c>
      <c r="AE45" s="51">
        <v>6</v>
      </c>
      <c r="AF45" s="53"/>
      <c r="AG45" s="52">
        <v>38009852</v>
      </c>
      <c r="AH45" s="52">
        <v>2970</v>
      </c>
      <c r="AI45" s="32">
        <f t="shared" si="4"/>
        <v>112889260440</v>
      </c>
      <c r="AJ45" s="32">
        <f t="shared" si="5"/>
        <v>112889260.44</v>
      </c>
      <c r="AK45" s="47">
        <f t="shared" si="19"/>
        <v>37235</v>
      </c>
      <c r="AL45" s="32">
        <f t="shared" si="6"/>
        <v>7.1611111111111114</v>
      </c>
      <c r="AM45" s="55">
        <f t="shared" si="8"/>
        <v>1.0844810913190013E-2</v>
      </c>
      <c r="AN45" s="41" t="s">
        <v>99</v>
      </c>
      <c r="AO45" s="41" t="s">
        <v>99</v>
      </c>
      <c r="AP45" s="41" t="s">
        <v>99</v>
      </c>
      <c r="AQ45" s="57" t="s">
        <v>99</v>
      </c>
      <c r="AR45" s="43">
        <f t="shared" si="9"/>
        <v>2.3256046829670234E-2</v>
      </c>
      <c r="AS45" s="43">
        <f t="shared" si="10"/>
        <v>0.25815415885921172</v>
      </c>
      <c r="AT45" s="43">
        <f t="shared" si="11"/>
        <v>0.48203166696317379</v>
      </c>
      <c r="AU45" s="55">
        <f t="shared" si="12"/>
        <v>0</v>
      </c>
      <c r="AV45" s="58">
        <f t="shared" si="13"/>
        <v>0.90991411127196575</v>
      </c>
      <c r="AW45" s="58">
        <f t="shared" si="14"/>
        <v>1.0714050337890033</v>
      </c>
      <c r="AX45" s="58">
        <f t="shared" si="15"/>
        <v>1.7926328395845905</v>
      </c>
      <c r="AZ45" s="43">
        <f t="shared" si="16"/>
        <v>0.16149092251703756</v>
      </c>
      <c r="BA45" s="44">
        <f t="shared" si="17"/>
        <v>0.48203166696317379</v>
      </c>
    </row>
    <row r="46" spans="1:53" ht="15" thickBot="1" x14ac:dyDescent="0.35">
      <c r="A46" s="45">
        <v>42</v>
      </c>
      <c r="B46" s="46" t="str">
        <f t="shared" si="18"/>
        <v>Komerční banka, a.s.</v>
      </c>
      <c r="C46" s="47">
        <f t="shared" si="18"/>
        <v>33668</v>
      </c>
      <c r="D46" s="47">
        <v>40178</v>
      </c>
      <c r="E46" s="48">
        <f t="shared" si="7"/>
        <v>2009</v>
      </c>
      <c r="F46" s="32">
        <f t="shared" si="0"/>
        <v>18.083333333333332</v>
      </c>
      <c r="G46" s="49" t="s">
        <v>34</v>
      </c>
      <c r="H46" s="46" t="s">
        <v>121</v>
      </c>
      <c r="I46" s="50">
        <v>0</v>
      </c>
      <c r="J46" s="51">
        <v>695036000</v>
      </c>
      <c r="K46" s="52">
        <v>7729000</v>
      </c>
      <c r="L46" s="52">
        <v>0</v>
      </c>
      <c r="M46" s="52">
        <v>0</v>
      </c>
      <c r="N46" s="52"/>
      <c r="O46" s="32">
        <f t="shared" si="1"/>
        <v>7729000</v>
      </c>
      <c r="P46" s="84">
        <v>0</v>
      </c>
      <c r="Q46" s="85" t="s">
        <v>109</v>
      </c>
      <c r="R46" s="51">
        <v>0</v>
      </c>
      <c r="S46" s="51">
        <v>68753000</v>
      </c>
      <c r="T46" s="51">
        <v>626283000</v>
      </c>
      <c r="U46" s="51">
        <v>0</v>
      </c>
      <c r="V46" s="51">
        <v>0</v>
      </c>
      <c r="W46" s="52">
        <v>33041000</v>
      </c>
      <c r="X46" s="52">
        <v>0</v>
      </c>
      <c r="Y46" s="32">
        <f t="shared" si="2"/>
        <v>33041000</v>
      </c>
      <c r="Z46" s="51">
        <v>13549000</v>
      </c>
      <c r="AA46" s="51">
        <v>11094000</v>
      </c>
      <c r="AB46" s="51">
        <v>24000</v>
      </c>
      <c r="AC46" s="32">
        <f t="shared" si="3"/>
        <v>33065000</v>
      </c>
      <c r="AD46" s="51">
        <v>8815</v>
      </c>
      <c r="AE46" s="51">
        <v>6</v>
      </c>
      <c r="AF46" s="53"/>
      <c r="AG46" s="52">
        <v>38009852</v>
      </c>
      <c r="AH46" s="52">
        <v>3929</v>
      </c>
      <c r="AI46" s="32">
        <f t="shared" si="4"/>
        <v>149340708508</v>
      </c>
      <c r="AJ46" s="32">
        <f t="shared" si="5"/>
        <v>149340708.50799999</v>
      </c>
      <c r="AK46" s="47">
        <f t="shared" si="19"/>
        <v>37235</v>
      </c>
      <c r="AL46" s="32">
        <f t="shared" si="6"/>
        <v>8.1750000000000007</v>
      </c>
      <c r="AM46" s="55">
        <f t="shared" si="8"/>
        <v>1.1120287294471077E-2</v>
      </c>
      <c r="AN46" s="41" t="s">
        <v>99</v>
      </c>
      <c r="AO46" s="41" t="s">
        <v>99</v>
      </c>
      <c r="AP46" s="41" t="s">
        <v>99</v>
      </c>
      <c r="AQ46" s="57" t="s">
        <v>99</v>
      </c>
      <c r="AR46" s="43">
        <f t="shared" si="9"/>
        <v>1.9493954269994649E-2</v>
      </c>
      <c r="AS46" s="43">
        <f t="shared" si="10"/>
        <v>0.19706776431573894</v>
      </c>
      <c r="AT46" s="43">
        <f t="shared" si="11"/>
        <v>0.40976863753213366</v>
      </c>
      <c r="AU46" s="55">
        <f t="shared" si="12"/>
        <v>0</v>
      </c>
      <c r="AV46" s="58">
        <f t="shared" si="13"/>
        <v>0.90107994406045155</v>
      </c>
      <c r="AW46" s="58">
        <f t="shared" si="14"/>
        <v>1.1159475315062817</v>
      </c>
      <c r="AX46" s="58">
        <f t="shared" si="15"/>
        <v>2.1721337033729435</v>
      </c>
      <c r="AZ46" s="43">
        <f t="shared" si="16"/>
        <v>0.21486758744583012</v>
      </c>
      <c r="BA46" s="44">
        <f t="shared" si="17"/>
        <v>0.40976863753213366</v>
      </c>
    </row>
    <row r="47" spans="1:53" ht="15" thickBot="1" x14ac:dyDescent="0.35">
      <c r="A47" s="45">
        <v>43</v>
      </c>
      <c r="B47" s="46" t="str">
        <f t="shared" si="18"/>
        <v>Komerční banka, a.s.</v>
      </c>
      <c r="C47" s="47">
        <f t="shared" si="18"/>
        <v>33668</v>
      </c>
      <c r="D47" s="47">
        <v>40543</v>
      </c>
      <c r="E47" s="48">
        <f t="shared" si="7"/>
        <v>2010</v>
      </c>
      <c r="F47" s="32">
        <f t="shared" si="0"/>
        <v>19.097222222222221</v>
      </c>
      <c r="G47" s="49" t="s">
        <v>34</v>
      </c>
      <c r="H47" s="46" t="s">
        <v>121</v>
      </c>
      <c r="I47" s="50">
        <v>0</v>
      </c>
      <c r="J47" s="51">
        <v>698014000</v>
      </c>
      <c r="K47" s="52">
        <v>7072000</v>
      </c>
      <c r="L47" s="52">
        <v>0</v>
      </c>
      <c r="M47" s="52">
        <v>0</v>
      </c>
      <c r="N47" s="52"/>
      <c r="O47" s="32">
        <f t="shared" si="1"/>
        <v>7072000</v>
      </c>
      <c r="P47" s="84">
        <v>0</v>
      </c>
      <c r="Q47" s="85" t="s">
        <v>109</v>
      </c>
      <c r="R47" s="51">
        <v>0</v>
      </c>
      <c r="S47" s="51">
        <v>76078000</v>
      </c>
      <c r="T47" s="51">
        <v>621936000</v>
      </c>
      <c r="U47" s="51">
        <v>0</v>
      </c>
      <c r="V47" s="51">
        <v>0</v>
      </c>
      <c r="W47" s="52">
        <v>32662000</v>
      </c>
      <c r="X47" s="52">
        <v>0</v>
      </c>
      <c r="Y47" s="32">
        <f t="shared" si="2"/>
        <v>32662000</v>
      </c>
      <c r="Z47" s="51">
        <v>16075000</v>
      </c>
      <c r="AA47" s="51">
        <v>13410000</v>
      </c>
      <c r="AB47" s="51">
        <v>75000</v>
      </c>
      <c r="AC47" s="32">
        <f t="shared" si="3"/>
        <v>32737000</v>
      </c>
      <c r="AD47" s="51">
        <v>8619</v>
      </c>
      <c r="AE47" s="51">
        <v>7</v>
      </c>
      <c r="AF47" s="53"/>
      <c r="AG47" s="52">
        <v>38009852</v>
      </c>
      <c r="AH47" s="52">
        <v>4435</v>
      </c>
      <c r="AI47" s="32">
        <f t="shared" si="4"/>
        <v>168573693620</v>
      </c>
      <c r="AJ47" s="32">
        <f t="shared" si="5"/>
        <v>168573693.62</v>
      </c>
      <c r="AK47" s="47">
        <f t="shared" si="19"/>
        <v>37235</v>
      </c>
      <c r="AL47" s="32">
        <f t="shared" si="6"/>
        <v>9.1888888888888882</v>
      </c>
      <c r="AM47" s="55">
        <f t="shared" si="8"/>
        <v>1.0131601944946663E-2</v>
      </c>
      <c r="AN47" s="41" t="s">
        <v>99</v>
      </c>
      <c r="AO47" s="41" t="s">
        <v>99</v>
      </c>
      <c r="AP47" s="41" t="s">
        <v>99</v>
      </c>
      <c r="AQ47" s="57" t="s">
        <v>99</v>
      </c>
      <c r="AR47" s="43">
        <f t="shared" si="9"/>
        <v>2.3029624047655205E-2</v>
      </c>
      <c r="AS47" s="43">
        <f t="shared" si="10"/>
        <v>0.21129630116459422</v>
      </c>
      <c r="AT47" s="43">
        <f t="shared" si="11"/>
        <v>0.49103460915783365</v>
      </c>
      <c r="AU47" s="55">
        <f t="shared" si="12"/>
        <v>0</v>
      </c>
      <c r="AV47" s="58">
        <f t="shared" si="13"/>
        <v>0.89100791674665547</v>
      </c>
      <c r="AW47" s="58">
        <f t="shared" si="14"/>
        <v>1.1325126625253934</v>
      </c>
      <c r="AX47" s="58">
        <f t="shared" si="15"/>
        <v>2.2158008047004389</v>
      </c>
      <c r="AZ47" s="43">
        <f t="shared" si="16"/>
        <v>0.24150474577873796</v>
      </c>
      <c r="BA47" s="44">
        <f t="shared" si="17"/>
        <v>0.49103460915783365</v>
      </c>
    </row>
    <row r="48" spans="1:53" ht="15" thickBot="1" x14ac:dyDescent="0.35">
      <c r="A48" s="45">
        <v>44</v>
      </c>
      <c r="B48" s="46" t="str">
        <f t="shared" si="18"/>
        <v>Komerční banka, a.s.</v>
      </c>
      <c r="C48" s="47">
        <f t="shared" si="18"/>
        <v>33668</v>
      </c>
      <c r="D48" s="47">
        <v>40908</v>
      </c>
      <c r="E48" s="48">
        <f t="shared" si="7"/>
        <v>2011</v>
      </c>
      <c r="F48" s="32">
        <f t="shared" si="0"/>
        <v>20.111111111111111</v>
      </c>
      <c r="G48" s="49" t="s">
        <v>34</v>
      </c>
      <c r="H48" s="46" t="s">
        <v>121</v>
      </c>
      <c r="I48" s="50">
        <v>0</v>
      </c>
      <c r="J48" s="51">
        <v>754810000</v>
      </c>
      <c r="K48" s="52">
        <v>6934000</v>
      </c>
      <c r="L48" s="52">
        <v>0</v>
      </c>
      <c r="M48" s="52">
        <v>0</v>
      </c>
      <c r="N48" s="52"/>
      <c r="O48" s="32">
        <f t="shared" si="1"/>
        <v>6934000</v>
      </c>
      <c r="P48" s="84">
        <v>0</v>
      </c>
      <c r="Q48" s="85" t="s">
        <v>109</v>
      </c>
      <c r="R48" s="51">
        <v>0</v>
      </c>
      <c r="S48" s="51">
        <v>81850000</v>
      </c>
      <c r="T48" s="51">
        <v>672960000</v>
      </c>
      <c r="U48" s="51">
        <v>0</v>
      </c>
      <c r="V48" s="51">
        <v>0</v>
      </c>
      <c r="W48" s="52">
        <v>32764000</v>
      </c>
      <c r="X48" s="52">
        <v>0</v>
      </c>
      <c r="Y48" s="32">
        <f t="shared" si="2"/>
        <v>32764000</v>
      </c>
      <c r="Z48" s="51">
        <v>11456000</v>
      </c>
      <c r="AA48" s="51">
        <v>9718000</v>
      </c>
      <c r="AB48" s="51">
        <v>81000</v>
      </c>
      <c r="AC48" s="32">
        <f t="shared" si="3"/>
        <v>32845000</v>
      </c>
      <c r="AD48" s="51">
        <v>8774</v>
      </c>
      <c r="AE48" s="51">
        <v>6</v>
      </c>
      <c r="AF48" s="53"/>
      <c r="AG48" s="52">
        <v>38009852</v>
      </c>
      <c r="AH48" s="52">
        <v>3330</v>
      </c>
      <c r="AI48" s="32">
        <f t="shared" si="4"/>
        <v>126572807160</v>
      </c>
      <c r="AJ48" s="32">
        <f t="shared" si="5"/>
        <v>126572807.16</v>
      </c>
      <c r="AK48" s="47">
        <f>++AK47</f>
        <v>37235</v>
      </c>
      <c r="AL48" s="32">
        <f t="shared" si="6"/>
        <v>10.202777777777778</v>
      </c>
      <c r="AM48" s="55">
        <f t="shared" si="8"/>
        <v>9.1864177740093537E-3</v>
      </c>
      <c r="AN48" s="41" t="s">
        <v>99</v>
      </c>
      <c r="AO48" s="41" t="s">
        <v>99</v>
      </c>
      <c r="AP48" s="41" t="s">
        <v>99</v>
      </c>
      <c r="AQ48" s="57" t="s">
        <v>99</v>
      </c>
      <c r="AR48" s="43">
        <f t="shared" si="9"/>
        <v>1.5177329394152171E-2</v>
      </c>
      <c r="AS48" s="43">
        <f t="shared" si="10"/>
        <v>0.13996334758704948</v>
      </c>
      <c r="AT48" s="43">
        <f t="shared" si="11"/>
        <v>0.34878977013244022</v>
      </c>
      <c r="AU48" s="55">
        <f t="shared" si="12"/>
        <v>0</v>
      </c>
      <c r="AV48" s="58">
        <f t="shared" si="13"/>
        <v>0.89156211496933002</v>
      </c>
      <c r="AW48" s="58">
        <f t="shared" si="14"/>
        <v>1.0592504168731203</v>
      </c>
      <c r="AX48" s="58">
        <f t="shared" si="15"/>
        <v>1.5463995987782528</v>
      </c>
      <c r="AZ48" s="43">
        <f t="shared" si="16"/>
        <v>0.16768830190379036</v>
      </c>
      <c r="BA48" s="44">
        <f t="shared" si="17"/>
        <v>0.34878977013244022</v>
      </c>
    </row>
    <row r="49" spans="1:53" ht="15" thickBot="1" x14ac:dyDescent="0.35">
      <c r="A49" s="45">
        <v>45</v>
      </c>
      <c r="B49" s="46" t="str">
        <f t="shared" si="18"/>
        <v>Komerční banka, a.s.</v>
      </c>
      <c r="C49" s="47">
        <f t="shared" si="18"/>
        <v>33668</v>
      </c>
      <c r="D49" s="47">
        <v>41274</v>
      </c>
      <c r="E49" s="48">
        <f t="shared" si="7"/>
        <v>2012</v>
      </c>
      <c r="F49" s="32">
        <f t="shared" si="0"/>
        <v>21.127777777777776</v>
      </c>
      <c r="G49" s="49" t="s">
        <v>34</v>
      </c>
      <c r="H49" s="46" t="s">
        <v>121</v>
      </c>
      <c r="I49" s="50">
        <v>0</v>
      </c>
      <c r="J49" s="73">
        <v>786836000</v>
      </c>
      <c r="K49" s="52">
        <v>7994000</v>
      </c>
      <c r="L49" s="52">
        <v>0</v>
      </c>
      <c r="M49" s="52">
        <v>0</v>
      </c>
      <c r="N49" s="52"/>
      <c r="O49" s="32">
        <f t="shared" si="1"/>
        <v>7994000</v>
      </c>
      <c r="P49" s="84">
        <v>0</v>
      </c>
      <c r="Q49" s="85" t="s">
        <v>109</v>
      </c>
      <c r="R49" s="51">
        <v>0</v>
      </c>
      <c r="S49" s="51">
        <v>100577000</v>
      </c>
      <c r="T49" s="51">
        <v>686259000</v>
      </c>
      <c r="U49" s="51">
        <v>0</v>
      </c>
      <c r="V49" s="51">
        <v>0</v>
      </c>
      <c r="W49" s="52">
        <v>32689000</v>
      </c>
      <c r="X49" s="52">
        <v>0</v>
      </c>
      <c r="Y49" s="32">
        <f t="shared" si="2"/>
        <v>32689000</v>
      </c>
      <c r="Z49" s="51">
        <v>16939000</v>
      </c>
      <c r="AA49" s="51">
        <v>14231000</v>
      </c>
      <c r="AB49" s="51">
        <v>121000</v>
      </c>
      <c r="AC49" s="32">
        <f t="shared" si="3"/>
        <v>32810000</v>
      </c>
      <c r="AD49" s="51">
        <v>8758</v>
      </c>
      <c r="AE49" s="51">
        <v>8</v>
      </c>
      <c r="AF49" s="53"/>
      <c r="AG49" s="52">
        <v>38009852</v>
      </c>
      <c r="AH49" s="52">
        <v>4010</v>
      </c>
      <c r="AI49" s="32">
        <f t="shared" si="4"/>
        <v>152419506520</v>
      </c>
      <c r="AJ49" s="32">
        <f t="shared" si="5"/>
        <v>152419506.52000001</v>
      </c>
      <c r="AK49" s="47">
        <f t="shared" ref="AK49:AK56" si="20">+AK48</f>
        <v>37235</v>
      </c>
      <c r="AL49" s="32">
        <f t="shared" si="6"/>
        <v>11.219444444444445</v>
      </c>
      <c r="AM49" s="55">
        <f t="shared" si="8"/>
        <v>1.015967749314978E-2</v>
      </c>
      <c r="AN49" s="41" t="s">
        <v>99</v>
      </c>
      <c r="AO49" s="41" t="s">
        <v>99</v>
      </c>
      <c r="AP49" s="41" t="s">
        <v>99</v>
      </c>
      <c r="AQ49" s="57" t="s">
        <v>99</v>
      </c>
      <c r="AR49" s="43">
        <f t="shared" si="9"/>
        <v>2.1527993126903192E-2</v>
      </c>
      <c r="AS49" s="43">
        <f t="shared" si="10"/>
        <v>0.16841822683118407</v>
      </c>
      <c r="AT49" s="43">
        <f t="shared" si="11"/>
        <v>0.51627552575434321</v>
      </c>
      <c r="AU49" s="55">
        <f t="shared" si="12"/>
        <v>0</v>
      </c>
      <c r="AV49" s="58">
        <f t="shared" si="13"/>
        <v>0.872175396143542</v>
      </c>
      <c r="AW49" s="58">
        <f t="shared" si="14"/>
        <v>1.0658873088165768</v>
      </c>
      <c r="AX49" s="58">
        <f t="shared" si="15"/>
        <v>1.5154509134295118</v>
      </c>
      <c r="AZ49" s="43">
        <f t="shared" si="16"/>
        <v>0.19371191267303481</v>
      </c>
      <c r="BA49" s="44">
        <f t="shared" si="17"/>
        <v>0.51627552575434321</v>
      </c>
    </row>
    <row r="50" spans="1:53" ht="15" thickBot="1" x14ac:dyDescent="0.35">
      <c r="A50" s="45">
        <v>46</v>
      </c>
      <c r="B50" s="46" t="str">
        <f t="shared" si="18"/>
        <v>Komerční banka, a.s.</v>
      </c>
      <c r="C50" s="47">
        <f t="shared" si="18"/>
        <v>33668</v>
      </c>
      <c r="D50" s="47">
        <v>41639</v>
      </c>
      <c r="E50" s="48">
        <f t="shared" si="7"/>
        <v>2013</v>
      </c>
      <c r="F50" s="32">
        <f t="shared" si="0"/>
        <v>22.141666666666666</v>
      </c>
      <c r="G50" s="49" t="s">
        <v>34</v>
      </c>
      <c r="H50" s="46" t="s">
        <v>121</v>
      </c>
      <c r="I50" s="50">
        <v>0</v>
      </c>
      <c r="J50" s="51">
        <v>863980000</v>
      </c>
      <c r="K50" s="52">
        <v>7872000</v>
      </c>
      <c r="L50" s="52">
        <v>0</v>
      </c>
      <c r="M50" s="52">
        <v>0</v>
      </c>
      <c r="N50" s="52"/>
      <c r="O50" s="32">
        <f t="shared" si="1"/>
        <v>7872000</v>
      </c>
      <c r="P50" s="84">
        <v>0</v>
      </c>
      <c r="Q50" s="85" t="s">
        <v>109</v>
      </c>
      <c r="R50" s="51">
        <v>0</v>
      </c>
      <c r="S50" s="51">
        <v>96538000</v>
      </c>
      <c r="T50" s="51">
        <v>767442000</v>
      </c>
      <c r="U50" s="51">
        <v>0</v>
      </c>
      <c r="V50" s="51">
        <v>0</v>
      </c>
      <c r="W50" s="52">
        <v>30894000</v>
      </c>
      <c r="X50" s="52">
        <v>0</v>
      </c>
      <c r="Y50" s="32">
        <f t="shared" si="2"/>
        <v>30894000</v>
      </c>
      <c r="Z50" s="51">
        <v>15731000</v>
      </c>
      <c r="AA50" s="51">
        <v>12906000</v>
      </c>
      <c r="AB50" s="51">
        <v>208000</v>
      </c>
      <c r="AC50" s="32">
        <f t="shared" si="3"/>
        <v>31102000</v>
      </c>
      <c r="AD50" s="51">
        <v>8604</v>
      </c>
      <c r="AE50" s="51">
        <v>6</v>
      </c>
      <c r="AF50" s="53"/>
      <c r="AG50" s="52">
        <v>38009852</v>
      </c>
      <c r="AH50" s="52">
        <v>4421</v>
      </c>
      <c r="AI50" s="32">
        <f t="shared" si="4"/>
        <v>168041555692</v>
      </c>
      <c r="AJ50" s="32">
        <f t="shared" si="5"/>
        <v>168041555.692</v>
      </c>
      <c r="AK50" s="47">
        <f t="shared" si="20"/>
        <v>37235</v>
      </c>
      <c r="AL50" s="32">
        <f t="shared" si="6"/>
        <v>12.233333333333333</v>
      </c>
      <c r="AM50" s="55">
        <f t="shared" si="8"/>
        <v>9.1113220213430868E-3</v>
      </c>
      <c r="AN50" s="41" t="s">
        <v>99</v>
      </c>
      <c r="AO50" s="41" t="s">
        <v>99</v>
      </c>
      <c r="AP50" s="41" t="s">
        <v>99</v>
      </c>
      <c r="AQ50" s="57" t="s">
        <v>99</v>
      </c>
      <c r="AR50" s="43">
        <f t="shared" si="9"/>
        <v>1.8207597398087919E-2</v>
      </c>
      <c r="AS50" s="43">
        <f t="shared" si="10"/>
        <v>0.16295137665996809</v>
      </c>
      <c r="AT50" s="43">
        <f t="shared" si="11"/>
        <v>0.50578740916982834</v>
      </c>
      <c r="AU50" s="55">
        <f t="shared" si="12"/>
        <v>0</v>
      </c>
      <c r="AV50" s="58">
        <f t="shared" si="13"/>
        <v>0.88826361721336144</v>
      </c>
      <c r="AW50" s="58">
        <f t="shared" si="14"/>
        <v>1.0827606607699252</v>
      </c>
      <c r="AX50" s="58">
        <f t="shared" si="15"/>
        <v>1.7406778231577202</v>
      </c>
      <c r="AZ50" s="43">
        <f t="shared" si="16"/>
        <v>0.1944970435565638</v>
      </c>
      <c r="BA50" s="44">
        <f t="shared" si="17"/>
        <v>0.50578740916982834</v>
      </c>
    </row>
    <row r="51" spans="1:53" ht="15" thickBot="1" x14ac:dyDescent="0.35">
      <c r="A51" s="45">
        <v>47</v>
      </c>
      <c r="B51" s="46" t="str">
        <f t="shared" si="18"/>
        <v>Komerční banka, a.s.</v>
      </c>
      <c r="C51" s="47">
        <f t="shared" si="18"/>
        <v>33668</v>
      </c>
      <c r="D51" s="47">
        <v>42004</v>
      </c>
      <c r="E51" s="48">
        <f t="shared" si="7"/>
        <v>2014</v>
      </c>
      <c r="F51" s="32">
        <f t="shared" si="0"/>
        <v>23.155555555555555</v>
      </c>
      <c r="G51" s="49" t="s">
        <v>34</v>
      </c>
      <c r="H51" s="46" t="s">
        <v>121</v>
      </c>
      <c r="I51" s="50">
        <v>0</v>
      </c>
      <c r="J51" s="51">
        <v>953261000</v>
      </c>
      <c r="K51" s="52">
        <v>7666000</v>
      </c>
      <c r="L51" s="52">
        <v>0</v>
      </c>
      <c r="M51" s="52">
        <v>0</v>
      </c>
      <c r="N51" s="52"/>
      <c r="O51" s="32">
        <f t="shared" si="1"/>
        <v>7666000</v>
      </c>
      <c r="P51" s="84">
        <v>0</v>
      </c>
      <c r="Q51" s="85" t="s">
        <v>109</v>
      </c>
      <c r="R51" s="51">
        <v>0</v>
      </c>
      <c r="S51" s="51">
        <v>109494000</v>
      </c>
      <c r="T51" s="51">
        <v>843767000</v>
      </c>
      <c r="U51" s="51">
        <v>0</v>
      </c>
      <c r="V51" s="51">
        <v>0</v>
      </c>
      <c r="W51" s="52">
        <v>30677000</v>
      </c>
      <c r="X51" s="52">
        <v>0</v>
      </c>
      <c r="Y51" s="32">
        <f t="shared" si="2"/>
        <v>30677000</v>
      </c>
      <c r="Z51" s="51">
        <v>16030000</v>
      </c>
      <c r="AA51" s="51">
        <v>13361000</v>
      </c>
      <c r="AB51" s="51">
        <v>191000</v>
      </c>
      <c r="AC51" s="32">
        <f t="shared" si="3"/>
        <v>30868000</v>
      </c>
      <c r="AD51" s="51">
        <v>8520</v>
      </c>
      <c r="AE51" s="51">
        <v>6</v>
      </c>
      <c r="AF51" s="53"/>
      <c r="AG51" s="52">
        <v>38009852</v>
      </c>
      <c r="AH51" s="52">
        <v>4740</v>
      </c>
      <c r="AI51" s="32">
        <f t="shared" si="4"/>
        <v>180166698480</v>
      </c>
      <c r="AJ51" s="32">
        <f t="shared" si="5"/>
        <v>180166698.47999999</v>
      </c>
      <c r="AK51" s="47">
        <f t="shared" si="20"/>
        <v>37235</v>
      </c>
      <c r="AL51" s="32">
        <f t="shared" si="6"/>
        <v>13.247222222222222</v>
      </c>
      <c r="AM51" s="55">
        <f t="shared" si="8"/>
        <v>8.0418689110327603E-3</v>
      </c>
      <c r="AN51" s="41" t="s">
        <v>99</v>
      </c>
      <c r="AO51" s="41" t="s">
        <v>99</v>
      </c>
      <c r="AP51" s="41" t="s">
        <v>99</v>
      </c>
      <c r="AQ51" s="57" t="s">
        <v>99</v>
      </c>
      <c r="AR51" s="43">
        <f t="shared" si="9"/>
        <v>1.6815961211042937E-2</v>
      </c>
      <c r="AS51" s="43">
        <f t="shared" si="10"/>
        <v>0.14640071602096918</v>
      </c>
      <c r="AT51" s="43">
        <f t="shared" si="11"/>
        <v>0.51930802125178177</v>
      </c>
      <c r="AU51" s="55">
        <f t="shared" si="12"/>
        <v>0</v>
      </c>
      <c r="AV51" s="58">
        <f t="shared" si="13"/>
        <v>0.88513743874972328</v>
      </c>
      <c r="AW51" s="58">
        <f t="shared" si="14"/>
        <v>1.0741378263455654</v>
      </c>
      <c r="AX51" s="58">
        <f t="shared" si="15"/>
        <v>1.6454481385281385</v>
      </c>
      <c r="AZ51" s="43">
        <f t="shared" si="16"/>
        <v>0.18900038759584206</v>
      </c>
      <c r="BA51" s="44">
        <f t="shared" si="17"/>
        <v>0.51930802125178177</v>
      </c>
    </row>
    <row r="52" spans="1:53" ht="15" thickBot="1" x14ac:dyDescent="0.35">
      <c r="A52" s="45">
        <v>48</v>
      </c>
      <c r="B52" s="46" t="str">
        <f t="shared" si="18"/>
        <v>Komerční banka, a.s.</v>
      </c>
      <c r="C52" s="47">
        <f t="shared" si="18"/>
        <v>33668</v>
      </c>
      <c r="D52" s="47">
        <v>42369</v>
      </c>
      <c r="E52" s="48">
        <f t="shared" si="7"/>
        <v>2015</v>
      </c>
      <c r="F52" s="32">
        <f t="shared" si="0"/>
        <v>24.169444444444444</v>
      </c>
      <c r="G52" s="49" t="s">
        <v>34</v>
      </c>
      <c r="H52" s="46" t="s">
        <v>121</v>
      </c>
      <c r="I52" s="50">
        <v>0</v>
      </c>
      <c r="J52" s="51">
        <v>891556000</v>
      </c>
      <c r="K52" s="52">
        <v>6844000</v>
      </c>
      <c r="L52" s="52">
        <v>0</v>
      </c>
      <c r="M52" s="52">
        <v>0</v>
      </c>
      <c r="N52" s="52"/>
      <c r="O52" s="32">
        <f t="shared" si="1"/>
        <v>6844000</v>
      </c>
      <c r="P52" s="84">
        <v>0</v>
      </c>
      <c r="Q52" s="85" t="s">
        <v>109</v>
      </c>
      <c r="R52" s="51">
        <v>0</v>
      </c>
      <c r="S52" s="51">
        <v>106229000</v>
      </c>
      <c r="T52" s="51">
        <v>785327000</v>
      </c>
      <c r="U52" s="51">
        <v>0</v>
      </c>
      <c r="V52" s="51">
        <v>0</v>
      </c>
      <c r="W52" s="52">
        <v>30131000</v>
      </c>
      <c r="X52" s="52">
        <v>0</v>
      </c>
      <c r="Y52" s="32">
        <f t="shared" si="2"/>
        <v>30131000</v>
      </c>
      <c r="Z52" s="51">
        <v>15770000</v>
      </c>
      <c r="AA52" s="51">
        <v>13132000</v>
      </c>
      <c r="AB52" s="51">
        <v>153000</v>
      </c>
      <c r="AC52" s="32">
        <f t="shared" si="3"/>
        <v>30284000</v>
      </c>
      <c r="AD52" s="51">
        <v>8426</v>
      </c>
      <c r="AE52" s="51">
        <v>7</v>
      </c>
      <c r="AF52" s="53"/>
      <c r="AG52" s="52">
        <v>38009852</v>
      </c>
      <c r="AH52" s="52">
        <v>4950</v>
      </c>
      <c r="AI52" s="32">
        <f t="shared" si="4"/>
        <v>188148767400</v>
      </c>
      <c r="AJ52" s="32">
        <f t="shared" si="5"/>
        <v>188148767.40000001</v>
      </c>
      <c r="AK52" s="47">
        <f t="shared" si="20"/>
        <v>37235</v>
      </c>
      <c r="AL52" s="32">
        <f t="shared" si="6"/>
        <v>14.261111111111111</v>
      </c>
      <c r="AM52" s="55">
        <f t="shared" si="8"/>
        <v>7.6764667614821732E-3</v>
      </c>
      <c r="AN52" s="41" t="s">
        <v>99</v>
      </c>
      <c r="AO52" s="41" t="s">
        <v>99</v>
      </c>
      <c r="AP52" s="41" t="s">
        <v>99</v>
      </c>
      <c r="AQ52" s="57" t="s">
        <v>99</v>
      </c>
      <c r="AR52" s="43">
        <f t="shared" si="9"/>
        <v>1.7688176626033586E-2</v>
      </c>
      <c r="AS52" s="43">
        <f t="shared" si="10"/>
        <v>0.14845287068502952</v>
      </c>
      <c r="AT52" s="43">
        <f t="shared" si="11"/>
        <v>0.52073702285035006</v>
      </c>
      <c r="AU52" s="55">
        <f t="shared" si="12"/>
        <v>0</v>
      </c>
      <c r="AV52" s="58">
        <f t="shared" si="13"/>
        <v>0.8808498849202967</v>
      </c>
      <c r="AW52" s="58">
        <f t="shared" si="14"/>
        <v>1.0918840402621932</v>
      </c>
      <c r="AX52" s="58">
        <f t="shared" si="15"/>
        <v>1.7711619934292897</v>
      </c>
      <c r="AZ52" s="43">
        <f t="shared" si="16"/>
        <v>0.21103415534189665</v>
      </c>
      <c r="BA52" s="44">
        <f t="shared" si="17"/>
        <v>0.52073702285035006</v>
      </c>
    </row>
    <row r="53" spans="1:53" ht="15" thickBot="1" x14ac:dyDescent="0.35">
      <c r="A53" s="45">
        <v>49</v>
      </c>
      <c r="B53" s="46" t="str">
        <f t="shared" si="18"/>
        <v>Komerční banka, a.s.</v>
      </c>
      <c r="C53" s="47">
        <f t="shared" si="18"/>
        <v>33668</v>
      </c>
      <c r="D53" s="47">
        <v>42735</v>
      </c>
      <c r="E53" s="48">
        <f t="shared" si="7"/>
        <v>2016</v>
      </c>
      <c r="F53" s="32">
        <f t="shared" si="0"/>
        <v>25.18611111111111</v>
      </c>
      <c r="G53" s="49" t="s">
        <v>34</v>
      </c>
      <c r="H53" s="46" t="s">
        <v>121</v>
      </c>
      <c r="I53" s="50">
        <v>0</v>
      </c>
      <c r="J53" s="51">
        <v>922737000</v>
      </c>
      <c r="K53" s="52">
        <v>6666000</v>
      </c>
      <c r="L53" s="52">
        <v>0</v>
      </c>
      <c r="M53" s="52">
        <v>0</v>
      </c>
      <c r="N53" s="52"/>
      <c r="O53" s="32">
        <f t="shared" si="1"/>
        <v>6666000</v>
      </c>
      <c r="P53" s="84">
        <v>0</v>
      </c>
      <c r="Q53" s="85" t="s">
        <v>109</v>
      </c>
      <c r="R53" s="51">
        <v>0</v>
      </c>
      <c r="S53" s="51">
        <v>105401000</v>
      </c>
      <c r="T53" s="51">
        <v>817336000</v>
      </c>
      <c r="U53" s="51">
        <v>0</v>
      </c>
      <c r="V53" s="51">
        <v>0</v>
      </c>
      <c r="W53" s="52">
        <v>31750000</v>
      </c>
      <c r="X53" s="52">
        <v>0</v>
      </c>
      <c r="Y53" s="32">
        <f t="shared" si="2"/>
        <v>31750000</v>
      </c>
      <c r="Z53" s="51">
        <v>16873000</v>
      </c>
      <c r="AA53" s="51">
        <v>14074000</v>
      </c>
      <c r="AB53" s="51">
        <v>203000</v>
      </c>
      <c r="AC53" s="32">
        <f t="shared" si="3"/>
        <v>31953000</v>
      </c>
      <c r="AD53" s="51">
        <v>8476</v>
      </c>
      <c r="AE53" s="51">
        <v>12</v>
      </c>
      <c r="AF53" s="53"/>
      <c r="AG53" s="52">
        <v>190049260</v>
      </c>
      <c r="AH53" s="52">
        <v>885</v>
      </c>
      <c r="AI53" s="32">
        <f t="shared" si="4"/>
        <v>168193595100</v>
      </c>
      <c r="AJ53" s="32">
        <f t="shared" si="5"/>
        <v>168193595.09999999</v>
      </c>
      <c r="AK53" s="47">
        <f t="shared" si="20"/>
        <v>37235</v>
      </c>
      <c r="AL53" s="32">
        <f t="shared" si="6"/>
        <v>15.277777777777779</v>
      </c>
      <c r="AM53" s="55">
        <f t="shared" si="8"/>
        <v>7.2241602970293814E-3</v>
      </c>
      <c r="AN53" s="41" t="s">
        <v>99</v>
      </c>
      <c r="AO53" s="41" t="s">
        <v>99</v>
      </c>
      <c r="AP53" s="41" t="s">
        <v>99</v>
      </c>
      <c r="AQ53" s="57" t="s">
        <v>99</v>
      </c>
      <c r="AR53" s="43">
        <f t="shared" si="9"/>
        <v>1.828581708547506E-2</v>
      </c>
      <c r="AS53" s="43">
        <f t="shared" si="10"/>
        <v>0.16008387017200976</v>
      </c>
      <c r="AT53" s="43">
        <f t="shared" si="11"/>
        <v>0.52805683347416521</v>
      </c>
      <c r="AU53" s="55">
        <f t="shared" si="12"/>
        <v>0</v>
      </c>
      <c r="AV53" s="58">
        <f t="shared" si="13"/>
        <v>0.88577351943186411</v>
      </c>
      <c r="AW53" s="58">
        <f t="shared" si="14"/>
        <v>1.0680503709074201</v>
      </c>
      <c r="AX53" s="58">
        <f t="shared" si="15"/>
        <v>1.5957495194542746</v>
      </c>
      <c r="AZ53" s="43">
        <f t="shared" si="16"/>
        <v>0.18227685147555586</v>
      </c>
      <c r="BA53" s="44">
        <f t="shared" si="17"/>
        <v>0.52805683347416521</v>
      </c>
    </row>
    <row r="54" spans="1:53" ht="15" thickBot="1" x14ac:dyDescent="0.35">
      <c r="A54" s="45">
        <v>50</v>
      </c>
      <c r="B54" s="46" t="str">
        <f t="shared" si="18"/>
        <v>Komerční banka, a.s.</v>
      </c>
      <c r="C54" s="47">
        <f t="shared" si="18"/>
        <v>33668</v>
      </c>
      <c r="D54" s="47">
        <v>43100</v>
      </c>
      <c r="E54" s="48">
        <f t="shared" si="7"/>
        <v>2017</v>
      </c>
      <c r="F54" s="32">
        <f t="shared" si="0"/>
        <v>26.2</v>
      </c>
      <c r="G54" s="49" t="s">
        <v>34</v>
      </c>
      <c r="H54" s="46" t="s">
        <v>121</v>
      </c>
      <c r="I54" s="50">
        <v>0</v>
      </c>
      <c r="J54" s="51">
        <v>1004039000</v>
      </c>
      <c r="K54" s="52">
        <v>7404000</v>
      </c>
      <c r="L54" s="52">
        <v>0</v>
      </c>
      <c r="M54" s="52">
        <v>0</v>
      </c>
      <c r="N54" s="52"/>
      <c r="O54" s="32">
        <f t="shared" si="1"/>
        <v>7404000</v>
      </c>
      <c r="P54" s="84">
        <v>0</v>
      </c>
      <c r="Q54" s="85" t="s">
        <v>109</v>
      </c>
      <c r="R54" s="51">
        <v>0</v>
      </c>
      <c r="S54" s="51">
        <v>100346000</v>
      </c>
      <c r="T54" s="51">
        <v>903693000</v>
      </c>
      <c r="U54" s="51">
        <v>0</v>
      </c>
      <c r="V54" s="51">
        <v>0</v>
      </c>
      <c r="W54" s="52">
        <v>31060000</v>
      </c>
      <c r="X54" s="52">
        <v>0</v>
      </c>
      <c r="Y54" s="32">
        <f t="shared" si="2"/>
        <v>31060000</v>
      </c>
      <c r="Z54" s="51">
        <v>18286000</v>
      </c>
      <c r="AA54" s="51">
        <v>15274000</v>
      </c>
      <c r="AB54" s="51">
        <v>216000</v>
      </c>
      <c r="AC54" s="32">
        <f t="shared" si="3"/>
        <v>31276000</v>
      </c>
      <c r="AD54" s="51">
        <v>8492</v>
      </c>
      <c r="AE54" s="51">
        <v>13</v>
      </c>
      <c r="AF54" s="53"/>
      <c r="AG54" s="52">
        <v>190049260</v>
      </c>
      <c r="AH54" s="52">
        <v>915</v>
      </c>
      <c r="AI54" s="32">
        <f t="shared" si="4"/>
        <v>173895072900</v>
      </c>
      <c r="AJ54" s="32">
        <f t="shared" si="5"/>
        <v>173895072.90000001</v>
      </c>
      <c r="AK54" s="47">
        <f t="shared" si="20"/>
        <v>37235</v>
      </c>
      <c r="AL54" s="32">
        <f t="shared" si="6"/>
        <v>16.291666666666668</v>
      </c>
      <c r="AM54" s="55">
        <f t="shared" si="8"/>
        <v>7.3742155434201265E-3</v>
      </c>
      <c r="AN54" s="41" t="s">
        <v>99</v>
      </c>
      <c r="AO54" s="41" t="s">
        <v>99</v>
      </c>
      <c r="AP54" s="41" t="s">
        <v>99</v>
      </c>
      <c r="AQ54" s="57" t="s">
        <v>99</v>
      </c>
      <c r="AR54" s="43">
        <f t="shared" si="9"/>
        <v>1.8212439955021666E-2</v>
      </c>
      <c r="AS54" s="43">
        <f t="shared" si="10"/>
        <v>0.18222948597851435</v>
      </c>
      <c r="AT54" s="43">
        <f t="shared" si="11"/>
        <v>0.58466555825553135</v>
      </c>
      <c r="AU54" s="55">
        <f t="shared" si="12"/>
        <v>0</v>
      </c>
      <c r="AV54" s="58">
        <f t="shared" si="13"/>
        <v>0.90005766708265311</v>
      </c>
      <c r="AW54" s="58">
        <f t="shared" si="14"/>
        <v>1.0732532032122259</v>
      </c>
      <c r="AX54" s="58">
        <f t="shared" si="15"/>
        <v>1.7329547057182151</v>
      </c>
      <c r="AZ54" s="43">
        <f t="shared" si="16"/>
        <v>0.17319553612957267</v>
      </c>
      <c r="BA54" s="44">
        <f t="shared" si="17"/>
        <v>0.58466555825553135</v>
      </c>
    </row>
    <row r="55" spans="1:53" ht="15" thickBot="1" x14ac:dyDescent="0.35">
      <c r="A55" s="45">
        <v>51</v>
      </c>
      <c r="B55" s="46" t="str">
        <f t="shared" si="18"/>
        <v>Komerční banka, a.s.</v>
      </c>
      <c r="C55" s="47">
        <f t="shared" si="18"/>
        <v>33668</v>
      </c>
      <c r="D55" s="47">
        <v>43465</v>
      </c>
      <c r="E55" s="48">
        <f t="shared" si="7"/>
        <v>2018</v>
      </c>
      <c r="F55" s="32">
        <f t="shared" si="0"/>
        <v>27.213888888888889</v>
      </c>
      <c r="G55" s="49" t="s">
        <v>34</v>
      </c>
      <c r="H55" s="46" t="s">
        <v>121</v>
      </c>
      <c r="I55" s="50">
        <v>0</v>
      </c>
      <c r="J55" s="51">
        <v>1059932000</v>
      </c>
      <c r="K55" s="52">
        <v>7676000</v>
      </c>
      <c r="L55" s="52">
        <v>0</v>
      </c>
      <c r="M55" s="52">
        <v>0</v>
      </c>
      <c r="N55" s="52"/>
      <c r="O55" s="32">
        <f t="shared" si="1"/>
        <v>7676000</v>
      </c>
      <c r="P55" s="84">
        <v>0</v>
      </c>
      <c r="Q55" s="85" t="s">
        <v>109</v>
      </c>
      <c r="R55" s="51">
        <v>0</v>
      </c>
      <c r="S55" s="51">
        <v>103329000</v>
      </c>
      <c r="T55" s="51">
        <v>956603000</v>
      </c>
      <c r="U55" s="51">
        <v>0</v>
      </c>
      <c r="V55" s="51">
        <v>0</v>
      </c>
      <c r="W55" s="52">
        <v>32203000</v>
      </c>
      <c r="X55" s="52">
        <v>0</v>
      </c>
      <c r="Y55" s="32">
        <f t="shared" si="2"/>
        <v>32203000</v>
      </c>
      <c r="Z55" s="51">
        <v>18519000</v>
      </c>
      <c r="AA55" s="51">
        <v>15171000</v>
      </c>
      <c r="AB55" s="51">
        <v>238000</v>
      </c>
      <c r="AC55" s="32">
        <f t="shared" si="3"/>
        <v>32441000</v>
      </c>
      <c r="AD55" s="51">
        <v>8413</v>
      </c>
      <c r="AE55" s="51">
        <v>13</v>
      </c>
      <c r="AF55" s="53"/>
      <c r="AG55" s="52">
        <v>190049260</v>
      </c>
      <c r="AH55" s="52">
        <v>847</v>
      </c>
      <c r="AI55" s="32">
        <f t="shared" si="4"/>
        <v>160971723220</v>
      </c>
      <c r="AJ55" s="32">
        <f t="shared" si="5"/>
        <v>160971723.22</v>
      </c>
      <c r="AK55" s="47">
        <f t="shared" si="20"/>
        <v>37235</v>
      </c>
      <c r="AL55" s="32">
        <f t="shared" si="6"/>
        <v>17.305555555555557</v>
      </c>
      <c r="AM55" s="55">
        <f t="shared" si="8"/>
        <v>7.2419740134272766E-3</v>
      </c>
      <c r="AN55" s="41" t="s">
        <v>99</v>
      </c>
      <c r="AO55" s="41" t="s">
        <v>99</v>
      </c>
      <c r="AP55" s="41" t="s">
        <v>99</v>
      </c>
      <c r="AQ55" s="57" t="s">
        <v>99</v>
      </c>
      <c r="AR55" s="43">
        <f t="shared" si="9"/>
        <v>1.7471875554280841E-2</v>
      </c>
      <c r="AS55" s="43">
        <f t="shared" si="10"/>
        <v>0.17922364486252648</v>
      </c>
      <c r="AT55" s="43">
        <f t="shared" si="11"/>
        <v>0.57085170000924756</v>
      </c>
      <c r="AU55" s="55">
        <f t="shared" si="12"/>
        <v>0</v>
      </c>
      <c r="AV55" s="58">
        <f t="shared" si="13"/>
        <v>0.90251355747349826</v>
      </c>
      <c r="AW55" s="58">
        <f t="shared" si="14"/>
        <v>1.0543834163134993</v>
      </c>
      <c r="AX55" s="58">
        <f t="shared" si="15"/>
        <v>1.5578561993244877</v>
      </c>
      <c r="AZ55" s="43">
        <f t="shared" si="16"/>
        <v>0.15186985884000107</v>
      </c>
      <c r="BA55" s="44">
        <f t="shared" si="17"/>
        <v>0.57085170000924756</v>
      </c>
    </row>
    <row r="56" spans="1:53" ht="15" thickBot="1" x14ac:dyDescent="0.35">
      <c r="A56" s="59">
        <v>52</v>
      </c>
      <c r="B56" s="60" t="str">
        <f t="shared" ref="B56:C56" si="21">+B55</f>
        <v>Komerční banka, a.s.</v>
      </c>
      <c r="C56" s="62">
        <f t="shared" si="21"/>
        <v>33668</v>
      </c>
      <c r="D56" s="62">
        <v>43830</v>
      </c>
      <c r="E56" s="63">
        <f t="shared" si="7"/>
        <v>2019</v>
      </c>
      <c r="F56" s="64">
        <f t="shared" si="0"/>
        <v>28.227777777777778</v>
      </c>
      <c r="G56" s="65" t="s">
        <v>34</v>
      </c>
      <c r="H56" s="46" t="s">
        <v>121</v>
      </c>
      <c r="I56" s="66">
        <v>0</v>
      </c>
      <c r="J56" s="67">
        <v>1077334000</v>
      </c>
      <c r="K56" s="68">
        <v>10528000</v>
      </c>
      <c r="L56" s="68">
        <v>0</v>
      </c>
      <c r="M56" s="68">
        <v>0</v>
      </c>
      <c r="N56" s="68"/>
      <c r="O56" s="64">
        <f t="shared" si="1"/>
        <v>10528000</v>
      </c>
      <c r="P56" s="67">
        <v>2780000</v>
      </c>
      <c r="Q56" s="69" t="s">
        <v>108</v>
      </c>
      <c r="R56" s="67">
        <v>2780000</v>
      </c>
      <c r="S56" s="67">
        <v>108635000</v>
      </c>
      <c r="T56" s="67">
        <v>968699000</v>
      </c>
      <c r="U56" s="67">
        <v>2724000</v>
      </c>
      <c r="V56" s="67">
        <v>2724000</v>
      </c>
      <c r="W56" s="68">
        <v>32573000</v>
      </c>
      <c r="X56" s="68">
        <v>0</v>
      </c>
      <c r="Y56" s="64">
        <f t="shared" si="2"/>
        <v>32573000</v>
      </c>
      <c r="Z56" s="67">
        <v>18591000</v>
      </c>
      <c r="AA56" s="67">
        <v>15172000</v>
      </c>
      <c r="AB56" s="67">
        <v>306000</v>
      </c>
      <c r="AC56" s="64">
        <f t="shared" si="3"/>
        <v>32879000</v>
      </c>
      <c r="AD56" s="67">
        <v>8167</v>
      </c>
      <c r="AE56" s="67">
        <v>12</v>
      </c>
      <c r="AF56" s="70"/>
      <c r="AG56" s="68">
        <v>190049260</v>
      </c>
      <c r="AH56" s="68">
        <v>829.5</v>
      </c>
      <c r="AI56" s="64">
        <f t="shared" si="4"/>
        <v>157645861170</v>
      </c>
      <c r="AJ56" s="64">
        <f t="shared" si="5"/>
        <v>157645861.16999999</v>
      </c>
      <c r="AK56" s="62">
        <f t="shared" si="20"/>
        <v>37235</v>
      </c>
      <c r="AL56" s="64">
        <f t="shared" si="6"/>
        <v>18.319444444444443</v>
      </c>
      <c r="AM56" s="71">
        <f t="shared" si="8"/>
        <v>9.7722711805252587E-3</v>
      </c>
      <c r="AN56" s="41" t="s">
        <v>99</v>
      </c>
      <c r="AO56" s="41" t="s">
        <v>99</v>
      </c>
      <c r="AP56" s="41" t="s">
        <v>99</v>
      </c>
      <c r="AQ56" s="57" t="s">
        <v>99</v>
      </c>
      <c r="AR56" s="43">
        <f t="shared" si="9"/>
        <v>1.7256486846233387E-2</v>
      </c>
      <c r="AS56" s="43">
        <f t="shared" si="10"/>
        <v>0.17113269204215953</v>
      </c>
      <c r="AT56" s="43">
        <f t="shared" si="11"/>
        <v>0.56543690501535937</v>
      </c>
      <c r="AU56" s="71">
        <f t="shared" si="12"/>
        <v>0.26405775075987842</v>
      </c>
      <c r="AV56" s="72">
        <f t="shared" si="13"/>
        <v>0.8991631193297529</v>
      </c>
      <c r="AW56" s="72">
        <f t="shared" si="14"/>
        <v>1.0454927266474465</v>
      </c>
      <c r="AX56" s="72">
        <f t="shared" si="15"/>
        <v>1.4511516653932894</v>
      </c>
      <c r="AZ56" s="43">
        <f t="shared" si="16"/>
        <v>0.14632960731769348</v>
      </c>
      <c r="BA56" s="44">
        <f t="shared" si="17"/>
        <v>0.56543690501535937</v>
      </c>
    </row>
    <row r="57" spans="1:53" ht="15" thickBot="1" x14ac:dyDescent="0.35">
      <c r="A57" s="86">
        <v>53</v>
      </c>
      <c r="B57" s="87" t="s">
        <v>35</v>
      </c>
      <c r="C57" s="79">
        <v>39448</v>
      </c>
      <c r="D57" s="79">
        <v>42735</v>
      </c>
      <c r="E57" s="88">
        <f t="shared" si="7"/>
        <v>2016</v>
      </c>
      <c r="F57" s="89">
        <f t="shared" si="0"/>
        <v>9.1305555555555564</v>
      </c>
      <c r="G57" s="90" t="s">
        <v>36</v>
      </c>
      <c r="H57" s="46" t="s">
        <v>122</v>
      </c>
      <c r="I57" s="91">
        <v>0</v>
      </c>
      <c r="J57" s="92">
        <v>2354117.5</v>
      </c>
      <c r="K57" s="93">
        <v>1998858.54</v>
      </c>
      <c r="L57" s="93">
        <v>0</v>
      </c>
      <c r="M57" s="93">
        <v>0</v>
      </c>
      <c r="N57" s="93"/>
      <c r="O57" s="89">
        <f t="shared" si="1"/>
        <v>1998858.54</v>
      </c>
      <c r="P57" s="92">
        <v>12915.56</v>
      </c>
      <c r="Q57" s="69" t="s">
        <v>108</v>
      </c>
      <c r="R57" s="92">
        <v>0</v>
      </c>
      <c r="S57" s="92">
        <f>24180*AY57</f>
        <v>653343.6</v>
      </c>
      <c r="T57" s="92">
        <f>62945*AY57</f>
        <v>1700773.9</v>
      </c>
      <c r="U57" s="92">
        <v>0</v>
      </c>
      <c r="V57" s="92">
        <v>0</v>
      </c>
      <c r="W57" s="52">
        <v>353664.77999999997</v>
      </c>
      <c r="X57" s="93">
        <v>0</v>
      </c>
      <c r="Y57" s="89">
        <f t="shared" si="2"/>
        <v>353664.77999999997</v>
      </c>
      <c r="Z57" s="92">
        <v>-53931.92</v>
      </c>
      <c r="AA57" s="92">
        <v>-71873.2</v>
      </c>
      <c r="AB57" s="92">
        <v>10105.48</v>
      </c>
      <c r="AC57" s="89">
        <f t="shared" si="3"/>
        <v>363770.25999999995</v>
      </c>
      <c r="AD57" s="92">
        <v>62</v>
      </c>
      <c r="AE57" s="92">
        <v>2</v>
      </c>
      <c r="AF57" s="53"/>
      <c r="AG57" s="93">
        <v>60000000</v>
      </c>
      <c r="AH57" s="93">
        <v>7</v>
      </c>
      <c r="AI57" s="89">
        <f t="shared" si="4"/>
        <v>420000000</v>
      </c>
      <c r="AJ57" s="89">
        <f t="shared" si="5"/>
        <v>420000</v>
      </c>
      <c r="AK57" s="47">
        <v>42660</v>
      </c>
      <c r="AL57" s="89">
        <f t="shared" si="6"/>
        <v>0.20833333333333334</v>
      </c>
      <c r="AM57" s="94">
        <f t="shared" si="8"/>
        <v>0.84909038737446196</v>
      </c>
      <c r="AN57" s="41" t="s">
        <v>99</v>
      </c>
      <c r="AO57" s="41" t="s">
        <v>99</v>
      </c>
      <c r="AP57" s="95" t="s">
        <v>100</v>
      </c>
      <c r="AQ57" s="96" t="s">
        <v>100</v>
      </c>
      <c r="AR57" s="43">
        <f t="shared" si="9"/>
        <v>-2.290961262553802E-2</v>
      </c>
      <c r="AS57" s="43">
        <f t="shared" si="10"/>
        <v>-8.2547559966914805E-2</v>
      </c>
      <c r="AT57" s="43">
        <f t="shared" si="11"/>
        <v>-0.14825818911089655</v>
      </c>
      <c r="AU57" s="94">
        <f t="shared" si="12"/>
        <v>6.4614677534909496E-3</v>
      </c>
      <c r="AV57" s="97">
        <f t="shared" si="13"/>
        <v>0.72246771879483496</v>
      </c>
      <c r="AW57" s="97">
        <f t="shared" si="14"/>
        <v>0.90087852454263639</v>
      </c>
      <c r="AX57" s="97">
        <f t="shared" si="15"/>
        <v>0.64284704097507039</v>
      </c>
      <c r="AY57">
        <v>27.02</v>
      </c>
      <c r="AZ57" s="43">
        <f t="shared" si="16"/>
        <v>0.17841080574780147</v>
      </c>
      <c r="BA57" s="44">
        <f t="shared" si="17"/>
        <v>-0.14825818911089655</v>
      </c>
    </row>
    <row r="58" spans="1:53" ht="15" thickBot="1" x14ac:dyDescent="0.35">
      <c r="A58" s="45">
        <v>54</v>
      </c>
      <c r="B58" s="46" t="str">
        <f t="shared" ref="B58:C60" si="22">+B57</f>
        <v>Photon Energy N.V.</v>
      </c>
      <c r="C58" s="47">
        <f t="shared" si="22"/>
        <v>39448</v>
      </c>
      <c r="D58" s="47">
        <v>43100</v>
      </c>
      <c r="E58" s="48">
        <f t="shared" si="7"/>
        <v>2017</v>
      </c>
      <c r="F58" s="32">
        <f t="shared" si="0"/>
        <v>10.144444444444444</v>
      </c>
      <c r="G58" s="49" t="s">
        <v>36</v>
      </c>
      <c r="H58" s="46" t="s">
        <v>122</v>
      </c>
      <c r="I58" s="50">
        <v>0</v>
      </c>
      <c r="J58" s="51">
        <v>2290733.6799999997</v>
      </c>
      <c r="K58" s="52">
        <v>1857830.68</v>
      </c>
      <c r="L58" s="52">
        <v>0</v>
      </c>
      <c r="M58" s="52">
        <v>0</v>
      </c>
      <c r="N58" s="52"/>
      <c r="O58" s="32">
        <f t="shared" si="1"/>
        <v>1857830.68</v>
      </c>
      <c r="P58" s="51">
        <v>16064.66</v>
      </c>
      <c r="Q58" s="69" t="s">
        <v>108</v>
      </c>
      <c r="R58" s="51">
        <v>0</v>
      </c>
      <c r="S58" s="51">
        <f>25982*AY58</f>
        <v>663580.28</v>
      </c>
      <c r="T58" s="51">
        <f>63709*AY58</f>
        <v>1627127.8599999999</v>
      </c>
      <c r="U58" s="51">
        <v>0</v>
      </c>
      <c r="V58" s="51">
        <v>0</v>
      </c>
      <c r="W58" s="52">
        <v>439773.26</v>
      </c>
      <c r="X58" s="52">
        <v>0</v>
      </c>
      <c r="Y58" s="32">
        <f t="shared" si="2"/>
        <v>439773.26</v>
      </c>
      <c r="Z58" s="51">
        <v>8836.84</v>
      </c>
      <c r="AA58" s="51">
        <v>-20610.78</v>
      </c>
      <c r="AB58" s="51">
        <v>13204.18</v>
      </c>
      <c r="AC58" s="32">
        <f t="shared" si="3"/>
        <v>452977.44</v>
      </c>
      <c r="AD58" s="51">
        <v>74</v>
      </c>
      <c r="AE58" s="51">
        <v>2</v>
      </c>
      <c r="AF58" s="53"/>
      <c r="AG58" s="52">
        <v>60000000</v>
      </c>
      <c r="AH58" s="52">
        <v>9.25</v>
      </c>
      <c r="AI58" s="32">
        <f t="shared" si="4"/>
        <v>555000000</v>
      </c>
      <c r="AJ58" s="32">
        <f t="shared" si="5"/>
        <v>555000</v>
      </c>
      <c r="AK58" s="47">
        <f>+AK57</f>
        <v>42660</v>
      </c>
      <c r="AL58" s="32">
        <f t="shared" si="6"/>
        <v>1.2222222222222223</v>
      </c>
      <c r="AM58" s="55">
        <f t="shared" si="8"/>
        <v>0.81101993488828439</v>
      </c>
      <c r="AN58" s="41" t="s">
        <v>99</v>
      </c>
      <c r="AO58" s="41" t="s">
        <v>99</v>
      </c>
      <c r="AP58" s="95" t="s">
        <v>100</v>
      </c>
      <c r="AQ58" s="96" t="s">
        <v>100</v>
      </c>
      <c r="AR58" s="43">
        <f t="shared" si="9"/>
        <v>3.8576461668822196E-3</v>
      </c>
      <c r="AS58" s="43">
        <f t="shared" si="10"/>
        <v>1.3316911708105611E-2</v>
      </c>
      <c r="AT58" s="43">
        <f t="shared" si="11"/>
        <v>1.9508344609833108E-2</v>
      </c>
      <c r="AU58" s="55">
        <f t="shared" si="12"/>
        <v>8.6469989827060029E-3</v>
      </c>
      <c r="AV58" s="58">
        <f t="shared" si="13"/>
        <v>0.71030861169335058</v>
      </c>
      <c r="AW58" s="58">
        <f t="shared" si="14"/>
        <v>0.95259968823439911</v>
      </c>
      <c r="AX58" s="58">
        <f t="shared" si="15"/>
        <v>0.83637205132135628</v>
      </c>
      <c r="AY58">
        <v>25.54</v>
      </c>
      <c r="AZ58" s="43">
        <f t="shared" si="16"/>
        <v>0.24228045575337245</v>
      </c>
      <c r="BA58" s="44">
        <f t="shared" si="17"/>
        <v>1.9508344609833108E-2</v>
      </c>
    </row>
    <row r="59" spans="1:53" ht="15" thickBot="1" x14ac:dyDescent="0.35">
      <c r="A59" s="45">
        <v>55</v>
      </c>
      <c r="B59" s="46" t="str">
        <f t="shared" si="22"/>
        <v>Photon Energy N.V.</v>
      </c>
      <c r="C59" s="47">
        <f t="shared" si="22"/>
        <v>39448</v>
      </c>
      <c r="D59" s="47">
        <v>43465</v>
      </c>
      <c r="E59" s="48">
        <f t="shared" si="7"/>
        <v>2018</v>
      </c>
      <c r="F59" s="32">
        <f t="shared" si="0"/>
        <v>11.158333333333333</v>
      </c>
      <c r="G59" s="49" t="s">
        <v>36</v>
      </c>
      <c r="H59" s="46" t="s">
        <v>122</v>
      </c>
      <c r="I59" s="50">
        <v>0</v>
      </c>
      <c r="J59" s="51">
        <v>2735802.3000000003</v>
      </c>
      <c r="K59" s="52">
        <v>2039838.1500000001</v>
      </c>
      <c r="L59" s="52">
        <v>0</v>
      </c>
      <c r="M59" s="52">
        <v>0</v>
      </c>
      <c r="N59" s="52"/>
      <c r="O59" s="32">
        <f t="shared" si="1"/>
        <v>2039838.1500000001</v>
      </c>
      <c r="P59" s="84">
        <v>22355.025000000001</v>
      </c>
      <c r="Q59" s="69" t="s">
        <v>108</v>
      </c>
      <c r="R59" s="51">
        <v>0</v>
      </c>
      <c r="S59" s="51">
        <f>29779*AY59</f>
        <v>766064.77500000002</v>
      </c>
      <c r="T59" s="51">
        <f>76569*AY59</f>
        <v>1969737.5250000001</v>
      </c>
      <c r="U59" s="51">
        <v>0</v>
      </c>
      <c r="V59" s="51">
        <v>0</v>
      </c>
      <c r="W59" s="52">
        <v>521085.60000000003</v>
      </c>
      <c r="X59" s="52">
        <v>0</v>
      </c>
      <c r="Y59" s="32">
        <f t="shared" si="2"/>
        <v>521085.60000000003</v>
      </c>
      <c r="Z59" s="51">
        <v>47334</v>
      </c>
      <c r="AA59" s="51">
        <v>13119.75</v>
      </c>
      <c r="AB59" s="51">
        <v>10084.200000000001</v>
      </c>
      <c r="AC59" s="32">
        <f t="shared" si="3"/>
        <v>531169.80000000005</v>
      </c>
      <c r="AD59" s="51">
        <v>92</v>
      </c>
      <c r="AE59" s="51">
        <v>2</v>
      </c>
      <c r="AF59" s="53"/>
      <c r="AG59" s="52">
        <v>60000000</v>
      </c>
      <c r="AH59" s="52">
        <v>8.6999999999999993</v>
      </c>
      <c r="AI59" s="32">
        <f t="shared" si="4"/>
        <v>521999999.99999994</v>
      </c>
      <c r="AJ59" s="32">
        <f t="shared" si="5"/>
        <v>521999.99999999994</v>
      </c>
      <c r="AK59" s="47">
        <f>+AK58</f>
        <v>42660</v>
      </c>
      <c r="AL59" s="32">
        <f t="shared" si="6"/>
        <v>2.2361111111111112</v>
      </c>
      <c r="AM59" s="55">
        <f t="shared" si="8"/>
        <v>0.74560875615902511</v>
      </c>
      <c r="AN59" s="41" t="s">
        <v>99</v>
      </c>
      <c r="AO59" s="41" t="s">
        <v>99</v>
      </c>
      <c r="AP59" s="95" t="s">
        <v>100</v>
      </c>
      <c r="AQ59" s="96" t="s">
        <v>100</v>
      </c>
      <c r="AR59" s="43">
        <f t="shared" si="9"/>
        <v>1.7301688795275886E-2</v>
      </c>
      <c r="AS59" s="43">
        <f t="shared" si="10"/>
        <v>6.1788508680613856E-2</v>
      </c>
      <c r="AT59" s="43">
        <f t="shared" si="11"/>
        <v>8.911274699728787E-2</v>
      </c>
      <c r="AU59" s="55">
        <f t="shared" si="12"/>
        <v>1.0959215073019396E-2</v>
      </c>
      <c r="AV59" s="58">
        <f t="shared" si="13"/>
        <v>0.7199853311768909</v>
      </c>
      <c r="AW59" s="58">
        <f t="shared" si="14"/>
        <v>0.91078859207041374</v>
      </c>
      <c r="AX59" s="58">
        <f t="shared" si="15"/>
        <v>0.68140451961128212</v>
      </c>
      <c r="AY59">
        <v>25.725000000000001</v>
      </c>
      <c r="AZ59" s="43">
        <f t="shared" si="16"/>
        <v>0.19080326089352287</v>
      </c>
      <c r="BA59" s="44">
        <f t="shared" si="17"/>
        <v>8.911274699728787E-2</v>
      </c>
    </row>
    <row r="60" spans="1:53" ht="15" thickBot="1" x14ac:dyDescent="0.35">
      <c r="A60" s="59">
        <v>56</v>
      </c>
      <c r="B60" s="60" t="str">
        <f t="shared" si="22"/>
        <v>Photon Energy N.V.</v>
      </c>
      <c r="C60" s="62">
        <f t="shared" si="22"/>
        <v>39448</v>
      </c>
      <c r="D60" s="62">
        <v>43830</v>
      </c>
      <c r="E60" s="63">
        <f t="shared" si="7"/>
        <v>2019</v>
      </c>
      <c r="F60" s="64">
        <f t="shared" si="0"/>
        <v>12.172222222222222</v>
      </c>
      <c r="G60" s="65" t="s">
        <v>36</v>
      </c>
      <c r="H60" s="46" t="s">
        <v>122</v>
      </c>
      <c r="I60" s="66">
        <v>0</v>
      </c>
      <c r="J60" s="67">
        <v>3513262.83</v>
      </c>
      <c r="K60" s="68">
        <v>2561251.77</v>
      </c>
      <c r="L60" s="68">
        <v>0</v>
      </c>
      <c r="M60" s="68">
        <v>0</v>
      </c>
      <c r="N60" s="68"/>
      <c r="O60" s="64">
        <f t="shared" si="1"/>
        <v>2561251.77</v>
      </c>
      <c r="P60" s="67">
        <v>20480.46</v>
      </c>
      <c r="Q60" s="69" t="s">
        <v>108</v>
      </c>
      <c r="R60" s="67">
        <v>76585.740000000005</v>
      </c>
      <c r="S60" s="67">
        <f>37843*AY60</f>
        <v>961590.63</v>
      </c>
      <c r="T60" s="67">
        <f>100421*AY60</f>
        <v>2551697.61</v>
      </c>
      <c r="U60" s="67">
        <v>0</v>
      </c>
      <c r="V60" s="67">
        <v>0</v>
      </c>
      <c r="W60" s="68">
        <v>766213.14</v>
      </c>
      <c r="X60" s="68">
        <v>0</v>
      </c>
      <c r="Y60" s="64">
        <f t="shared" si="2"/>
        <v>766213.14</v>
      </c>
      <c r="Z60" s="67">
        <v>25105.08</v>
      </c>
      <c r="AA60" s="67">
        <v>-18447.66</v>
      </c>
      <c r="AB60" s="67">
        <v>5310.69</v>
      </c>
      <c r="AC60" s="64">
        <f t="shared" si="3"/>
        <v>771523.83</v>
      </c>
      <c r="AD60" s="67">
        <v>117</v>
      </c>
      <c r="AE60" s="67">
        <v>2</v>
      </c>
      <c r="AF60" s="70"/>
      <c r="AG60" s="68">
        <v>60000000</v>
      </c>
      <c r="AH60" s="68">
        <v>42</v>
      </c>
      <c r="AI60" s="64">
        <f t="shared" si="4"/>
        <v>2520000000</v>
      </c>
      <c r="AJ60" s="64">
        <f t="shared" si="5"/>
        <v>2520000</v>
      </c>
      <c r="AK60" s="62">
        <f>+AK59</f>
        <v>42660</v>
      </c>
      <c r="AL60" s="64">
        <f t="shared" si="6"/>
        <v>3.25</v>
      </c>
      <c r="AM60" s="71">
        <f t="shared" si="8"/>
        <v>0.72902367227674791</v>
      </c>
      <c r="AN60" s="41" t="s">
        <v>99</v>
      </c>
      <c r="AO60" s="41" t="s">
        <v>99</v>
      </c>
      <c r="AP60" s="95" t="s">
        <v>100</v>
      </c>
      <c r="AQ60" s="96" t="s">
        <v>100</v>
      </c>
      <c r="AR60" s="43">
        <f t="shared" si="9"/>
        <v>7.1458018414181671E-3</v>
      </c>
      <c r="AS60" s="43">
        <f t="shared" si="10"/>
        <v>2.6107866712469945E-2</v>
      </c>
      <c r="AT60" s="43">
        <f t="shared" si="11"/>
        <v>3.2539604123439717E-2</v>
      </c>
      <c r="AU60" s="71">
        <f t="shared" si="12"/>
        <v>7.9962697302499077E-3</v>
      </c>
      <c r="AV60" s="72">
        <f t="shared" si="13"/>
        <v>0.72630421732495309</v>
      </c>
      <c r="AW60" s="72">
        <f t="shared" si="14"/>
        <v>1.4435757226682886</v>
      </c>
      <c r="AX60" s="72">
        <f t="shared" si="15"/>
        <v>2.6206578156860783</v>
      </c>
      <c r="AY60">
        <v>25.41</v>
      </c>
      <c r="AZ60" s="43">
        <f t="shared" si="16"/>
        <v>0.71728194613894003</v>
      </c>
      <c r="BA60" s="44">
        <f t="shared" si="17"/>
        <v>3.2539604123439717E-2</v>
      </c>
    </row>
    <row r="61" spans="1:53" ht="15" thickBot="1" x14ac:dyDescent="0.35">
      <c r="A61" s="45">
        <v>57</v>
      </c>
      <c r="B61" s="46" t="s">
        <v>37</v>
      </c>
      <c r="C61" s="47">
        <v>39448</v>
      </c>
      <c r="D61" s="47">
        <v>41639</v>
      </c>
      <c r="E61" s="48">
        <f t="shared" si="7"/>
        <v>2013</v>
      </c>
      <c r="F61" s="32">
        <f t="shared" si="0"/>
        <v>6.0861111111111112</v>
      </c>
      <c r="G61" s="49" t="s">
        <v>38</v>
      </c>
      <c r="H61" s="46" t="s">
        <v>123</v>
      </c>
      <c r="I61" s="50">
        <v>0</v>
      </c>
      <c r="J61" s="51">
        <v>21178709.425000001</v>
      </c>
      <c r="K61" s="52">
        <v>1822089.575</v>
      </c>
      <c r="L61" s="52">
        <v>0</v>
      </c>
      <c r="M61" s="52">
        <v>0</v>
      </c>
      <c r="N61" s="52"/>
      <c r="O61" s="32">
        <f t="shared" si="1"/>
        <v>1822089.575</v>
      </c>
      <c r="P61" s="84">
        <v>12149.275</v>
      </c>
      <c r="Q61" s="69" t="s">
        <v>108</v>
      </c>
      <c r="R61" s="51">
        <v>0</v>
      </c>
      <c r="S61" s="51">
        <f>320072*AY61</f>
        <v>8777974.5999999996</v>
      </c>
      <c r="T61" s="51">
        <f>452169*AY61</f>
        <v>12400734.825000001</v>
      </c>
      <c r="U61" s="51">
        <v>11792.75</v>
      </c>
      <c r="V61" s="51">
        <v>0</v>
      </c>
      <c r="W61" s="52">
        <v>9339254.6500000004</v>
      </c>
      <c r="X61" s="52">
        <v>0</v>
      </c>
      <c r="Y61" s="32">
        <f t="shared" si="2"/>
        <v>9339254.6500000004</v>
      </c>
      <c r="Z61" s="51">
        <v>-238049</v>
      </c>
      <c r="AA61" s="51">
        <v>199105.5</v>
      </c>
      <c r="AB61" s="51">
        <v>50653.974999999999</v>
      </c>
      <c r="AC61" s="32">
        <f t="shared" si="3"/>
        <v>9389908.625</v>
      </c>
      <c r="AD61" s="51">
        <v>962</v>
      </c>
      <c r="AE61" s="51">
        <v>7</v>
      </c>
      <c r="AF61" s="53"/>
      <c r="AG61" s="52">
        <v>200000000</v>
      </c>
      <c r="AH61" s="52">
        <v>95.5</v>
      </c>
      <c r="AI61" s="32">
        <f t="shared" si="4"/>
        <v>19100000000</v>
      </c>
      <c r="AJ61" s="32">
        <f t="shared" si="5"/>
        <v>19100000</v>
      </c>
      <c r="AK61" s="47">
        <v>41570</v>
      </c>
      <c r="AL61" s="32">
        <f t="shared" si="6"/>
        <v>0.19166666666666668</v>
      </c>
      <c r="AM61" s="55">
        <f t="shared" si="8"/>
        <v>8.6034023057568812E-2</v>
      </c>
      <c r="AN61" s="41" t="s">
        <v>99</v>
      </c>
      <c r="AO61" s="41" t="s">
        <v>99</v>
      </c>
      <c r="AP61" s="41" t="s">
        <v>99</v>
      </c>
      <c r="AQ61" s="57" t="s">
        <v>99</v>
      </c>
      <c r="AR61" s="43">
        <f t="shared" si="9"/>
        <v>-1.1240014451447152E-2</v>
      </c>
      <c r="AS61" s="43">
        <f t="shared" si="10"/>
        <v>-2.7118898247894225E-2</v>
      </c>
      <c r="AT61" s="43">
        <f t="shared" si="11"/>
        <v>-2.5351577902069308E-2</v>
      </c>
      <c r="AU61" s="55">
        <f t="shared" si="12"/>
        <v>6.6677704360390737E-3</v>
      </c>
      <c r="AV61" s="58">
        <f t="shared" si="13"/>
        <v>0.58552835190050778</v>
      </c>
      <c r="AW61" s="58">
        <f t="shared" si="14"/>
        <v>1.4873774502905057</v>
      </c>
      <c r="AX61" s="58">
        <f t="shared" si="15"/>
        <v>2.1759005773381936</v>
      </c>
      <c r="AY61">
        <v>27.425000000000001</v>
      </c>
      <c r="AZ61" s="43">
        <f t="shared" si="16"/>
        <v>0.90184909838999783</v>
      </c>
      <c r="BA61" s="44">
        <f t="shared" si="17"/>
        <v>-2.5351577902069308E-2</v>
      </c>
    </row>
    <row r="62" spans="1:53" ht="15" thickBot="1" x14ac:dyDescent="0.35">
      <c r="A62" s="45">
        <v>58</v>
      </c>
      <c r="B62" s="46" t="str">
        <f t="shared" ref="B62:C67" si="23">+B61</f>
        <v>STOCK SPIRITS GROUP PLC</v>
      </c>
      <c r="C62" s="47">
        <f t="shared" si="23"/>
        <v>39448</v>
      </c>
      <c r="D62" s="47">
        <v>42004</v>
      </c>
      <c r="E62" s="48">
        <f t="shared" si="7"/>
        <v>2014</v>
      </c>
      <c r="F62" s="32">
        <f t="shared" si="0"/>
        <v>7.1</v>
      </c>
      <c r="G62" s="49" t="s">
        <v>38</v>
      </c>
      <c r="H62" s="46" t="s">
        <v>123</v>
      </c>
      <c r="I62" s="50">
        <v>0</v>
      </c>
      <c r="J62" s="51">
        <v>20207976.199999999</v>
      </c>
      <c r="K62" s="52">
        <v>1723164.2000000002</v>
      </c>
      <c r="L62" s="52">
        <v>0</v>
      </c>
      <c r="M62" s="52">
        <v>0</v>
      </c>
      <c r="N62" s="52"/>
      <c r="O62" s="32">
        <f t="shared" si="1"/>
        <v>1723164.2000000002</v>
      </c>
      <c r="P62" s="84">
        <v>16191.400000000001</v>
      </c>
      <c r="Q62" s="69" t="s">
        <v>108</v>
      </c>
      <c r="R62" s="51">
        <v>0</v>
      </c>
      <c r="S62" s="51">
        <f>343504*AY62</f>
        <v>9523648.4000000004</v>
      </c>
      <c r="T62" s="51">
        <f>385368*AY62</f>
        <v>10684327.800000001</v>
      </c>
      <c r="U62" s="51">
        <v>15914.150000000001</v>
      </c>
      <c r="V62" s="51">
        <v>0</v>
      </c>
      <c r="W62" s="52">
        <v>8114553</v>
      </c>
      <c r="X62" s="52">
        <v>0</v>
      </c>
      <c r="Y62" s="32">
        <f t="shared" si="2"/>
        <v>8114553</v>
      </c>
      <c r="Z62" s="51">
        <v>1359578.55</v>
      </c>
      <c r="AA62" s="51">
        <v>748769.07500000007</v>
      </c>
      <c r="AB62" s="51">
        <v>213870.65000000002</v>
      </c>
      <c r="AC62" s="32">
        <f t="shared" si="3"/>
        <v>8328423.6500000004</v>
      </c>
      <c r="AD62" s="51">
        <v>923</v>
      </c>
      <c r="AE62" s="51">
        <v>7</v>
      </c>
      <c r="AF62" s="53"/>
      <c r="AG62" s="52">
        <v>200000000</v>
      </c>
      <c r="AH62" s="52">
        <v>83.2</v>
      </c>
      <c r="AI62" s="32">
        <f t="shared" si="4"/>
        <v>16640000000</v>
      </c>
      <c r="AJ62" s="32">
        <f t="shared" si="5"/>
        <v>16640000</v>
      </c>
      <c r="AK62" s="47">
        <f t="shared" ref="AK62:AK67" si="24">+AK61</f>
        <v>41570</v>
      </c>
      <c r="AL62" s="32">
        <f t="shared" si="6"/>
        <v>1.2055555555555555</v>
      </c>
      <c r="AM62" s="55">
        <f t="shared" si="8"/>
        <v>8.527148799789265E-2</v>
      </c>
      <c r="AN62" s="41" t="s">
        <v>99</v>
      </c>
      <c r="AO62" s="41" t="s">
        <v>99</v>
      </c>
      <c r="AP62" s="41" t="s">
        <v>99</v>
      </c>
      <c r="AQ62" s="57" t="s">
        <v>99</v>
      </c>
      <c r="AR62" s="43">
        <f t="shared" si="9"/>
        <v>6.7279302813113964E-2</v>
      </c>
      <c r="AS62" s="43">
        <f t="shared" si="10"/>
        <v>0.14275816293260049</v>
      </c>
      <c r="AT62" s="43">
        <f t="shared" si="11"/>
        <v>0.16324560410660666</v>
      </c>
      <c r="AU62" s="55">
        <f t="shared" si="12"/>
        <v>9.3963187025357196E-3</v>
      </c>
      <c r="AV62" s="58">
        <f t="shared" si="13"/>
        <v>0.52871834835197407</v>
      </c>
      <c r="AW62" s="58">
        <f t="shared" si="14"/>
        <v>1.3521555810225072</v>
      </c>
      <c r="AX62" s="58">
        <f t="shared" si="15"/>
        <v>1.7472295596296898</v>
      </c>
      <c r="AY62">
        <v>27.725000000000001</v>
      </c>
      <c r="AZ62" s="43">
        <f t="shared" si="16"/>
        <v>0.82343723267053337</v>
      </c>
      <c r="BA62" s="44">
        <f t="shared" si="17"/>
        <v>0.16324560410660666</v>
      </c>
    </row>
    <row r="63" spans="1:53" ht="15" thickBot="1" x14ac:dyDescent="0.35">
      <c r="A63" s="45">
        <v>59</v>
      </c>
      <c r="B63" s="46" t="str">
        <f t="shared" si="23"/>
        <v>STOCK SPIRITS GROUP PLC</v>
      </c>
      <c r="C63" s="47">
        <f t="shared" si="23"/>
        <v>39448</v>
      </c>
      <c r="D63" s="47">
        <v>42369</v>
      </c>
      <c r="E63" s="48">
        <f t="shared" si="7"/>
        <v>2015</v>
      </c>
      <c r="F63" s="32">
        <f t="shared" si="0"/>
        <v>8.1138888888888889</v>
      </c>
      <c r="G63" s="49" t="s">
        <v>38</v>
      </c>
      <c r="H63" s="46" t="s">
        <v>123</v>
      </c>
      <c r="I63" s="50">
        <v>0</v>
      </c>
      <c r="J63" s="51">
        <v>18365081.974999998</v>
      </c>
      <c r="K63" s="52">
        <v>1610771.075</v>
      </c>
      <c r="L63" s="52">
        <v>0</v>
      </c>
      <c r="M63" s="52">
        <v>0</v>
      </c>
      <c r="N63" s="52"/>
      <c r="O63" s="32">
        <f t="shared" si="1"/>
        <v>1610771.075</v>
      </c>
      <c r="P63" s="84">
        <v>13431.424999999999</v>
      </c>
      <c r="Q63" s="69" t="s">
        <v>108</v>
      </c>
      <c r="R63" s="51">
        <v>0</v>
      </c>
      <c r="S63" s="51">
        <f>364862*AY63</f>
        <v>9860395.5499999989</v>
      </c>
      <c r="T63" s="51">
        <f>314697*AY63</f>
        <v>8504686.4249999989</v>
      </c>
      <c r="U63" s="51">
        <v>12755.8</v>
      </c>
      <c r="V63" s="51">
        <v>0</v>
      </c>
      <c r="W63" s="52">
        <v>7098089.2249999996</v>
      </c>
      <c r="X63" s="52">
        <v>0</v>
      </c>
      <c r="Y63" s="32">
        <f t="shared" si="2"/>
        <v>7098089.2249999996</v>
      </c>
      <c r="Z63" s="51">
        <v>850017.32499999995</v>
      </c>
      <c r="AA63" s="51">
        <v>764564.27499999991</v>
      </c>
      <c r="AB63" s="51">
        <v>64508.674999999996</v>
      </c>
      <c r="AC63" s="32">
        <f t="shared" si="3"/>
        <v>7162597.8999999994</v>
      </c>
      <c r="AD63" s="51">
        <v>875</v>
      </c>
      <c r="AE63" s="51">
        <v>7</v>
      </c>
      <c r="AF63" s="53"/>
      <c r="AG63" s="52">
        <v>200000000</v>
      </c>
      <c r="AH63" s="52">
        <v>79.7</v>
      </c>
      <c r="AI63" s="32">
        <f t="shared" si="4"/>
        <v>15940000000</v>
      </c>
      <c r="AJ63" s="32">
        <f t="shared" si="5"/>
        <v>15940000</v>
      </c>
      <c r="AK63" s="47">
        <f t="shared" si="24"/>
        <v>41570</v>
      </c>
      <c r="AL63" s="32">
        <f t="shared" si="6"/>
        <v>2.2194444444444446</v>
      </c>
      <c r="AM63" s="55">
        <f t="shared" si="8"/>
        <v>8.7708352034186879E-2</v>
      </c>
      <c r="AN63" s="41" t="s">
        <v>99</v>
      </c>
      <c r="AO63" s="41" t="s">
        <v>99</v>
      </c>
      <c r="AP63" s="41" t="s">
        <v>99</v>
      </c>
      <c r="AQ63" s="57" t="s">
        <v>99</v>
      </c>
      <c r="AR63" s="43">
        <f t="shared" si="9"/>
        <v>4.6284428577945409E-2</v>
      </c>
      <c r="AS63" s="43">
        <f t="shared" si="10"/>
        <v>8.6205195388941572E-2</v>
      </c>
      <c r="AT63" s="43">
        <f t="shared" si="11"/>
        <v>0.11867444422644471</v>
      </c>
      <c r="AU63" s="55">
        <f t="shared" si="12"/>
        <v>8.338506451017566E-3</v>
      </c>
      <c r="AV63" s="58">
        <f t="shared" si="13"/>
        <v>0.46309003338930099</v>
      </c>
      <c r="AW63" s="58">
        <f t="shared" si="14"/>
        <v>1.3310415090047536</v>
      </c>
      <c r="AX63" s="58">
        <f t="shared" si="15"/>
        <v>1.6165680087752667</v>
      </c>
      <c r="AY63">
        <v>27.024999999999999</v>
      </c>
      <c r="AZ63" s="43">
        <f t="shared" si="16"/>
        <v>0.86795147561545272</v>
      </c>
      <c r="BA63" s="44">
        <f t="shared" si="17"/>
        <v>0.11867444422644471</v>
      </c>
    </row>
    <row r="64" spans="1:53" ht="15" thickBot="1" x14ac:dyDescent="0.35">
      <c r="A64" s="45">
        <v>60</v>
      </c>
      <c r="B64" s="46" t="str">
        <f t="shared" si="23"/>
        <v>STOCK SPIRITS GROUP PLC</v>
      </c>
      <c r="C64" s="47">
        <f t="shared" si="23"/>
        <v>39448</v>
      </c>
      <c r="D64" s="47">
        <v>42735</v>
      </c>
      <c r="E64" s="48">
        <f t="shared" si="7"/>
        <v>2016</v>
      </c>
      <c r="F64" s="32">
        <f t="shared" si="0"/>
        <v>9.1305555555555564</v>
      </c>
      <c r="G64" s="49" t="s">
        <v>38</v>
      </c>
      <c r="H64" s="46" t="s">
        <v>123</v>
      </c>
      <c r="I64" s="50">
        <f>+I63</f>
        <v>0</v>
      </c>
      <c r="J64" s="51">
        <v>18022529.140000001</v>
      </c>
      <c r="K64" s="52">
        <v>1505149.0999999999</v>
      </c>
      <c r="L64" s="52">
        <v>0</v>
      </c>
      <c r="M64" s="52">
        <v>0</v>
      </c>
      <c r="N64" s="52"/>
      <c r="O64" s="32">
        <f t="shared" si="1"/>
        <v>1505149.0999999999</v>
      </c>
      <c r="P64" s="84">
        <v>7754.74</v>
      </c>
      <c r="Q64" s="69" t="s">
        <v>108</v>
      </c>
      <c r="R64" s="51">
        <v>0</v>
      </c>
      <c r="S64" s="51">
        <f>348579*AY64</f>
        <v>9418604.5800000001</v>
      </c>
      <c r="T64" s="51">
        <f>318428*AY64</f>
        <v>8603924.5600000005</v>
      </c>
      <c r="U64" s="51">
        <v>6241.62</v>
      </c>
      <c r="V64" s="51">
        <v>0</v>
      </c>
      <c r="W64" s="52">
        <v>7046653.8799999999</v>
      </c>
      <c r="X64" s="52">
        <v>0</v>
      </c>
      <c r="Y64" s="32">
        <f t="shared" si="2"/>
        <v>7046653.8799999999</v>
      </c>
      <c r="Z64" s="51">
        <v>1058400.42</v>
      </c>
      <c r="AA64" s="51">
        <v>558395.31999999995</v>
      </c>
      <c r="AB64" s="51">
        <v>46015.06</v>
      </c>
      <c r="AC64" s="32">
        <f t="shared" si="3"/>
        <v>7092668.9399999995</v>
      </c>
      <c r="AD64" s="51">
        <v>876</v>
      </c>
      <c r="AE64" s="51">
        <v>9</v>
      </c>
      <c r="AF64" s="53">
        <v>66036.88</v>
      </c>
      <c r="AG64" s="52">
        <v>200000000</v>
      </c>
      <c r="AH64" s="52">
        <v>50.85</v>
      </c>
      <c r="AI64" s="32">
        <f t="shared" si="4"/>
        <v>10170000000</v>
      </c>
      <c r="AJ64" s="32">
        <f t="shared" si="5"/>
        <v>10170000</v>
      </c>
      <c r="AK64" s="47">
        <f t="shared" si="24"/>
        <v>41570</v>
      </c>
      <c r="AL64" s="32">
        <f t="shared" si="6"/>
        <v>3.2361111111111112</v>
      </c>
      <c r="AM64" s="55">
        <f t="shared" si="8"/>
        <v>8.3514865661080004E-2</v>
      </c>
      <c r="AN64" s="41" t="s">
        <v>99</v>
      </c>
      <c r="AO64" s="41" t="s">
        <v>99</v>
      </c>
      <c r="AP64" s="41" t="s">
        <v>99</v>
      </c>
      <c r="AQ64" s="57" t="s">
        <v>99</v>
      </c>
      <c r="AR64" s="43">
        <f t="shared" si="9"/>
        <v>5.8726520111483084E-2</v>
      </c>
      <c r="AS64" s="43">
        <f t="shared" si="10"/>
        <v>0.11237337877496922</v>
      </c>
      <c r="AT64" s="43">
        <f t="shared" si="11"/>
        <v>0.14922456256642933</v>
      </c>
      <c r="AU64" s="55">
        <f t="shared" si="12"/>
        <v>5.1521407414056196E-3</v>
      </c>
      <c r="AV64" s="58">
        <f t="shared" si="13"/>
        <v>0.47739828817388724</v>
      </c>
      <c r="AW64" s="58">
        <f t="shared" si="14"/>
        <v>1.0416920074959026</v>
      </c>
      <c r="AX64" s="58">
        <f t="shared" si="15"/>
        <v>1.0797777859360989</v>
      </c>
      <c r="AY64">
        <v>27.02</v>
      </c>
      <c r="AZ64" s="43">
        <f t="shared" si="16"/>
        <v>0.56429371932201522</v>
      </c>
      <c r="BA64" s="44">
        <f t="shared" si="17"/>
        <v>0.14922456256642933</v>
      </c>
    </row>
    <row r="65" spans="1:53" ht="15" thickBot="1" x14ac:dyDescent="0.35">
      <c r="A65" s="45">
        <v>61</v>
      </c>
      <c r="B65" s="46" t="str">
        <f t="shared" si="23"/>
        <v>STOCK SPIRITS GROUP PLC</v>
      </c>
      <c r="C65" s="47">
        <f t="shared" si="23"/>
        <v>39448</v>
      </c>
      <c r="D65" s="47">
        <v>43100</v>
      </c>
      <c r="E65" s="48">
        <f t="shared" si="7"/>
        <v>2017</v>
      </c>
      <c r="F65" s="32">
        <f t="shared" si="0"/>
        <v>10.144444444444444</v>
      </c>
      <c r="G65" s="49" t="s">
        <v>38</v>
      </c>
      <c r="H65" s="46" t="s">
        <v>123</v>
      </c>
      <c r="I65" s="50">
        <f>+I64</f>
        <v>0</v>
      </c>
      <c r="J65" s="51">
        <v>17431688.5</v>
      </c>
      <c r="K65" s="52">
        <v>1299245.3399999999</v>
      </c>
      <c r="L65" s="52">
        <v>0</v>
      </c>
      <c r="M65" s="52">
        <v>0</v>
      </c>
      <c r="N65" s="52"/>
      <c r="O65" s="32">
        <f t="shared" si="1"/>
        <v>1299245.3399999999</v>
      </c>
      <c r="P65" s="84">
        <v>4903.68</v>
      </c>
      <c r="Q65" s="69" t="s">
        <v>108</v>
      </c>
      <c r="R65" s="51">
        <v>0</v>
      </c>
      <c r="S65" s="51">
        <f>354309*AY65</f>
        <v>9049051.8599999994</v>
      </c>
      <c r="T65" s="51">
        <f>328516*AY65</f>
        <v>8390298.6400000006</v>
      </c>
      <c r="U65" s="51">
        <v>4188.5599999999995</v>
      </c>
      <c r="V65" s="51">
        <v>0</v>
      </c>
      <c r="W65" s="52">
        <v>7013309.54</v>
      </c>
      <c r="X65" s="52">
        <v>0</v>
      </c>
      <c r="Y65" s="32">
        <f t="shared" si="2"/>
        <v>7013309.54</v>
      </c>
      <c r="Z65" s="51">
        <v>697471.86</v>
      </c>
      <c r="AA65" s="51">
        <v>501452.36</v>
      </c>
      <c r="AB65" s="51">
        <v>17392.739999999998</v>
      </c>
      <c r="AC65" s="32">
        <f t="shared" si="3"/>
        <v>7030702.2800000003</v>
      </c>
      <c r="AD65" s="51">
        <v>980</v>
      </c>
      <c r="AE65" s="51">
        <v>9</v>
      </c>
      <c r="AF65" s="53">
        <v>111252.23999999999</v>
      </c>
      <c r="AG65" s="52">
        <v>200000000</v>
      </c>
      <c r="AH65" s="52">
        <v>56.45</v>
      </c>
      <c r="AI65" s="32">
        <f t="shared" si="4"/>
        <v>11290000000</v>
      </c>
      <c r="AJ65" s="32">
        <f t="shared" si="5"/>
        <v>11290000</v>
      </c>
      <c r="AK65" s="47">
        <f t="shared" si="24"/>
        <v>41570</v>
      </c>
      <c r="AL65" s="32">
        <f t="shared" si="6"/>
        <v>4.25</v>
      </c>
      <c r="AM65" s="55">
        <f t="shared" si="8"/>
        <v>7.4533533570198887E-2</v>
      </c>
      <c r="AN65" s="41" t="s">
        <v>99</v>
      </c>
      <c r="AO65" s="41" t="s">
        <v>99</v>
      </c>
      <c r="AP65" s="41" t="s">
        <v>99</v>
      </c>
      <c r="AQ65" s="57" t="s">
        <v>99</v>
      </c>
      <c r="AR65" s="43">
        <f t="shared" si="9"/>
        <v>4.0011721182374269E-2</v>
      </c>
      <c r="AS65" s="43">
        <f t="shared" si="10"/>
        <v>7.7076788904600221E-2</v>
      </c>
      <c r="AT65" s="43">
        <f t="shared" si="11"/>
        <v>9.9203725634077047E-2</v>
      </c>
      <c r="AU65" s="55">
        <f t="shared" si="12"/>
        <v>3.7742525210827395E-3</v>
      </c>
      <c r="AV65" s="58">
        <f t="shared" si="13"/>
        <v>0.48132449360829277</v>
      </c>
      <c r="AW65" s="58">
        <f t="shared" si="14"/>
        <v>1.1284995183736917</v>
      </c>
      <c r="AX65" s="58">
        <f t="shared" si="15"/>
        <v>1.2476445239424234</v>
      </c>
      <c r="AY65">
        <v>25.54</v>
      </c>
      <c r="AZ65" s="43">
        <f t="shared" si="16"/>
        <v>0.64767105034030414</v>
      </c>
      <c r="BA65" s="44">
        <f t="shared" si="17"/>
        <v>9.9203725634077047E-2</v>
      </c>
    </row>
    <row r="66" spans="1:53" ht="15" thickBot="1" x14ac:dyDescent="0.35">
      <c r="A66" s="45">
        <v>62</v>
      </c>
      <c r="B66" s="46" t="str">
        <f t="shared" si="23"/>
        <v>STOCK SPIRITS GROUP PLC</v>
      </c>
      <c r="C66" s="47">
        <f t="shared" si="23"/>
        <v>39448</v>
      </c>
      <c r="D66" s="47">
        <v>43465</v>
      </c>
      <c r="E66" s="48">
        <f t="shared" si="7"/>
        <v>2018</v>
      </c>
      <c r="F66" s="32">
        <f t="shared" si="0"/>
        <v>11.158333333333333</v>
      </c>
      <c r="G66" s="49" t="s">
        <v>38</v>
      </c>
      <c r="H66" s="46" t="s">
        <v>123</v>
      </c>
      <c r="I66" s="50">
        <f>+I65</f>
        <v>0</v>
      </c>
      <c r="J66" s="51">
        <v>16148843.025</v>
      </c>
      <c r="K66" s="52">
        <v>1215892.125</v>
      </c>
      <c r="L66" s="52">
        <v>0</v>
      </c>
      <c r="M66" s="52">
        <v>0</v>
      </c>
      <c r="N66" s="52"/>
      <c r="O66" s="32">
        <f t="shared" si="1"/>
        <v>1215892.125</v>
      </c>
      <c r="P66" s="84">
        <v>6868.5750000000007</v>
      </c>
      <c r="Q66" s="69" t="s">
        <v>108</v>
      </c>
      <c r="R66" s="51">
        <v>0</v>
      </c>
      <c r="S66" s="51">
        <f>351881*AY66</f>
        <v>9052138.7249999996</v>
      </c>
      <c r="T66" s="51">
        <f>275868*AY66</f>
        <v>7096704.3000000007</v>
      </c>
      <c r="U66" s="51">
        <v>6534.1500000000005</v>
      </c>
      <c r="V66" s="51">
        <v>0</v>
      </c>
      <c r="W66" s="52">
        <v>4984630.3500000006</v>
      </c>
      <c r="X66" s="52">
        <v>0</v>
      </c>
      <c r="Y66" s="32">
        <f t="shared" si="2"/>
        <v>4984630.3500000006</v>
      </c>
      <c r="Z66" s="51">
        <v>682407.07500000007</v>
      </c>
      <c r="AA66" s="51">
        <v>446920.42500000005</v>
      </c>
      <c r="AB66" s="51">
        <v>6405.5250000000005</v>
      </c>
      <c r="AC66" s="32">
        <f t="shared" si="3"/>
        <v>4991035.8750000009</v>
      </c>
      <c r="AD66" s="51">
        <v>1003</v>
      </c>
      <c r="AE66" s="51">
        <v>9</v>
      </c>
      <c r="AF66" s="53">
        <v>94359.3</v>
      </c>
      <c r="AG66" s="52">
        <v>200000000</v>
      </c>
      <c r="AH66" s="52">
        <v>78.099999999999994</v>
      </c>
      <c r="AI66" s="32">
        <f t="shared" si="4"/>
        <v>15619999999.999998</v>
      </c>
      <c r="AJ66" s="32">
        <f t="shared" si="5"/>
        <v>15619999.999999998</v>
      </c>
      <c r="AK66" s="47">
        <f t="shared" si="24"/>
        <v>41570</v>
      </c>
      <c r="AL66" s="32">
        <f t="shared" si="6"/>
        <v>5.2638888888888893</v>
      </c>
      <c r="AM66" s="55">
        <f t="shared" si="8"/>
        <v>7.5292832007697347E-2</v>
      </c>
      <c r="AN66" s="41" t="s">
        <v>99</v>
      </c>
      <c r="AO66" s="41" t="s">
        <v>99</v>
      </c>
      <c r="AP66" s="41" t="s">
        <v>99</v>
      </c>
      <c r="AQ66" s="57" t="s">
        <v>99</v>
      </c>
      <c r="AR66" s="43">
        <f t="shared" si="9"/>
        <v>4.2257335336257008E-2</v>
      </c>
      <c r="AS66" s="43">
        <f t="shared" si="10"/>
        <v>7.538628115755043E-2</v>
      </c>
      <c r="AT66" s="43">
        <f t="shared" si="11"/>
        <v>0.13672654176223487</v>
      </c>
      <c r="AU66" s="55">
        <f t="shared" si="12"/>
        <v>5.6490003173595687E-3</v>
      </c>
      <c r="AV66" s="58">
        <f t="shared" si="13"/>
        <v>0.43945589718183548</v>
      </c>
      <c r="AW66" s="58">
        <f t="shared" si="14"/>
        <v>1.4067078529918398</v>
      </c>
      <c r="AX66" s="58">
        <f t="shared" si="15"/>
        <v>1.7255590611819749</v>
      </c>
      <c r="AY66">
        <v>25.725000000000001</v>
      </c>
      <c r="AZ66" s="43">
        <f t="shared" si="16"/>
        <v>0.96725195581000445</v>
      </c>
      <c r="BA66" s="44">
        <f t="shared" si="17"/>
        <v>0.13672654176223487</v>
      </c>
    </row>
    <row r="67" spans="1:53" ht="15" thickBot="1" x14ac:dyDescent="0.35">
      <c r="A67" s="59">
        <v>63</v>
      </c>
      <c r="B67" s="60" t="str">
        <f t="shared" si="23"/>
        <v>STOCK SPIRITS GROUP PLC</v>
      </c>
      <c r="C67" s="62">
        <f t="shared" si="23"/>
        <v>39448</v>
      </c>
      <c r="D67" s="62">
        <v>43830</v>
      </c>
      <c r="E67" s="63">
        <f t="shared" si="7"/>
        <v>2019</v>
      </c>
      <c r="F67" s="64">
        <f t="shared" si="0"/>
        <v>12.172222222222222</v>
      </c>
      <c r="G67" s="65" t="s">
        <v>38</v>
      </c>
      <c r="H67" s="46" t="s">
        <v>123</v>
      </c>
      <c r="I67" s="66">
        <v>0</v>
      </c>
      <c r="J67" s="67">
        <v>17107155.449999999</v>
      </c>
      <c r="K67" s="68">
        <v>1365101.43</v>
      </c>
      <c r="L67" s="68">
        <v>0</v>
      </c>
      <c r="M67" s="68">
        <v>0</v>
      </c>
      <c r="N67" s="68"/>
      <c r="O67" s="64">
        <f t="shared" si="1"/>
        <v>1365101.43</v>
      </c>
      <c r="P67" s="67">
        <v>12781.23</v>
      </c>
      <c r="Q67" s="69" t="s">
        <v>108</v>
      </c>
      <c r="R67" s="67">
        <v>0</v>
      </c>
      <c r="S67" s="67">
        <f>361414*AY67</f>
        <v>9183529.7400000002</v>
      </c>
      <c r="T67" s="67">
        <f>311831*AY67</f>
        <v>7923625.71</v>
      </c>
      <c r="U67" s="67">
        <v>5107.41</v>
      </c>
      <c r="V67" s="67">
        <v>0</v>
      </c>
      <c r="W67" s="68">
        <v>7938566.79</v>
      </c>
      <c r="X67" s="68">
        <v>0</v>
      </c>
      <c r="Y67" s="64">
        <f t="shared" si="2"/>
        <v>7938566.79</v>
      </c>
      <c r="Z67" s="67">
        <v>971424.3</v>
      </c>
      <c r="AA67" s="67">
        <v>709650.48</v>
      </c>
      <c r="AB67" s="67">
        <v>7927.92</v>
      </c>
      <c r="AC67" s="64">
        <f t="shared" si="3"/>
        <v>7946494.71</v>
      </c>
      <c r="AD67" s="67">
        <v>1080</v>
      </c>
      <c r="AE67" s="67">
        <v>9</v>
      </c>
      <c r="AF67" s="70">
        <v>133707.42000000001</v>
      </c>
      <c r="AG67" s="68">
        <v>200000000</v>
      </c>
      <c r="AH67" s="68">
        <v>61.4</v>
      </c>
      <c r="AI67" s="64">
        <f t="shared" si="4"/>
        <v>12280000000</v>
      </c>
      <c r="AJ67" s="64">
        <f t="shared" si="5"/>
        <v>12280000</v>
      </c>
      <c r="AK67" s="62">
        <f t="shared" si="24"/>
        <v>41570</v>
      </c>
      <c r="AL67" s="64">
        <f t="shared" si="6"/>
        <v>6.2777777777777777</v>
      </c>
      <c r="AM67" s="71">
        <f t="shared" si="8"/>
        <v>7.979710209507683E-2</v>
      </c>
      <c r="AN67" s="41" t="s">
        <v>99</v>
      </c>
      <c r="AO67" s="41" t="s">
        <v>99</v>
      </c>
      <c r="AP67" s="41" t="s">
        <v>99</v>
      </c>
      <c r="AQ67" s="57" t="s">
        <v>99</v>
      </c>
      <c r="AR67" s="43">
        <f t="shared" si="9"/>
        <v>5.6784677197751196E-2</v>
      </c>
      <c r="AS67" s="43">
        <f t="shared" si="10"/>
        <v>0.10577896816393388</v>
      </c>
      <c r="AT67" s="43">
        <f t="shared" si="11"/>
        <v>0.1222456360258497</v>
      </c>
      <c r="AU67" s="71">
        <f t="shared" si="12"/>
        <v>9.3628427303017337E-3</v>
      </c>
      <c r="AV67" s="72">
        <f t="shared" si="13"/>
        <v>0.4631761097371685</v>
      </c>
      <c r="AW67" s="72">
        <f t="shared" si="14"/>
        <v>1.1810043913525088</v>
      </c>
      <c r="AX67" s="72">
        <f t="shared" si="15"/>
        <v>1.3371764830806765</v>
      </c>
      <c r="AY67">
        <v>25.41</v>
      </c>
      <c r="AZ67" s="43">
        <f t="shared" si="16"/>
        <v>0.71782828161534007</v>
      </c>
      <c r="BA67" s="44">
        <f t="shared" si="17"/>
        <v>0.1222456360258497</v>
      </c>
    </row>
    <row r="68" spans="1:53" ht="15" thickBot="1" x14ac:dyDescent="0.35">
      <c r="A68" s="45">
        <v>64</v>
      </c>
      <c r="B68" s="46" t="s">
        <v>39</v>
      </c>
      <c r="C68" s="47">
        <v>34335</v>
      </c>
      <c r="D68" s="47">
        <v>35064</v>
      </c>
      <c r="E68" s="48">
        <f t="shared" si="7"/>
        <v>1995</v>
      </c>
      <c r="F68" s="32">
        <f t="shared" si="0"/>
        <v>2.0249999999999999</v>
      </c>
      <c r="G68" s="49" t="s">
        <v>40</v>
      </c>
      <c r="H68" s="46" t="s">
        <v>124</v>
      </c>
      <c r="I68" s="50">
        <v>1</v>
      </c>
      <c r="J68" s="51">
        <v>96716988</v>
      </c>
      <c r="K68" s="52">
        <v>52551388</v>
      </c>
      <c r="L68" s="52">
        <v>0</v>
      </c>
      <c r="M68" s="52">
        <v>0</v>
      </c>
      <c r="N68" s="52"/>
      <c r="O68" s="32">
        <f t="shared" si="1"/>
        <v>52551388</v>
      </c>
      <c r="P68" s="84">
        <v>533030</v>
      </c>
      <c r="Q68" s="69" t="s">
        <v>108</v>
      </c>
      <c r="R68" s="51">
        <v>0</v>
      </c>
      <c r="S68" s="51">
        <v>75427517</v>
      </c>
      <c r="T68" s="51">
        <v>20068281</v>
      </c>
      <c r="U68" s="51">
        <v>0</v>
      </c>
      <c r="V68" s="51">
        <v>0</v>
      </c>
      <c r="W68" s="52">
        <v>23141862</v>
      </c>
      <c r="X68" s="52">
        <v>626894</v>
      </c>
      <c r="Y68" s="32">
        <f t="shared" si="2"/>
        <v>23768756</v>
      </c>
      <c r="Z68" s="51">
        <v>4192225</v>
      </c>
      <c r="AA68" s="51">
        <v>4216558</v>
      </c>
      <c r="AB68" s="51">
        <v>691426</v>
      </c>
      <c r="AC68" s="32">
        <f t="shared" si="3"/>
        <v>24460182</v>
      </c>
      <c r="AD68" s="51">
        <v>26097</v>
      </c>
      <c r="AE68" s="51">
        <v>9</v>
      </c>
      <c r="AF68" s="51">
        <v>533030</v>
      </c>
      <c r="AG68" s="52">
        <v>32208990</v>
      </c>
      <c r="AH68" s="98">
        <f>+AH69</f>
        <v>98.1</v>
      </c>
      <c r="AI68" s="32">
        <f t="shared" si="4"/>
        <v>3159701919</v>
      </c>
      <c r="AJ68" s="32">
        <f t="shared" si="5"/>
        <v>3159701.9190000002</v>
      </c>
      <c r="AK68" s="47">
        <v>34759</v>
      </c>
      <c r="AL68" s="32">
        <f t="shared" si="6"/>
        <v>0.84722222222222221</v>
      </c>
      <c r="AM68" s="55">
        <f t="shared" si="8"/>
        <v>0.54335219785793987</v>
      </c>
      <c r="AN68" s="41" t="s">
        <v>99</v>
      </c>
      <c r="AO68" s="41" t="s">
        <v>99</v>
      </c>
      <c r="AP68" s="41" t="s">
        <v>99</v>
      </c>
      <c r="AQ68" s="57" t="s">
        <v>99</v>
      </c>
      <c r="AR68" s="43">
        <f t="shared" si="9"/>
        <v>4.3345280769082679E-2</v>
      </c>
      <c r="AS68" s="43">
        <f t="shared" si="10"/>
        <v>5.5579517485641217E-2</v>
      </c>
      <c r="AT68" s="43">
        <f t="shared" si="11"/>
        <v>0.17138977134348388</v>
      </c>
      <c r="AU68" s="55">
        <f t="shared" si="12"/>
        <v>1.0143024195669198E-2</v>
      </c>
      <c r="AV68" s="58">
        <f t="shared" si="13"/>
        <v>0.20749489221066314</v>
      </c>
      <c r="AW68" s="58">
        <f t="shared" si="14"/>
        <v>0.24323565440020722</v>
      </c>
      <c r="AX68" s="58">
        <f t="shared" si="15"/>
        <v>4.1890573157803937E-2</v>
      </c>
      <c r="AZ68" s="43">
        <f t="shared" si="16"/>
        <v>3.2669564926897848E-2</v>
      </c>
      <c r="BA68" s="44">
        <f t="shared" si="17"/>
        <v>0.17138977134348388</v>
      </c>
    </row>
    <row r="69" spans="1:53" ht="15" thickBot="1" x14ac:dyDescent="0.35">
      <c r="A69" s="45">
        <v>65</v>
      </c>
      <c r="B69" s="46" t="str">
        <f t="shared" ref="B69:C84" si="25">+B68</f>
        <v>O2 Czech Republic a.s.</v>
      </c>
      <c r="C69" s="47">
        <f t="shared" si="25"/>
        <v>34335</v>
      </c>
      <c r="D69" s="47">
        <v>35430</v>
      </c>
      <c r="E69" s="48">
        <f t="shared" si="7"/>
        <v>1996</v>
      </c>
      <c r="F69" s="32">
        <f t="shared" ref="F69:F132" si="26">(D69-C69)/360</f>
        <v>3.0416666666666665</v>
      </c>
      <c r="G69" s="49" t="s">
        <v>40</v>
      </c>
      <c r="H69" s="46" t="s">
        <v>124</v>
      </c>
      <c r="I69" s="50">
        <v>1</v>
      </c>
      <c r="J69" s="51">
        <v>104660777</v>
      </c>
      <c r="K69" s="52">
        <v>76349512</v>
      </c>
      <c r="L69" s="52">
        <v>0</v>
      </c>
      <c r="M69" s="52">
        <v>0</v>
      </c>
      <c r="N69" s="52"/>
      <c r="O69" s="32">
        <f t="shared" ref="O69:O132" si="27">+IF(K69+M69+L69=0,"",K69+L69+M69)</f>
        <v>76349512</v>
      </c>
      <c r="P69" s="84">
        <v>545617</v>
      </c>
      <c r="Q69" s="69" t="s">
        <v>108</v>
      </c>
      <c r="R69" s="51">
        <v>0</v>
      </c>
      <c r="S69" s="51">
        <v>79241039</v>
      </c>
      <c r="T69" s="51">
        <v>23548923</v>
      </c>
      <c r="U69" s="51">
        <v>0</v>
      </c>
      <c r="V69" s="51">
        <v>0</v>
      </c>
      <c r="W69" s="52">
        <v>28859357</v>
      </c>
      <c r="X69" s="52">
        <v>512276</v>
      </c>
      <c r="Y69" s="32">
        <f t="shared" ref="Y69:Y132" si="28">+IF(W69="","",W69+X69)</f>
        <v>29371633</v>
      </c>
      <c r="Z69" s="51">
        <v>5579054</v>
      </c>
      <c r="AA69" s="51">
        <v>3456307</v>
      </c>
      <c r="AB69" s="51">
        <v>783213</v>
      </c>
      <c r="AC69" s="32">
        <f t="shared" ref="AC69:AC132" si="29">+IF(Y69="","",Y69+AB69)</f>
        <v>30154846</v>
      </c>
      <c r="AD69" s="51">
        <v>26504</v>
      </c>
      <c r="AE69" s="51">
        <v>9</v>
      </c>
      <c r="AF69" s="51">
        <v>545617</v>
      </c>
      <c r="AG69" s="52">
        <v>32208990</v>
      </c>
      <c r="AH69" s="98">
        <v>98.1</v>
      </c>
      <c r="AI69" s="32">
        <f t="shared" ref="AI69:AI132" si="30">+IF(AG69="","",AG69*AH69)</f>
        <v>3159701919</v>
      </c>
      <c r="AJ69" s="32">
        <f t="shared" ref="AJ69:AJ132" si="31">+IFERROR(AI69/1000,"")</f>
        <v>3159701.9190000002</v>
      </c>
      <c r="AK69" s="47">
        <v>34759</v>
      </c>
      <c r="AL69" s="32">
        <f t="shared" ref="AL69:AL132" si="32">+(D69-AK69)/360</f>
        <v>1.8638888888888889</v>
      </c>
      <c r="AM69" s="55">
        <f t="shared" si="8"/>
        <v>0.72949498549967773</v>
      </c>
      <c r="AN69" s="41" t="s">
        <v>99</v>
      </c>
      <c r="AO69" s="41" t="s">
        <v>99</v>
      </c>
      <c r="AP69" s="41" t="s">
        <v>99</v>
      </c>
      <c r="AQ69" s="57" t="s">
        <v>99</v>
      </c>
      <c r="AR69" s="43">
        <f t="shared" si="9"/>
        <v>5.3306063263795569E-2</v>
      </c>
      <c r="AS69" s="43">
        <f t="shared" si="10"/>
        <v>7.0406118728453315E-2</v>
      </c>
      <c r="AT69" s="43">
        <f t="shared" si="11"/>
        <v>0.18501351325090501</v>
      </c>
      <c r="AU69" s="55">
        <f t="shared" si="12"/>
        <v>7.146306318238157E-3</v>
      </c>
      <c r="AV69" s="58">
        <f t="shared" si="13"/>
        <v>0.22500237123215702</v>
      </c>
      <c r="AW69" s="58">
        <f t="shared" si="14"/>
        <v>0.25983689846096059</v>
      </c>
      <c r="AX69" s="58">
        <f t="shared" si="15"/>
        <v>3.9874564479145717E-2</v>
      </c>
      <c r="AZ69" s="43">
        <f t="shared" si="16"/>
        <v>3.0189933703626146E-2</v>
      </c>
      <c r="BA69" s="44">
        <f t="shared" si="17"/>
        <v>0.18501351325090501</v>
      </c>
    </row>
    <row r="70" spans="1:53" ht="15" thickBot="1" x14ac:dyDescent="0.35">
      <c r="A70" s="45">
        <v>66</v>
      </c>
      <c r="B70" s="46" t="str">
        <f t="shared" si="25"/>
        <v>O2 Czech Republic a.s.</v>
      </c>
      <c r="C70" s="47">
        <f t="shared" si="25"/>
        <v>34335</v>
      </c>
      <c r="D70" s="47">
        <v>35795</v>
      </c>
      <c r="E70" s="48">
        <f t="shared" ref="E70:E140" si="33">YEAR(D70)</f>
        <v>1997</v>
      </c>
      <c r="F70" s="32">
        <f t="shared" si="26"/>
        <v>4.0555555555555554</v>
      </c>
      <c r="G70" s="49" t="s">
        <v>40</v>
      </c>
      <c r="H70" s="46" t="s">
        <v>124</v>
      </c>
      <c r="I70" s="50">
        <v>0</v>
      </c>
      <c r="J70" s="51">
        <v>122377247</v>
      </c>
      <c r="K70" s="52">
        <v>99964422</v>
      </c>
      <c r="L70" s="52">
        <v>0</v>
      </c>
      <c r="M70" s="52">
        <v>0</v>
      </c>
      <c r="N70" s="52"/>
      <c r="O70" s="32">
        <f t="shared" si="27"/>
        <v>99964422</v>
      </c>
      <c r="P70" s="84">
        <v>529874</v>
      </c>
      <c r="Q70" s="69" t="s">
        <v>108</v>
      </c>
      <c r="R70" s="51">
        <v>0</v>
      </c>
      <c r="S70" s="51">
        <v>83030712</v>
      </c>
      <c r="T70" s="51">
        <v>34723940</v>
      </c>
      <c r="U70" s="51">
        <v>0</v>
      </c>
      <c r="V70" s="51">
        <v>0</v>
      </c>
      <c r="W70" s="52">
        <v>34473850</v>
      </c>
      <c r="X70" s="52">
        <v>440552</v>
      </c>
      <c r="Y70" s="32">
        <f t="shared" si="28"/>
        <v>34914402</v>
      </c>
      <c r="Z70" s="51">
        <v>5586830</v>
      </c>
      <c r="AA70" s="51">
        <v>4226442</v>
      </c>
      <c r="AB70" s="51">
        <v>566796</v>
      </c>
      <c r="AC70" s="32">
        <f t="shared" si="29"/>
        <v>35481198</v>
      </c>
      <c r="AD70" s="51">
        <v>25702</v>
      </c>
      <c r="AE70" s="51">
        <v>9</v>
      </c>
      <c r="AF70" s="51">
        <v>529874</v>
      </c>
      <c r="AG70" s="52">
        <v>32208990</v>
      </c>
      <c r="AH70" s="52">
        <v>3660.1</v>
      </c>
      <c r="AI70" s="32">
        <f t="shared" si="30"/>
        <v>117888124299</v>
      </c>
      <c r="AJ70" s="32">
        <f t="shared" si="31"/>
        <v>117888124.29899999</v>
      </c>
      <c r="AK70" s="47">
        <v>34759</v>
      </c>
      <c r="AL70" s="32">
        <f t="shared" si="32"/>
        <v>2.8777777777777778</v>
      </c>
      <c r="AM70" s="55">
        <f t="shared" ref="AM70:AM133" si="34">+IFERROR((O70+N70)/J70,"")</f>
        <v>0.81685463965372584</v>
      </c>
      <c r="AN70" s="41" t="s">
        <v>99</v>
      </c>
      <c r="AO70" s="41" t="s">
        <v>99</v>
      </c>
      <c r="AP70" s="41" t="s">
        <v>99</v>
      </c>
      <c r="AQ70" s="57" t="s">
        <v>99</v>
      </c>
      <c r="AR70" s="43">
        <f t="shared" ref="AR70:AR133" si="35">+IFERROR(Z70/J70,"")</f>
        <v>4.565252231895689E-2</v>
      </c>
      <c r="AS70" s="43">
        <f t="shared" ref="AS70:AS133" si="36">+IFERROR(Z70/S70,"")</f>
        <v>6.7286307264232542E-2</v>
      </c>
      <c r="AT70" s="43">
        <f t="shared" ref="AT70:AT133" si="37">+IFERROR(Z70/AC70,"")</f>
        <v>0.1574588885076541</v>
      </c>
      <c r="AU70" s="55">
        <f t="shared" ref="AU70:AU133" si="38">+IFERROR((P70)/(O70),"")</f>
        <v>5.3006258566672855E-3</v>
      </c>
      <c r="AV70" s="58">
        <f t="shared" si="13"/>
        <v>0.28374506578007919</v>
      </c>
      <c r="AW70" s="58">
        <f t="shared" ref="AW70:AW133" si="39">+IFERROR((AJ70+T70)/(S70+T70),"")</f>
        <v>1.2960172843022797</v>
      </c>
      <c r="AX70" s="58">
        <f t="shared" ref="AX70:AX133" si="40">+IFERROR(AJ70/(S70),"")</f>
        <v>1.4198134817752737</v>
      </c>
      <c r="AZ70" s="43">
        <f t="shared" ref="AZ70:AZ133" si="41">+IFERROR((AJ70/J70),"")</f>
        <v>0.96331734198106278</v>
      </c>
      <c r="BA70" s="44">
        <f t="shared" ref="BA70:BA133" si="42">+Z70/AC70</f>
        <v>0.1574588885076541</v>
      </c>
    </row>
    <row r="71" spans="1:53" ht="15" thickBot="1" x14ac:dyDescent="0.35">
      <c r="A71" s="45">
        <v>67</v>
      </c>
      <c r="B71" s="46" t="str">
        <f t="shared" si="25"/>
        <v>O2 Czech Republic a.s.</v>
      </c>
      <c r="C71" s="47">
        <f t="shared" si="25"/>
        <v>34335</v>
      </c>
      <c r="D71" s="47">
        <v>36160</v>
      </c>
      <c r="E71" s="48">
        <f t="shared" si="33"/>
        <v>1998</v>
      </c>
      <c r="F71" s="32">
        <f t="shared" si="26"/>
        <v>5.0694444444444446</v>
      </c>
      <c r="G71" s="49" t="s">
        <v>40</v>
      </c>
      <c r="H71" s="46" t="s">
        <v>124</v>
      </c>
      <c r="I71" s="50">
        <f t="shared" ref="I71:I92" si="43">+I70</f>
        <v>0</v>
      </c>
      <c r="J71" s="51">
        <v>137907450</v>
      </c>
      <c r="K71" s="52">
        <v>118639634</v>
      </c>
      <c r="L71" s="52">
        <v>0</v>
      </c>
      <c r="M71" s="52">
        <v>0</v>
      </c>
      <c r="N71" s="52"/>
      <c r="O71" s="32">
        <f t="shared" si="27"/>
        <v>118639634</v>
      </c>
      <c r="P71" s="84">
        <v>425383</v>
      </c>
      <c r="Q71" s="69" t="s">
        <v>108</v>
      </c>
      <c r="R71" s="51">
        <v>0</v>
      </c>
      <c r="S71" s="51">
        <v>87307575</v>
      </c>
      <c r="T71" s="51">
        <v>47051761</v>
      </c>
      <c r="U71" s="51">
        <v>0</v>
      </c>
      <c r="V71" s="51">
        <v>0</v>
      </c>
      <c r="W71" s="52">
        <v>39810795</v>
      </c>
      <c r="X71" s="52">
        <v>399099</v>
      </c>
      <c r="Y71" s="32">
        <f t="shared" si="28"/>
        <v>40209894</v>
      </c>
      <c r="Z71" s="51">
        <v>5348551</v>
      </c>
      <c r="AA71" s="51">
        <v>4360052</v>
      </c>
      <c r="AB71" s="51">
        <v>292385</v>
      </c>
      <c r="AC71" s="32">
        <f t="shared" si="29"/>
        <v>40502279</v>
      </c>
      <c r="AD71" s="51">
        <v>22277</v>
      </c>
      <c r="AE71" s="51">
        <v>9</v>
      </c>
      <c r="AF71" s="51">
        <v>425383</v>
      </c>
      <c r="AG71" s="52">
        <v>322089890</v>
      </c>
      <c r="AH71" s="52">
        <v>458.8</v>
      </c>
      <c r="AI71" s="32">
        <f t="shared" si="30"/>
        <v>147774841532</v>
      </c>
      <c r="AJ71" s="32">
        <f t="shared" si="31"/>
        <v>147774841.53200001</v>
      </c>
      <c r="AK71" s="47">
        <v>34759</v>
      </c>
      <c r="AL71" s="32">
        <f t="shared" si="32"/>
        <v>3.8916666666666666</v>
      </c>
      <c r="AM71" s="55">
        <f t="shared" si="34"/>
        <v>0.86028444438643448</v>
      </c>
      <c r="AN71" s="41" t="s">
        <v>99</v>
      </c>
      <c r="AO71" s="41" t="s">
        <v>99</v>
      </c>
      <c r="AP71" s="41" t="s">
        <v>99</v>
      </c>
      <c r="AQ71" s="57" t="s">
        <v>99</v>
      </c>
      <c r="AR71" s="43">
        <f t="shared" si="35"/>
        <v>3.8783626265296037E-2</v>
      </c>
      <c r="AS71" s="43">
        <f t="shared" si="36"/>
        <v>6.1261018874937255E-2</v>
      </c>
      <c r="AT71" s="43">
        <f t="shared" si="37"/>
        <v>0.1320555566762058</v>
      </c>
      <c r="AU71" s="55">
        <f t="shared" si="38"/>
        <v>3.5855049923704248E-3</v>
      </c>
      <c r="AV71" s="58">
        <f t="shared" ref="AV71:AV134" si="44">+IFERROR(T71/J71,"")</f>
        <v>0.34118360538172521</v>
      </c>
      <c r="AW71" s="58">
        <f t="shared" si="39"/>
        <v>1.4500414212526327</v>
      </c>
      <c r="AX71" s="58">
        <f t="shared" si="40"/>
        <v>1.6925775516271069</v>
      </c>
      <c r="AZ71" s="43">
        <f t="shared" si="41"/>
        <v>1.0715508229033313</v>
      </c>
      <c r="BA71" s="44">
        <f t="shared" si="42"/>
        <v>0.1320555566762058</v>
      </c>
    </row>
    <row r="72" spans="1:53" ht="15" thickBot="1" x14ac:dyDescent="0.35">
      <c r="A72" s="45">
        <v>68</v>
      </c>
      <c r="B72" s="46" t="str">
        <f t="shared" si="25"/>
        <v>O2 Czech Republic a.s.</v>
      </c>
      <c r="C72" s="47">
        <f t="shared" si="25"/>
        <v>34335</v>
      </c>
      <c r="D72" s="47">
        <v>36525</v>
      </c>
      <c r="E72" s="48">
        <f t="shared" si="33"/>
        <v>1999</v>
      </c>
      <c r="F72" s="32">
        <f t="shared" si="26"/>
        <v>6.083333333333333</v>
      </c>
      <c r="G72" s="49" t="s">
        <v>40</v>
      </c>
      <c r="H72" s="46" t="s">
        <v>124</v>
      </c>
      <c r="I72" s="50">
        <f t="shared" si="43"/>
        <v>0</v>
      </c>
      <c r="J72" s="51">
        <v>146218376</v>
      </c>
      <c r="K72" s="52">
        <v>120285386</v>
      </c>
      <c r="L72" s="52">
        <v>0</v>
      </c>
      <c r="M72" s="52">
        <v>0</v>
      </c>
      <c r="N72" s="52"/>
      <c r="O72" s="32">
        <f t="shared" si="27"/>
        <v>120285386</v>
      </c>
      <c r="P72" s="84">
        <v>296448</v>
      </c>
      <c r="Q72" s="69" t="s">
        <v>108</v>
      </c>
      <c r="R72" s="51">
        <v>0</v>
      </c>
      <c r="S72" s="51">
        <v>91585695</v>
      </c>
      <c r="T72" s="51">
        <v>49962489</v>
      </c>
      <c r="U72" s="51">
        <v>0</v>
      </c>
      <c r="V72" s="51">
        <v>0</v>
      </c>
      <c r="W72" s="52">
        <v>43466541</v>
      </c>
      <c r="X72" s="52">
        <v>296732</v>
      </c>
      <c r="Y72" s="32">
        <f t="shared" si="28"/>
        <v>43763273</v>
      </c>
      <c r="Z72" s="51">
        <v>5112324</v>
      </c>
      <c r="AA72" s="51">
        <v>4409687</v>
      </c>
      <c r="AB72" s="51">
        <v>101934</v>
      </c>
      <c r="AC72" s="32">
        <f t="shared" si="29"/>
        <v>43865207</v>
      </c>
      <c r="AD72" s="51">
        <v>20916</v>
      </c>
      <c r="AE72" s="51">
        <v>9</v>
      </c>
      <c r="AF72" s="51">
        <v>296448</v>
      </c>
      <c r="AG72" s="52">
        <v>322089890</v>
      </c>
      <c r="AH72" s="52">
        <v>576.5</v>
      </c>
      <c r="AI72" s="32">
        <f t="shared" si="30"/>
        <v>185684821585</v>
      </c>
      <c r="AJ72" s="32">
        <f t="shared" si="31"/>
        <v>185684821.58500001</v>
      </c>
      <c r="AK72" s="47">
        <v>34759</v>
      </c>
      <c r="AL72" s="32">
        <f t="shared" si="32"/>
        <v>4.9055555555555559</v>
      </c>
      <c r="AM72" s="55">
        <f t="shared" si="34"/>
        <v>0.82264205970937609</v>
      </c>
      <c r="AN72" s="41" t="s">
        <v>99</v>
      </c>
      <c r="AO72" s="41" t="s">
        <v>99</v>
      </c>
      <c r="AP72" s="41" t="s">
        <v>99</v>
      </c>
      <c r="AQ72" s="57" t="s">
        <v>99</v>
      </c>
      <c r="AR72" s="43">
        <f t="shared" si="35"/>
        <v>3.4963621809067279E-2</v>
      </c>
      <c r="AS72" s="43">
        <f t="shared" si="36"/>
        <v>5.5820114702410675E-2</v>
      </c>
      <c r="AT72" s="43">
        <f t="shared" si="37"/>
        <v>0.11654621850980892</v>
      </c>
      <c r="AU72" s="55">
        <f t="shared" si="38"/>
        <v>2.4645387927673939E-3</v>
      </c>
      <c r="AV72" s="58">
        <f t="shared" si="44"/>
        <v>0.34169774256007329</v>
      </c>
      <c r="AW72" s="58">
        <f t="shared" si="39"/>
        <v>1.6647851206978397</v>
      </c>
      <c r="AX72" s="58">
        <f t="shared" si="40"/>
        <v>2.0274434952423519</v>
      </c>
      <c r="AZ72" s="43">
        <f t="shared" si="41"/>
        <v>1.2699144024482942</v>
      </c>
      <c r="BA72" s="44">
        <f t="shared" si="42"/>
        <v>0.11654621850980892</v>
      </c>
    </row>
    <row r="73" spans="1:53" ht="15" thickBot="1" x14ac:dyDescent="0.35">
      <c r="A73" s="45">
        <v>69</v>
      </c>
      <c r="B73" s="46" t="str">
        <f t="shared" si="25"/>
        <v>O2 Czech Republic a.s.</v>
      </c>
      <c r="C73" s="47">
        <f t="shared" si="25"/>
        <v>34335</v>
      </c>
      <c r="D73" s="47">
        <v>36891</v>
      </c>
      <c r="E73" s="48">
        <f t="shared" si="33"/>
        <v>2000</v>
      </c>
      <c r="F73" s="32">
        <f t="shared" si="26"/>
        <v>7.1</v>
      </c>
      <c r="G73" s="49" t="s">
        <v>40</v>
      </c>
      <c r="H73" s="46" t="s">
        <v>124</v>
      </c>
      <c r="I73" s="50">
        <f t="shared" si="43"/>
        <v>0</v>
      </c>
      <c r="J73" s="51">
        <v>154065815</v>
      </c>
      <c r="K73" s="52">
        <v>117163390</v>
      </c>
      <c r="L73" s="52">
        <v>0</v>
      </c>
      <c r="M73" s="52">
        <v>0</v>
      </c>
      <c r="N73" s="52"/>
      <c r="O73" s="32">
        <f t="shared" si="27"/>
        <v>117163390</v>
      </c>
      <c r="P73" s="84">
        <v>2285000</v>
      </c>
      <c r="Q73" s="69" t="s">
        <v>108</v>
      </c>
      <c r="R73" s="51">
        <v>0</v>
      </c>
      <c r="S73" s="51">
        <v>103458091</v>
      </c>
      <c r="T73" s="51">
        <v>45581305</v>
      </c>
      <c r="U73" s="51">
        <v>0</v>
      </c>
      <c r="V73" s="51">
        <v>0</v>
      </c>
      <c r="W73" s="52">
        <v>45289629</v>
      </c>
      <c r="X73" s="52">
        <v>306361</v>
      </c>
      <c r="Y73" s="32">
        <f t="shared" si="28"/>
        <v>45595990</v>
      </c>
      <c r="Z73" s="51">
        <v>4011000</v>
      </c>
      <c r="AA73" s="51">
        <v>6153936</v>
      </c>
      <c r="AB73" s="51">
        <v>0</v>
      </c>
      <c r="AC73" s="32">
        <f t="shared" si="29"/>
        <v>45595990</v>
      </c>
      <c r="AD73" s="51">
        <v>17439</v>
      </c>
      <c r="AE73" s="51">
        <v>9</v>
      </c>
      <c r="AF73" s="51">
        <v>2285000</v>
      </c>
      <c r="AG73" s="52">
        <v>322089890</v>
      </c>
      <c r="AH73" s="52">
        <v>507.2</v>
      </c>
      <c r="AI73" s="32">
        <f t="shared" si="30"/>
        <v>163363992208</v>
      </c>
      <c r="AJ73" s="32">
        <f t="shared" si="31"/>
        <v>163363992.208</v>
      </c>
      <c r="AK73" s="47">
        <v>34759</v>
      </c>
      <c r="AL73" s="32">
        <f t="shared" si="32"/>
        <v>5.9222222222222225</v>
      </c>
      <c r="AM73" s="55">
        <f t="shared" si="34"/>
        <v>0.7604762289415079</v>
      </c>
      <c r="AN73" s="41" t="s">
        <v>99</v>
      </c>
      <c r="AO73" s="41" t="s">
        <v>99</v>
      </c>
      <c r="AP73" s="41" t="s">
        <v>99</v>
      </c>
      <c r="AQ73" s="57" t="s">
        <v>99</v>
      </c>
      <c r="AR73" s="43">
        <f t="shared" si="35"/>
        <v>2.6034328251208744E-2</v>
      </c>
      <c r="AS73" s="43">
        <f t="shared" si="36"/>
        <v>3.8769321579691624E-2</v>
      </c>
      <c r="AT73" s="43">
        <f t="shared" si="37"/>
        <v>8.7968262121296187E-2</v>
      </c>
      <c r="AU73" s="55">
        <f t="shared" si="38"/>
        <v>1.9502679121865627E-2</v>
      </c>
      <c r="AV73" s="58">
        <f t="shared" si="44"/>
        <v>0.29585605995723319</v>
      </c>
      <c r="AW73" s="58">
        <f t="shared" si="39"/>
        <v>1.4019467524412137</v>
      </c>
      <c r="AX73" s="58">
        <f t="shared" si="40"/>
        <v>1.5790354396544974</v>
      </c>
      <c r="AZ73" s="43">
        <f t="shared" si="41"/>
        <v>1.0603519814437745</v>
      </c>
      <c r="BA73" s="44">
        <f t="shared" si="42"/>
        <v>8.7968262121296187E-2</v>
      </c>
    </row>
    <row r="74" spans="1:53" ht="15" thickBot="1" x14ac:dyDescent="0.35">
      <c r="A74" s="45">
        <v>70</v>
      </c>
      <c r="B74" s="46" t="str">
        <f t="shared" si="25"/>
        <v>O2 Czech Republic a.s.</v>
      </c>
      <c r="C74" s="47">
        <f t="shared" si="25"/>
        <v>34335</v>
      </c>
      <c r="D74" s="47">
        <v>37256</v>
      </c>
      <c r="E74" s="48">
        <f t="shared" si="33"/>
        <v>2001</v>
      </c>
      <c r="F74" s="32">
        <f t="shared" si="26"/>
        <v>8.1138888888888889</v>
      </c>
      <c r="G74" s="49" t="s">
        <v>40</v>
      </c>
      <c r="H74" s="46" t="s">
        <v>124</v>
      </c>
      <c r="I74" s="50">
        <f t="shared" si="43"/>
        <v>0</v>
      </c>
      <c r="J74" s="51">
        <v>155075800</v>
      </c>
      <c r="K74" s="52">
        <v>113670236</v>
      </c>
      <c r="L74" s="52">
        <v>0</v>
      </c>
      <c r="M74" s="52">
        <v>0</v>
      </c>
      <c r="N74" s="52"/>
      <c r="O74" s="32">
        <f t="shared" si="27"/>
        <v>113670236</v>
      </c>
      <c r="P74" s="84">
        <v>2921000</v>
      </c>
      <c r="Q74" s="69" t="s">
        <v>108</v>
      </c>
      <c r="R74" s="51">
        <v>0</v>
      </c>
      <c r="S74" s="51">
        <v>105434509</v>
      </c>
      <c r="T74" s="51">
        <v>38954101</v>
      </c>
      <c r="U74" s="51">
        <v>0</v>
      </c>
      <c r="V74" s="51">
        <v>0</v>
      </c>
      <c r="W74" s="52">
        <v>41910818</v>
      </c>
      <c r="X74" s="52">
        <v>340662</v>
      </c>
      <c r="Y74" s="32">
        <f t="shared" si="28"/>
        <v>42251480</v>
      </c>
      <c r="Z74" s="51">
        <v>1374423</v>
      </c>
      <c r="AA74" s="51">
        <v>4505919</v>
      </c>
      <c r="AB74" s="51">
        <v>0</v>
      </c>
      <c r="AC74" s="32">
        <f t="shared" si="29"/>
        <v>42251480</v>
      </c>
      <c r="AD74" s="51">
        <v>15825</v>
      </c>
      <c r="AE74" s="51">
        <v>9</v>
      </c>
      <c r="AF74" s="51">
        <v>2921000</v>
      </c>
      <c r="AG74" s="52">
        <v>322089890</v>
      </c>
      <c r="AH74" s="52">
        <v>362.5</v>
      </c>
      <c r="AI74" s="32">
        <f t="shared" si="30"/>
        <v>116757585125</v>
      </c>
      <c r="AJ74" s="32">
        <f t="shared" si="31"/>
        <v>116757585.125</v>
      </c>
      <c r="AK74" s="47">
        <v>34759</v>
      </c>
      <c r="AL74" s="32">
        <f t="shared" si="32"/>
        <v>6.9361111111111109</v>
      </c>
      <c r="AM74" s="55">
        <f t="shared" si="34"/>
        <v>0.73299790167131174</v>
      </c>
      <c r="AN74" s="41" t="s">
        <v>99</v>
      </c>
      <c r="AO74" s="41" t="s">
        <v>99</v>
      </c>
      <c r="AP74" s="41" t="s">
        <v>99</v>
      </c>
      <c r="AQ74" s="57" t="s">
        <v>99</v>
      </c>
      <c r="AR74" s="43">
        <f t="shared" si="35"/>
        <v>8.8629109119540243E-3</v>
      </c>
      <c r="AS74" s="43">
        <f t="shared" si="36"/>
        <v>1.3035798364651179E-2</v>
      </c>
      <c r="AT74" s="43">
        <f t="shared" si="37"/>
        <v>3.2529582395693597E-2</v>
      </c>
      <c r="AU74" s="55">
        <f t="shared" si="38"/>
        <v>2.5697140278656588E-2</v>
      </c>
      <c r="AV74" s="58">
        <f t="shared" si="44"/>
        <v>0.25119393870610374</v>
      </c>
      <c r="AW74" s="58">
        <f t="shared" si="39"/>
        <v>1.0784208402934277</v>
      </c>
      <c r="AX74" s="58">
        <f t="shared" si="40"/>
        <v>1.107394402766176</v>
      </c>
      <c r="AZ74" s="43">
        <f t="shared" si="41"/>
        <v>0.75290654715306971</v>
      </c>
      <c r="BA74" s="44">
        <f t="shared" si="42"/>
        <v>3.2529582395693597E-2</v>
      </c>
    </row>
    <row r="75" spans="1:53" ht="15" thickBot="1" x14ac:dyDescent="0.35">
      <c r="A75" s="45">
        <v>71</v>
      </c>
      <c r="B75" s="46" t="str">
        <f t="shared" si="25"/>
        <v>O2 Czech Republic a.s.</v>
      </c>
      <c r="C75" s="47">
        <f t="shared" si="25"/>
        <v>34335</v>
      </c>
      <c r="D75" s="47">
        <v>37621</v>
      </c>
      <c r="E75" s="48">
        <f t="shared" si="33"/>
        <v>2002</v>
      </c>
      <c r="F75" s="32">
        <f t="shared" si="26"/>
        <v>9.1277777777777782</v>
      </c>
      <c r="G75" s="49" t="s">
        <v>40</v>
      </c>
      <c r="H75" s="46" t="s">
        <v>124</v>
      </c>
      <c r="I75" s="50">
        <f t="shared" si="43"/>
        <v>0</v>
      </c>
      <c r="J75" s="51">
        <v>156351000</v>
      </c>
      <c r="K75" s="52">
        <v>119498000</v>
      </c>
      <c r="L75" s="52">
        <v>0</v>
      </c>
      <c r="M75" s="52">
        <v>0</v>
      </c>
      <c r="N75" s="52"/>
      <c r="O75" s="32">
        <f t="shared" si="27"/>
        <v>119498000</v>
      </c>
      <c r="P75" s="84">
        <v>2936000</v>
      </c>
      <c r="Q75" s="69" t="s">
        <v>108</v>
      </c>
      <c r="R75" s="51">
        <v>0</v>
      </c>
      <c r="S75" s="51">
        <v>112272000</v>
      </c>
      <c r="T75" s="51">
        <v>45034000</v>
      </c>
      <c r="U75" s="51">
        <v>0</v>
      </c>
      <c r="V75" s="51">
        <v>0</v>
      </c>
      <c r="W75" s="52">
        <v>52856000</v>
      </c>
      <c r="X75" s="52">
        <v>0</v>
      </c>
      <c r="Y75" s="32">
        <f t="shared" si="28"/>
        <v>52856000</v>
      </c>
      <c r="Z75" s="51">
        <v>6110000</v>
      </c>
      <c r="AA75" s="51">
        <v>4276000</v>
      </c>
      <c r="AB75" s="51">
        <v>0</v>
      </c>
      <c r="AC75" s="32">
        <f t="shared" si="29"/>
        <v>52856000</v>
      </c>
      <c r="AD75" s="51">
        <v>14322</v>
      </c>
      <c r="AE75" s="51">
        <v>9</v>
      </c>
      <c r="AF75" s="51">
        <v>2936000</v>
      </c>
      <c r="AG75" s="52">
        <v>322089890</v>
      </c>
      <c r="AH75" s="52">
        <v>244.7</v>
      </c>
      <c r="AI75" s="32">
        <f t="shared" si="30"/>
        <v>78815396083</v>
      </c>
      <c r="AJ75" s="32">
        <f t="shared" si="31"/>
        <v>78815396.083000004</v>
      </c>
      <c r="AK75" s="47">
        <v>34759</v>
      </c>
      <c r="AL75" s="32">
        <f t="shared" si="32"/>
        <v>7.95</v>
      </c>
      <c r="AM75" s="55">
        <f t="shared" si="34"/>
        <v>0.76429316090079369</v>
      </c>
      <c r="AN75" s="41" t="s">
        <v>99</v>
      </c>
      <c r="AO75" s="41" t="s">
        <v>99</v>
      </c>
      <c r="AP75" s="41" t="s">
        <v>99</v>
      </c>
      <c r="AQ75" s="57" t="s">
        <v>99</v>
      </c>
      <c r="AR75" s="43">
        <f t="shared" si="35"/>
        <v>3.9078739502785398E-2</v>
      </c>
      <c r="AS75" s="43">
        <f t="shared" si="36"/>
        <v>5.4421405158899816E-2</v>
      </c>
      <c r="AT75" s="43">
        <f t="shared" si="37"/>
        <v>0.11559709399122144</v>
      </c>
      <c r="AU75" s="55">
        <f t="shared" si="38"/>
        <v>2.4569448861068804E-2</v>
      </c>
      <c r="AV75" s="58">
        <f t="shared" si="44"/>
        <v>0.28803141649237934</v>
      </c>
      <c r="AW75" s="58">
        <f t="shared" si="39"/>
        <v>0.78731514426023164</v>
      </c>
      <c r="AX75" s="58">
        <f t="shared" si="40"/>
        <v>0.70200402667628625</v>
      </c>
      <c r="AZ75" s="43">
        <f t="shared" si="41"/>
        <v>0.504092689416761</v>
      </c>
      <c r="BA75" s="44">
        <f t="shared" si="42"/>
        <v>0.11559709399122144</v>
      </c>
    </row>
    <row r="76" spans="1:53" ht="15" thickBot="1" x14ac:dyDescent="0.35">
      <c r="A76" s="45">
        <v>72</v>
      </c>
      <c r="B76" s="46" t="str">
        <f t="shared" si="25"/>
        <v>O2 Czech Republic a.s.</v>
      </c>
      <c r="C76" s="47">
        <f t="shared" si="25"/>
        <v>34335</v>
      </c>
      <c r="D76" s="47">
        <v>37986</v>
      </c>
      <c r="E76" s="48">
        <f t="shared" si="33"/>
        <v>2003</v>
      </c>
      <c r="F76" s="32">
        <f t="shared" si="26"/>
        <v>10.141666666666667</v>
      </c>
      <c r="G76" s="49" t="s">
        <v>40</v>
      </c>
      <c r="H76" s="46" t="s">
        <v>124</v>
      </c>
      <c r="I76" s="50">
        <f t="shared" si="43"/>
        <v>0</v>
      </c>
      <c r="J76" s="51">
        <v>154706000</v>
      </c>
      <c r="K76" s="52">
        <v>110320000</v>
      </c>
      <c r="L76" s="52">
        <v>0</v>
      </c>
      <c r="M76" s="52">
        <v>0</v>
      </c>
      <c r="N76" s="52"/>
      <c r="O76" s="32">
        <f t="shared" si="27"/>
        <v>110320000</v>
      </c>
      <c r="P76" s="84">
        <v>4716000</v>
      </c>
      <c r="Q76" s="69" t="s">
        <v>108</v>
      </c>
      <c r="R76" s="51">
        <v>0</v>
      </c>
      <c r="S76" s="51">
        <v>90148000</v>
      </c>
      <c r="T76" s="51">
        <v>64549000</v>
      </c>
      <c r="U76" s="51">
        <v>0</v>
      </c>
      <c r="V76" s="51">
        <v>0</v>
      </c>
      <c r="W76" s="52">
        <v>51476000</v>
      </c>
      <c r="X76" s="52">
        <v>0</v>
      </c>
      <c r="Y76" s="32">
        <f t="shared" si="28"/>
        <v>51476000</v>
      </c>
      <c r="Z76" s="51">
        <v>-6667000</v>
      </c>
      <c r="AA76" s="51">
        <v>-1780000</v>
      </c>
      <c r="AB76" s="51">
        <v>0</v>
      </c>
      <c r="AC76" s="32">
        <f t="shared" si="29"/>
        <v>51476000</v>
      </c>
      <c r="AD76" s="99">
        <v>12000</v>
      </c>
      <c r="AE76" s="99">
        <v>9</v>
      </c>
      <c r="AF76" s="51">
        <v>4716000</v>
      </c>
      <c r="AG76" s="52">
        <v>322089890</v>
      </c>
      <c r="AH76" s="52">
        <v>291.3</v>
      </c>
      <c r="AI76" s="32">
        <f t="shared" si="30"/>
        <v>93824784957</v>
      </c>
      <c r="AJ76" s="32">
        <f t="shared" si="31"/>
        <v>93824784.957000002</v>
      </c>
      <c r="AK76" s="47">
        <v>34759</v>
      </c>
      <c r="AL76" s="32">
        <f t="shared" si="32"/>
        <v>8.9638888888888886</v>
      </c>
      <c r="AM76" s="55">
        <f t="shared" si="34"/>
        <v>0.71309451475702301</v>
      </c>
      <c r="AN76" s="41" t="s">
        <v>99</v>
      </c>
      <c r="AO76" s="41" t="s">
        <v>99</v>
      </c>
      <c r="AP76" s="41" t="s">
        <v>99</v>
      </c>
      <c r="AQ76" s="57" t="s">
        <v>99</v>
      </c>
      <c r="AR76" s="43">
        <f t="shared" si="35"/>
        <v>-4.3094644034491231E-2</v>
      </c>
      <c r="AS76" s="43">
        <f t="shared" si="36"/>
        <v>-7.3956160979722241E-2</v>
      </c>
      <c r="AT76" s="43">
        <f t="shared" si="37"/>
        <v>-0.12951666796176858</v>
      </c>
      <c r="AU76" s="55">
        <f t="shared" si="38"/>
        <v>4.2748368382886148E-2</v>
      </c>
      <c r="AV76" s="58">
        <f t="shared" si="44"/>
        <v>0.4172365648391142</v>
      </c>
      <c r="AW76" s="58">
        <f t="shared" si="39"/>
        <v>1.0237676552033976</v>
      </c>
      <c r="AX76" s="58">
        <f t="shared" si="40"/>
        <v>1.040786095720371</v>
      </c>
      <c r="AZ76" s="43">
        <f t="shared" si="41"/>
        <v>0.60647153282354915</v>
      </c>
      <c r="BA76" s="44">
        <f t="shared" si="42"/>
        <v>-0.12951666796176858</v>
      </c>
    </row>
    <row r="77" spans="1:53" ht="15" thickBot="1" x14ac:dyDescent="0.35">
      <c r="A77" s="45">
        <v>73</v>
      </c>
      <c r="B77" s="46" t="str">
        <f t="shared" si="25"/>
        <v>O2 Czech Republic a.s.</v>
      </c>
      <c r="C77" s="47">
        <f t="shared" si="25"/>
        <v>34335</v>
      </c>
      <c r="D77" s="47">
        <v>38352</v>
      </c>
      <c r="E77" s="48">
        <f t="shared" si="33"/>
        <v>2004</v>
      </c>
      <c r="F77" s="32">
        <f t="shared" si="26"/>
        <v>11.158333333333333</v>
      </c>
      <c r="G77" s="49" t="s">
        <v>40</v>
      </c>
      <c r="H77" s="46" t="s">
        <v>124</v>
      </c>
      <c r="I77" s="50">
        <f t="shared" si="43"/>
        <v>0</v>
      </c>
      <c r="J77" s="51">
        <v>134203000</v>
      </c>
      <c r="K77" s="52">
        <v>98835000</v>
      </c>
      <c r="L77" s="52">
        <v>0</v>
      </c>
      <c r="M77" s="52">
        <v>0</v>
      </c>
      <c r="N77" s="52"/>
      <c r="O77" s="32">
        <f t="shared" si="27"/>
        <v>98835000</v>
      </c>
      <c r="P77" s="84">
        <v>4732000</v>
      </c>
      <c r="Q77" s="69" t="s">
        <v>108</v>
      </c>
      <c r="R77" s="51">
        <v>0</v>
      </c>
      <c r="S77" s="51">
        <v>90199000</v>
      </c>
      <c r="T77" s="51">
        <v>44004000</v>
      </c>
      <c r="U77" s="51">
        <v>0</v>
      </c>
      <c r="V77" s="51">
        <v>0</v>
      </c>
      <c r="W77" s="52">
        <v>62141000</v>
      </c>
      <c r="X77" s="52">
        <v>0</v>
      </c>
      <c r="Y77" s="32">
        <f t="shared" si="28"/>
        <v>62141000</v>
      </c>
      <c r="Z77" s="51">
        <v>7914000</v>
      </c>
      <c r="AA77" s="51">
        <v>5568000</v>
      </c>
      <c r="AB77" s="51">
        <v>0</v>
      </c>
      <c r="AC77" s="32">
        <f t="shared" si="29"/>
        <v>62141000</v>
      </c>
      <c r="AD77" s="99">
        <v>11000</v>
      </c>
      <c r="AE77" s="99">
        <v>9</v>
      </c>
      <c r="AF77" s="51">
        <v>4732000</v>
      </c>
      <c r="AG77" s="52">
        <v>322089890</v>
      </c>
      <c r="AH77" s="52">
        <v>369.2</v>
      </c>
      <c r="AI77" s="32">
        <f t="shared" si="30"/>
        <v>118915587388</v>
      </c>
      <c r="AJ77" s="32">
        <f t="shared" si="31"/>
        <v>118915587.388</v>
      </c>
      <c r="AK77" s="47">
        <v>34759</v>
      </c>
      <c r="AL77" s="32">
        <f t="shared" si="32"/>
        <v>9.9805555555555561</v>
      </c>
      <c r="AM77" s="55">
        <f t="shared" si="34"/>
        <v>0.73645894652131472</v>
      </c>
      <c r="AN77" s="41" t="s">
        <v>99</v>
      </c>
      <c r="AO77" s="41" t="s">
        <v>99</v>
      </c>
      <c r="AP77" s="41" t="s">
        <v>99</v>
      </c>
      <c r="AQ77" s="57" t="s">
        <v>99</v>
      </c>
      <c r="AR77" s="43">
        <f t="shared" si="35"/>
        <v>5.8970365789140333E-2</v>
      </c>
      <c r="AS77" s="43">
        <f t="shared" si="36"/>
        <v>8.7739331921639935E-2</v>
      </c>
      <c r="AT77" s="43">
        <f t="shared" si="37"/>
        <v>0.12735553016526932</v>
      </c>
      <c r="AU77" s="55">
        <f t="shared" si="38"/>
        <v>4.7877776091465575E-2</v>
      </c>
      <c r="AV77" s="58">
        <f t="shared" si="44"/>
        <v>0.32789132880785077</v>
      </c>
      <c r="AW77" s="58">
        <f t="shared" si="39"/>
        <v>1.2139787291491249</v>
      </c>
      <c r="AX77" s="58">
        <f t="shared" si="40"/>
        <v>1.3183692434284193</v>
      </c>
      <c r="AZ77" s="43">
        <f t="shared" si="41"/>
        <v>0.88608740034127398</v>
      </c>
      <c r="BA77" s="44">
        <f t="shared" si="42"/>
        <v>0.12735553016526932</v>
      </c>
    </row>
    <row r="78" spans="1:53" ht="15" thickBot="1" x14ac:dyDescent="0.35">
      <c r="A78" s="45">
        <v>74</v>
      </c>
      <c r="B78" s="46" t="str">
        <f t="shared" si="25"/>
        <v>O2 Czech Republic a.s.</v>
      </c>
      <c r="C78" s="47">
        <f t="shared" si="25"/>
        <v>34335</v>
      </c>
      <c r="D78" s="47">
        <v>38717</v>
      </c>
      <c r="E78" s="48">
        <f t="shared" si="33"/>
        <v>2005</v>
      </c>
      <c r="F78" s="32">
        <f t="shared" si="26"/>
        <v>12.172222222222222</v>
      </c>
      <c r="G78" s="49" t="s">
        <v>40</v>
      </c>
      <c r="H78" s="46" t="s">
        <v>124</v>
      </c>
      <c r="I78" s="50">
        <f t="shared" si="43"/>
        <v>0</v>
      </c>
      <c r="J78" s="73">
        <v>124211000</v>
      </c>
      <c r="K78" s="52">
        <v>88003000</v>
      </c>
      <c r="L78" s="52">
        <v>0</v>
      </c>
      <c r="M78" s="52">
        <v>0</v>
      </c>
      <c r="N78" s="52"/>
      <c r="O78" s="32">
        <f t="shared" si="27"/>
        <v>88003000</v>
      </c>
      <c r="P78" s="84">
        <v>4201000</v>
      </c>
      <c r="Q78" s="69" t="s">
        <v>108</v>
      </c>
      <c r="R78" s="51">
        <v>0</v>
      </c>
      <c r="S78" s="51">
        <v>94975000</v>
      </c>
      <c r="T78" s="51">
        <v>29236000</v>
      </c>
      <c r="U78" s="51">
        <v>0</v>
      </c>
      <c r="V78" s="51">
        <v>0</v>
      </c>
      <c r="W78" s="52">
        <v>61040000</v>
      </c>
      <c r="X78" s="52">
        <v>0</v>
      </c>
      <c r="Y78" s="32">
        <f t="shared" si="28"/>
        <v>61040000</v>
      </c>
      <c r="Z78" s="51">
        <v>8748000</v>
      </c>
      <c r="AA78" s="51">
        <v>6248000</v>
      </c>
      <c r="AB78" s="51">
        <v>0</v>
      </c>
      <c r="AC78" s="32">
        <f t="shared" si="29"/>
        <v>61040000</v>
      </c>
      <c r="AD78" s="51">
        <v>10541</v>
      </c>
      <c r="AE78" s="51">
        <v>5</v>
      </c>
      <c r="AF78" s="100">
        <v>4201000</v>
      </c>
      <c r="AG78" s="52">
        <v>322089890</v>
      </c>
      <c r="AH78" s="52">
        <v>524.5</v>
      </c>
      <c r="AI78" s="32">
        <f t="shared" si="30"/>
        <v>168936147305</v>
      </c>
      <c r="AJ78" s="32">
        <f t="shared" si="31"/>
        <v>168936147.30500001</v>
      </c>
      <c r="AK78" s="47">
        <f>+AK79</f>
        <v>34759</v>
      </c>
      <c r="AL78" s="32">
        <f t="shared" si="32"/>
        <v>10.994444444444444</v>
      </c>
      <c r="AM78" s="55">
        <f t="shared" si="34"/>
        <v>0.70849602692193125</v>
      </c>
      <c r="AN78" s="41" t="s">
        <v>99</v>
      </c>
      <c r="AO78" s="41" t="s">
        <v>99</v>
      </c>
      <c r="AP78" s="41" t="s">
        <v>99</v>
      </c>
      <c r="AQ78" s="57" t="s">
        <v>99</v>
      </c>
      <c r="AR78" s="43">
        <f t="shared" si="35"/>
        <v>7.0428544975887811E-2</v>
      </c>
      <c r="AS78" s="43">
        <f t="shared" si="36"/>
        <v>9.210844959199789E-2</v>
      </c>
      <c r="AT78" s="43">
        <f t="shared" si="37"/>
        <v>0.14331585845347314</v>
      </c>
      <c r="AU78" s="55">
        <f t="shared" si="38"/>
        <v>4.7737008965603442E-2</v>
      </c>
      <c r="AV78" s="58">
        <f t="shared" si="44"/>
        <v>0.23537367865970002</v>
      </c>
      <c r="AW78" s="58">
        <f t="shared" si="39"/>
        <v>1.5954476439687306</v>
      </c>
      <c r="AX78" s="58">
        <f t="shared" si="40"/>
        <v>1.7787433251381943</v>
      </c>
      <c r="AZ78" s="43">
        <f t="shared" si="41"/>
        <v>1.3600739653090306</v>
      </c>
      <c r="BA78" s="44">
        <f t="shared" si="42"/>
        <v>0.14331585845347314</v>
      </c>
    </row>
    <row r="79" spans="1:53" ht="15" thickBot="1" x14ac:dyDescent="0.35">
      <c r="A79" s="45">
        <v>75</v>
      </c>
      <c r="B79" s="46" t="str">
        <f t="shared" si="25"/>
        <v>O2 Czech Republic a.s.</v>
      </c>
      <c r="C79" s="47">
        <f t="shared" si="25"/>
        <v>34335</v>
      </c>
      <c r="D79" s="47">
        <v>39082</v>
      </c>
      <c r="E79" s="48">
        <f t="shared" si="33"/>
        <v>2006</v>
      </c>
      <c r="F79" s="32">
        <f t="shared" si="26"/>
        <v>13.186111111111112</v>
      </c>
      <c r="G79" s="49" t="s">
        <v>40</v>
      </c>
      <c r="H79" s="46" t="s">
        <v>124</v>
      </c>
      <c r="I79" s="50">
        <f t="shared" si="43"/>
        <v>0</v>
      </c>
      <c r="J79" s="51">
        <v>117877000</v>
      </c>
      <c r="K79" s="52">
        <v>78755000</v>
      </c>
      <c r="L79" s="52">
        <v>0</v>
      </c>
      <c r="M79" s="52">
        <v>0</v>
      </c>
      <c r="N79" s="52"/>
      <c r="O79" s="32">
        <f t="shared" si="27"/>
        <v>78755000</v>
      </c>
      <c r="P79" s="84">
        <v>6706000</v>
      </c>
      <c r="Q79" s="69" t="s">
        <v>108</v>
      </c>
      <c r="R79" s="51">
        <v>0</v>
      </c>
      <c r="S79" s="51">
        <v>88481000</v>
      </c>
      <c r="T79" s="51">
        <v>29396000</v>
      </c>
      <c r="U79" s="51">
        <v>0</v>
      </c>
      <c r="V79" s="51">
        <v>0</v>
      </c>
      <c r="W79" s="52">
        <v>61311000</v>
      </c>
      <c r="X79" s="52">
        <v>0</v>
      </c>
      <c r="Y79" s="32">
        <f t="shared" si="28"/>
        <v>61311000</v>
      </c>
      <c r="Z79" s="51">
        <v>10940000</v>
      </c>
      <c r="AA79" s="51">
        <v>8020000</v>
      </c>
      <c r="AB79" s="51">
        <v>0</v>
      </c>
      <c r="AC79" s="32">
        <f t="shared" si="29"/>
        <v>61311000</v>
      </c>
      <c r="AD79" s="51">
        <v>9951</v>
      </c>
      <c r="AE79" s="51">
        <v>9</v>
      </c>
      <c r="AF79" s="51">
        <v>6706000</v>
      </c>
      <c r="AG79" s="52">
        <v>322089900</v>
      </c>
      <c r="AH79" s="52">
        <v>476</v>
      </c>
      <c r="AI79" s="32">
        <f t="shared" si="30"/>
        <v>153314792400</v>
      </c>
      <c r="AJ79" s="32">
        <f t="shared" si="31"/>
        <v>153314792.40000001</v>
      </c>
      <c r="AK79" s="47">
        <v>34759</v>
      </c>
      <c r="AL79" s="32">
        <f t="shared" si="32"/>
        <v>12.008333333333333</v>
      </c>
      <c r="AM79" s="55">
        <f t="shared" si="34"/>
        <v>0.66811167572978614</v>
      </c>
      <c r="AN79" s="41" t="s">
        <v>99</v>
      </c>
      <c r="AO79" s="41" t="s">
        <v>99</v>
      </c>
      <c r="AP79" s="41" t="s">
        <v>99</v>
      </c>
      <c r="AQ79" s="57" t="s">
        <v>99</v>
      </c>
      <c r="AR79" s="43">
        <f t="shared" si="35"/>
        <v>9.2808605580393125E-2</v>
      </c>
      <c r="AS79" s="43">
        <f t="shared" si="36"/>
        <v>0.12364236389733389</v>
      </c>
      <c r="AT79" s="43">
        <f t="shared" si="37"/>
        <v>0.17843453866353509</v>
      </c>
      <c r="AU79" s="55">
        <f t="shared" si="38"/>
        <v>8.5150149196876385E-2</v>
      </c>
      <c r="AV79" s="58">
        <f t="shared" si="44"/>
        <v>0.24937858954673092</v>
      </c>
      <c r="AW79" s="58">
        <f t="shared" si="39"/>
        <v>1.5500122364837925</v>
      </c>
      <c r="AX79" s="58">
        <f t="shared" si="40"/>
        <v>1.7327425368158136</v>
      </c>
      <c r="AZ79" s="43">
        <f t="shared" si="41"/>
        <v>1.3006336469370616</v>
      </c>
      <c r="BA79" s="44">
        <f t="shared" si="42"/>
        <v>0.17843453866353509</v>
      </c>
    </row>
    <row r="80" spans="1:53" ht="15" thickBot="1" x14ac:dyDescent="0.35">
      <c r="A80" s="45">
        <v>76</v>
      </c>
      <c r="B80" s="46" t="str">
        <f t="shared" si="25"/>
        <v>O2 Czech Republic a.s.</v>
      </c>
      <c r="C80" s="47">
        <f t="shared" si="25"/>
        <v>34335</v>
      </c>
      <c r="D80" s="47">
        <v>39447</v>
      </c>
      <c r="E80" s="48">
        <f t="shared" si="33"/>
        <v>2007</v>
      </c>
      <c r="F80" s="32">
        <f t="shared" si="26"/>
        <v>14.2</v>
      </c>
      <c r="G80" s="49" t="s">
        <v>40</v>
      </c>
      <c r="H80" s="46" t="s">
        <v>124</v>
      </c>
      <c r="I80" s="50">
        <f t="shared" si="43"/>
        <v>0</v>
      </c>
      <c r="J80" s="51">
        <v>113552000</v>
      </c>
      <c r="K80" s="52">
        <v>71809000</v>
      </c>
      <c r="L80" s="52">
        <v>0</v>
      </c>
      <c r="M80" s="52">
        <v>0</v>
      </c>
      <c r="N80" s="52"/>
      <c r="O80" s="32">
        <f t="shared" si="27"/>
        <v>71809000</v>
      </c>
      <c r="P80" s="84">
        <v>8607000</v>
      </c>
      <c r="Q80" s="69" t="s">
        <v>108</v>
      </c>
      <c r="R80" s="51">
        <v>0</v>
      </c>
      <c r="S80" s="51">
        <v>82792000</v>
      </c>
      <c r="T80" s="51">
        <v>30760000</v>
      </c>
      <c r="U80" s="51">
        <v>0</v>
      </c>
      <c r="V80" s="51">
        <v>0</v>
      </c>
      <c r="W80" s="52">
        <v>63196000</v>
      </c>
      <c r="X80" s="52">
        <v>0</v>
      </c>
      <c r="Y80" s="32">
        <f t="shared" si="28"/>
        <v>63196000</v>
      </c>
      <c r="Z80" s="51">
        <v>13510000</v>
      </c>
      <c r="AA80" s="51">
        <v>10386000</v>
      </c>
      <c r="AB80" s="51">
        <v>0</v>
      </c>
      <c r="AC80" s="32">
        <f t="shared" si="29"/>
        <v>63196000</v>
      </c>
      <c r="AD80" s="51">
        <v>9417</v>
      </c>
      <c r="AE80" s="51">
        <v>9</v>
      </c>
      <c r="AF80" s="51">
        <v>8607000</v>
      </c>
      <c r="AG80" s="52">
        <v>322089900</v>
      </c>
      <c r="AH80" s="52">
        <v>544.79999999999995</v>
      </c>
      <c r="AI80" s="32">
        <f t="shared" si="30"/>
        <v>175474577520</v>
      </c>
      <c r="AJ80" s="32">
        <f t="shared" si="31"/>
        <v>175474577.52000001</v>
      </c>
      <c r="AK80" s="47">
        <v>34759</v>
      </c>
      <c r="AL80" s="32">
        <f t="shared" si="32"/>
        <v>13.022222222222222</v>
      </c>
      <c r="AM80" s="55">
        <f t="shared" si="34"/>
        <v>0.63238868536001125</v>
      </c>
      <c r="AN80" s="41" t="s">
        <v>99</v>
      </c>
      <c r="AO80" s="41" t="s">
        <v>99</v>
      </c>
      <c r="AP80" s="41" t="s">
        <v>99</v>
      </c>
      <c r="AQ80" s="57" t="s">
        <v>99</v>
      </c>
      <c r="AR80" s="43">
        <f t="shared" si="35"/>
        <v>0.11897632802592645</v>
      </c>
      <c r="AS80" s="43">
        <f t="shared" si="36"/>
        <v>0.16318001739298482</v>
      </c>
      <c r="AT80" s="43">
        <f t="shared" si="37"/>
        <v>0.21377935312361543</v>
      </c>
      <c r="AU80" s="55">
        <f t="shared" si="38"/>
        <v>0.11985962762327843</v>
      </c>
      <c r="AV80" s="58">
        <f t="shared" si="44"/>
        <v>0.27088910807383404</v>
      </c>
      <c r="AW80" s="58">
        <f t="shared" si="39"/>
        <v>1.8162126384387771</v>
      </c>
      <c r="AX80" s="58">
        <f t="shared" si="40"/>
        <v>2.1194629616388059</v>
      </c>
      <c r="AZ80" s="43">
        <f t="shared" si="41"/>
        <v>1.5453235303649431</v>
      </c>
      <c r="BA80" s="44">
        <f t="shared" si="42"/>
        <v>0.21377935312361543</v>
      </c>
    </row>
    <row r="81" spans="1:53" ht="15" thickBot="1" x14ac:dyDescent="0.35">
      <c r="A81" s="45">
        <v>77</v>
      </c>
      <c r="B81" s="46" t="str">
        <f t="shared" si="25"/>
        <v>O2 Czech Republic a.s.</v>
      </c>
      <c r="C81" s="47">
        <f t="shared" si="25"/>
        <v>34335</v>
      </c>
      <c r="D81" s="47">
        <v>39813</v>
      </c>
      <c r="E81" s="48">
        <f t="shared" si="33"/>
        <v>2008</v>
      </c>
      <c r="F81" s="32">
        <f t="shared" si="26"/>
        <v>15.216666666666667</v>
      </c>
      <c r="G81" s="49" t="s">
        <v>40</v>
      </c>
      <c r="H81" s="46" t="s">
        <v>124</v>
      </c>
      <c r="I81" s="50">
        <f t="shared" si="43"/>
        <v>0</v>
      </c>
      <c r="J81" s="51">
        <v>103623000</v>
      </c>
      <c r="K81" s="52">
        <v>63429000</v>
      </c>
      <c r="L81" s="52">
        <v>0</v>
      </c>
      <c r="M81" s="52">
        <v>0</v>
      </c>
      <c r="N81" s="52"/>
      <c r="O81" s="32">
        <f t="shared" si="27"/>
        <v>63429000</v>
      </c>
      <c r="P81" s="84">
        <v>12042000</v>
      </c>
      <c r="Q81" s="69" t="s">
        <v>108</v>
      </c>
      <c r="R81" s="51">
        <v>0</v>
      </c>
      <c r="S81" s="51">
        <v>78168000</v>
      </c>
      <c r="T81" s="51">
        <v>25455000</v>
      </c>
      <c r="U81" s="51">
        <v>0</v>
      </c>
      <c r="V81" s="51">
        <v>0</v>
      </c>
      <c r="W81" s="52">
        <v>64709000</v>
      </c>
      <c r="X81" s="52">
        <v>0</v>
      </c>
      <c r="Y81" s="32">
        <f t="shared" si="28"/>
        <v>64709000</v>
      </c>
      <c r="Z81" s="51">
        <v>15348000</v>
      </c>
      <c r="AA81" s="51">
        <v>11628000</v>
      </c>
      <c r="AB81" s="51">
        <v>0</v>
      </c>
      <c r="AC81" s="32">
        <f t="shared" si="29"/>
        <v>64709000</v>
      </c>
      <c r="AD81" s="51">
        <v>9258</v>
      </c>
      <c r="AE81" s="51">
        <v>7</v>
      </c>
      <c r="AF81" s="51">
        <v>12042000</v>
      </c>
      <c r="AG81" s="52">
        <v>322089900</v>
      </c>
      <c r="AH81" s="52">
        <v>424.1</v>
      </c>
      <c r="AI81" s="32">
        <f t="shared" si="30"/>
        <v>136598326590</v>
      </c>
      <c r="AJ81" s="32">
        <f t="shared" si="31"/>
        <v>136598326.59</v>
      </c>
      <c r="AK81" s="47">
        <v>34759</v>
      </c>
      <c r="AL81" s="32">
        <f t="shared" si="32"/>
        <v>14.03888888888889</v>
      </c>
      <c r="AM81" s="55">
        <f t="shared" si="34"/>
        <v>0.61211314090501145</v>
      </c>
      <c r="AN81" s="41" t="s">
        <v>99</v>
      </c>
      <c r="AO81" s="41" t="s">
        <v>99</v>
      </c>
      <c r="AP81" s="41" t="s">
        <v>99</v>
      </c>
      <c r="AQ81" s="57" t="s">
        <v>99</v>
      </c>
      <c r="AR81" s="43">
        <f t="shared" si="35"/>
        <v>0.14811383573144959</v>
      </c>
      <c r="AS81" s="43">
        <f t="shared" si="36"/>
        <v>0.19634633097942891</v>
      </c>
      <c r="AT81" s="43">
        <f t="shared" si="37"/>
        <v>0.23718493563491941</v>
      </c>
      <c r="AU81" s="55">
        <f t="shared" si="38"/>
        <v>0.1898500685806177</v>
      </c>
      <c r="AV81" s="58">
        <f t="shared" si="44"/>
        <v>0.24565009698619034</v>
      </c>
      <c r="AW81" s="58">
        <f t="shared" si="39"/>
        <v>1.5638741070032716</v>
      </c>
      <c r="AX81" s="58">
        <f t="shared" si="40"/>
        <v>1.7474967581363219</v>
      </c>
      <c r="AZ81" s="43">
        <f t="shared" si="41"/>
        <v>1.3182240100170812</v>
      </c>
      <c r="BA81" s="44">
        <f t="shared" si="42"/>
        <v>0.23718493563491941</v>
      </c>
    </row>
    <row r="82" spans="1:53" ht="15" thickBot="1" x14ac:dyDescent="0.35">
      <c r="A82" s="45">
        <v>78</v>
      </c>
      <c r="B82" s="46" t="str">
        <f t="shared" si="25"/>
        <v>O2 Czech Republic a.s.</v>
      </c>
      <c r="C82" s="47">
        <f t="shared" si="25"/>
        <v>34335</v>
      </c>
      <c r="D82" s="47">
        <v>40178</v>
      </c>
      <c r="E82" s="48">
        <f t="shared" si="33"/>
        <v>2009</v>
      </c>
      <c r="F82" s="32">
        <f t="shared" si="26"/>
        <v>16.230555555555554</v>
      </c>
      <c r="G82" s="49" t="s">
        <v>40</v>
      </c>
      <c r="H82" s="46" t="s">
        <v>124</v>
      </c>
      <c r="I82" s="50">
        <f t="shared" si="43"/>
        <v>0</v>
      </c>
      <c r="J82" s="51">
        <v>92768000</v>
      </c>
      <c r="K82" s="52">
        <v>57545000</v>
      </c>
      <c r="L82" s="52">
        <v>0</v>
      </c>
      <c r="M82" s="52">
        <v>0</v>
      </c>
      <c r="N82" s="52"/>
      <c r="O82" s="32">
        <f t="shared" si="27"/>
        <v>57545000</v>
      </c>
      <c r="P82" s="84">
        <v>11100000</v>
      </c>
      <c r="Q82" s="69" t="s">
        <v>108</v>
      </c>
      <c r="R82" s="51">
        <v>0</v>
      </c>
      <c r="S82" s="51">
        <v>73879000</v>
      </c>
      <c r="T82" s="51">
        <v>18889000</v>
      </c>
      <c r="U82" s="51">
        <v>0</v>
      </c>
      <c r="V82" s="51">
        <v>0</v>
      </c>
      <c r="W82" s="52">
        <v>59899000</v>
      </c>
      <c r="X82" s="52">
        <v>0</v>
      </c>
      <c r="Y82" s="32">
        <f t="shared" si="28"/>
        <v>59899000</v>
      </c>
      <c r="Z82" s="51">
        <v>14877000</v>
      </c>
      <c r="AA82" s="51">
        <v>11817000</v>
      </c>
      <c r="AB82" s="51">
        <v>0</v>
      </c>
      <c r="AC82" s="32">
        <f t="shared" si="29"/>
        <v>59899000</v>
      </c>
      <c r="AD82" s="51">
        <v>8974</v>
      </c>
      <c r="AE82" s="51">
        <v>5</v>
      </c>
      <c r="AF82" s="51">
        <v>11100000</v>
      </c>
      <c r="AG82" s="52">
        <v>322089900</v>
      </c>
      <c r="AH82" s="52">
        <v>418</v>
      </c>
      <c r="AI82" s="32">
        <f t="shared" si="30"/>
        <v>134633578200</v>
      </c>
      <c r="AJ82" s="32">
        <f t="shared" si="31"/>
        <v>134633578.19999999</v>
      </c>
      <c r="AK82" s="47">
        <v>34759</v>
      </c>
      <c r="AL82" s="32">
        <f t="shared" si="32"/>
        <v>15.052777777777777</v>
      </c>
      <c r="AM82" s="55">
        <f t="shared" si="34"/>
        <v>0.62031088306312521</v>
      </c>
      <c r="AN82" s="41" t="s">
        <v>99</v>
      </c>
      <c r="AO82" s="41" t="s">
        <v>99</v>
      </c>
      <c r="AP82" s="41" t="s">
        <v>99</v>
      </c>
      <c r="AQ82" s="57" t="s">
        <v>99</v>
      </c>
      <c r="AR82" s="43">
        <f t="shared" si="35"/>
        <v>0.16036779924111763</v>
      </c>
      <c r="AS82" s="43">
        <f t="shared" si="36"/>
        <v>0.20136980738775564</v>
      </c>
      <c r="AT82" s="43">
        <f t="shared" si="37"/>
        <v>0.24836808627856893</v>
      </c>
      <c r="AU82" s="55">
        <f t="shared" si="38"/>
        <v>0.19289251889825354</v>
      </c>
      <c r="AV82" s="58">
        <f t="shared" si="44"/>
        <v>0.20361547085201795</v>
      </c>
      <c r="AW82" s="58">
        <f t="shared" si="39"/>
        <v>1.6549087853570195</v>
      </c>
      <c r="AX82" s="58">
        <f t="shared" si="40"/>
        <v>1.8223524709321999</v>
      </c>
      <c r="AZ82" s="43">
        <f t="shared" si="41"/>
        <v>1.4512933145050015</v>
      </c>
      <c r="BA82" s="44">
        <f t="shared" si="42"/>
        <v>0.24836808627856893</v>
      </c>
    </row>
    <row r="83" spans="1:53" ht="15" thickBot="1" x14ac:dyDescent="0.35">
      <c r="A83" s="45">
        <v>79</v>
      </c>
      <c r="B83" s="46" t="str">
        <f t="shared" si="25"/>
        <v>O2 Czech Republic a.s.</v>
      </c>
      <c r="C83" s="47">
        <f t="shared" si="25"/>
        <v>34335</v>
      </c>
      <c r="D83" s="101">
        <v>40543</v>
      </c>
      <c r="E83" s="102">
        <f t="shared" si="33"/>
        <v>2010</v>
      </c>
      <c r="F83" s="32">
        <f t="shared" si="26"/>
        <v>17.244444444444444</v>
      </c>
      <c r="G83" s="49" t="s">
        <v>40</v>
      </c>
      <c r="H83" s="46" t="s">
        <v>124</v>
      </c>
      <c r="I83" s="50">
        <f t="shared" si="43"/>
        <v>0</v>
      </c>
      <c r="J83" s="51">
        <v>92792000</v>
      </c>
      <c r="K83" s="52">
        <v>56651000</v>
      </c>
      <c r="L83" s="52">
        <v>0</v>
      </c>
      <c r="M83" s="52">
        <v>0</v>
      </c>
      <c r="N83" s="52"/>
      <c r="O83" s="32">
        <f t="shared" si="27"/>
        <v>56651000</v>
      </c>
      <c r="P83" s="84">
        <v>10138000</v>
      </c>
      <c r="Q83" s="69" t="s">
        <v>108</v>
      </c>
      <c r="R83" s="51">
        <v>0</v>
      </c>
      <c r="S83" s="51">
        <v>73176000</v>
      </c>
      <c r="T83" s="51">
        <v>19616000</v>
      </c>
      <c r="U83" s="51">
        <v>0</v>
      </c>
      <c r="V83" s="51">
        <v>0</v>
      </c>
      <c r="W83" s="52">
        <v>46004000</v>
      </c>
      <c r="X83" s="52">
        <v>0</v>
      </c>
      <c r="Y83" s="32">
        <f t="shared" si="28"/>
        <v>46004000</v>
      </c>
      <c r="Z83" s="51">
        <v>15318000</v>
      </c>
      <c r="AA83" s="51">
        <v>12173000</v>
      </c>
      <c r="AB83" s="51">
        <v>9708000</v>
      </c>
      <c r="AC83" s="32">
        <f t="shared" si="29"/>
        <v>55712000</v>
      </c>
      <c r="AD83" s="51">
        <v>8145</v>
      </c>
      <c r="AE83" s="51">
        <v>5</v>
      </c>
      <c r="AF83" s="51">
        <v>10138000</v>
      </c>
      <c r="AG83" s="52">
        <v>322089900</v>
      </c>
      <c r="AH83" s="52">
        <v>381.5</v>
      </c>
      <c r="AI83" s="32">
        <f t="shared" si="30"/>
        <v>122877296850</v>
      </c>
      <c r="AJ83" s="32">
        <f t="shared" si="31"/>
        <v>122877296.84999999</v>
      </c>
      <c r="AK83" s="47">
        <v>34759</v>
      </c>
      <c r="AL83" s="32">
        <f t="shared" si="32"/>
        <v>16.066666666666666</v>
      </c>
      <c r="AM83" s="55">
        <f t="shared" si="34"/>
        <v>0.6105159927579964</v>
      </c>
      <c r="AN83" s="41" t="s">
        <v>99</v>
      </c>
      <c r="AO83" s="41" t="s">
        <v>99</v>
      </c>
      <c r="AP83" s="41" t="s">
        <v>99</v>
      </c>
      <c r="AQ83" s="57" t="s">
        <v>99</v>
      </c>
      <c r="AR83" s="43">
        <f t="shared" si="35"/>
        <v>0.16507888611087163</v>
      </c>
      <c r="AS83" s="43">
        <f t="shared" si="36"/>
        <v>0.20933092817317153</v>
      </c>
      <c r="AT83" s="43">
        <f t="shared" si="37"/>
        <v>0.27494974152785756</v>
      </c>
      <c r="AU83" s="55">
        <f t="shared" si="38"/>
        <v>0.17895535824610334</v>
      </c>
      <c r="AV83" s="58">
        <f t="shared" si="44"/>
        <v>0.2113975342701957</v>
      </c>
      <c r="AW83" s="58">
        <f t="shared" si="39"/>
        <v>1.5356204936848004</v>
      </c>
      <c r="AX83" s="58">
        <f t="shared" si="40"/>
        <v>1.6792021543948834</v>
      </c>
      <c r="AZ83" s="43">
        <f t="shared" si="41"/>
        <v>1.3242229594146047</v>
      </c>
      <c r="BA83" s="44">
        <f t="shared" si="42"/>
        <v>0.27494974152785756</v>
      </c>
    </row>
    <row r="84" spans="1:53" ht="15" thickBot="1" x14ac:dyDescent="0.35">
      <c r="A84" s="45">
        <v>80</v>
      </c>
      <c r="B84" s="46" t="str">
        <f t="shared" si="25"/>
        <v>O2 Czech Republic a.s.</v>
      </c>
      <c r="C84" s="47">
        <f t="shared" si="25"/>
        <v>34335</v>
      </c>
      <c r="D84" s="101">
        <v>40908</v>
      </c>
      <c r="E84" s="102">
        <f t="shared" si="33"/>
        <v>2011</v>
      </c>
      <c r="F84" s="32">
        <f t="shared" si="26"/>
        <v>18.258333333333333</v>
      </c>
      <c r="G84" s="49" t="s">
        <v>40</v>
      </c>
      <c r="H84" s="46" t="s">
        <v>124</v>
      </c>
      <c r="I84" s="50">
        <f t="shared" si="43"/>
        <v>0</v>
      </c>
      <c r="J84" s="51">
        <v>88982000</v>
      </c>
      <c r="K84" s="52">
        <v>51525000</v>
      </c>
      <c r="L84" s="52">
        <v>0</v>
      </c>
      <c r="M84" s="52">
        <v>0</v>
      </c>
      <c r="N84" s="52"/>
      <c r="O84" s="32">
        <f t="shared" si="27"/>
        <v>51525000</v>
      </c>
      <c r="P84" s="84">
        <v>9984000</v>
      </c>
      <c r="Q84" s="69" t="s">
        <v>108</v>
      </c>
      <c r="R84" s="51">
        <v>0</v>
      </c>
      <c r="S84" s="51">
        <v>69097000</v>
      </c>
      <c r="T84" s="51">
        <v>19885000</v>
      </c>
      <c r="U84" s="51">
        <v>0</v>
      </c>
      <c r="V84" s="51">
        <v>0</v>
      </c>
      <c r="W84" s="52">
        <v>45898000</v>
      </c>
      <c r="X84" s="52">
        <v>0</v>
      </c>
      <c r="Y84" s="32">
        <f t="shared" si="28"/>
        <v>45898000</v>
      </c>
      <c r="Z84" s="51">
        <v>10008000</v>
      </c>
      <c r="AA84" s="51">
        <v>8794000</v>
      </c>
      <c r="AB84" s="51">
        <v>9814000</v>
      </c>
      <c r="AC84" s="32">
        <f t="shared" si="29"/>
        <v>55712000</v>
      </c>
      <c r="AD84" s="51">
        <v>7297</v>
      </c>
      <c r="AE84" s="51">
        <v>4</v>
      </c>
      <c r="AF84" s="51">
        <v>9984000</v>
      </c>
      <c r="AG84" s="52">
        <v>322089900</v>
      </c>
      <c r="AH84" s="52">
        <v>383.1</v>
      </c>
      <c r="AI84" s="32">
        <f t="shared" si="30"/>
        <v>123392640690</v>
      </c>
      <c r="AJ84" s="32">
        <f t="shared" si="31"/>
        <v>123392640.69</v>
      </c>
      <c r="AK84" s="47">
        <v>34759</v>
      </c>
      <c r="AL84" s="32">
        <f t="shared" si="32"/>
        <v>17.080555555555556</v>
      </c>
      <c r="AM84" s="55">
        <f t="shared" si="34"/>
        <v>0.57904969544402241</v>
      </c>
      <c r="AN84" s="41" t="s">
        <v>99</v>
      </c>
      <c r="AO84" s="41" t="s">
        <v>99</v>
      </c>
      <c r="AP84" s="41" t="s">
        <v>99</v>
      </c>
      <c r="AQ84" s="57" t="s">
        <v>99</v>
      </c>
      <c r="AR84" s="43">
        <f t="shared" si="35"/>
        <v>0.11247218538580836</v>
      </c>
      <c r="AS84" s="43">
        <f t="shared" si="36"/>
        <v>0.1448398628015688</v>
      </c>
      <c r="AT84" s="43">
        <f t="shared" si="37"/>
        <v>0.17963813900057438</v>
      </c>
      <c r="AU84" s="55">
        <f t="shared" si="38"/>
        <v>0.19377001455604076</v>
      </c>
      <c r="AV84" s="58">
        <f t="shared" si="44"/>
        <v>0.22347216290935246</v>
      </c>
      <c r="AW84" s="58">
        <f t="shared" si="39"/>
        <v>1.6101867871030096</v>
      </c>
      <c r="AX84" s="58">
        <f t="shared" si="40"/>
        <v>1.7857886838791843</v>
      </c>
      <c r="AZ84" s="43">
        <f t="shared" si="41"/>
        <v>1.3867146241936572</v>
      </c>
      <c r="BA84" s="44">
        <f t="shared" si="42"/>
        <v>0.17963813900057438</v>
      </c>
    </row>
    <row r="85" spans="1:53" ht="15" thickBot="1" x14ac:dyDescent="0.35">
      <c r="A85" s="45">
        <v>81</v>
      </c>
      <c r="B85" s="46" t="str">
        <f t="shared" ref="B85:C92" si="45">+B84</f>
        <v>O2 Czech Republic a.s.</v>
      </c>
      <c r="C85" s="47">
        <f t="shared" si="45"/>
        <v>34335</v>
      </c>
      <c r="D85" s="101">
        <v>41274</v>
      </c>
      <c r="E85" s="102">
        <f t="shared" si="33"/>
        <v>2012</v>
      </c>
      <c r="F85" s="32">
        <f t="shared" si="26"/>
        <v>19.274999999999999</v>
      </c>
      <c r="G85" s="49" t="s">
        <v>40</v>
      </c>
      <c r="H85" s="46" t="s">
        <v>124</v>
      </c>
      <c r="I85" s="50">
        <f t="shared" si="43"/>
        <v>0</v>
      </c>
      <c r="J85" s="51">
        <v>79199000</v>
      </c>
      <c r="K85" s="52">
        <v>46691000</v>
      </c>
      <c r="L85" s="52">
        <v>0</v>
      </c>
      <c r="M85" s="52">
        <v>0</v>
      </c>
      <c r="N85" s="52"/>
      <c r="O85" s="32">
        <f t="shared" si="27"/>
        <v>46691000</v>
      </c>
      <c r="P85" s="84">
        <v>9061000</v>
      </c>
      <c r="Q85" s="69" t="s">
        <v>108</v>
      </c>
      <c r="R85" s="51">
        <v>0</v>
      </c>
      <c r="S85" s="51">
        <v>60574000</v>
      </c>
      <c r="T85" s="51">
        <v>18625000</v>
      </c>
      <c r="U85" s="51">
        <v>0</v>
      </c>
      <c r="V85" s="51">
        <v>0</v>
      </c>
      <c r="W85" s="52">
        <v>40740000</v>
      </c>
      <c r="X85" s="52">
        <v>0</v>
      </c>
      <c r="Y85" s="32">
        <f t="shared" si="28"/>
        <v>40740000</v>
      </c>
      <c r="Z85" s="51">
        <v>8156000</v>
      </c>
      <c r="AA85" s="51">
        <v>6711000</v>
      </c>
      <c r="AB85" s="51">
        <v>9794000</v>
      </c>
      <c r="AC85" s="32">
        <f t="shared" si="29"/>
        <v>50534000</v>
      </c>
      <c r="AD85" s="51">
        <v>6275</v>
      </c>
      <c r="AE85" s="51">
        <v>7</v>
      </c>
      <c r="AF85" s="51">
        <v>9061000</v>
      </c>
      <c r="AG85" s="52">
        <v>322089900</v>
      </c>
      <c r="AH85" s="52">
        <v>323.5</v>
      </c>
      <c r="AI85" s="32">
        <f t="shared" si="30"/>
        <v>104196082650</v>
      </c>
      <c r="AJ85" s="32">
        <f t="shared" si="31"/>
        <v>104196082.65000001</v>
      </c>
      <c r="AK85" s="47">
        <v>34759</v>
      </c>
      <c r="AL85" s="32">
        <f t="shared" si="32"/>
        <v>18.097222222222221</v>
      </c>
      <c r="AM85" s="55">
        <f t="shared" si="34"/>
        <v>0.58954027197313097</v>
      </c>
      <c r="AN85" s="41" t="s">
        <v>99</v>
      </c>
      <c r="AO85" s="41" t="s">
        <v>99</v>
      </c>
      <c r="AP85" s="41" t="s">
        <v>99</v>
      </c>
      <c r="AQ85" s="57" t="s">
        <v>99</v>
      </c>
      <c r="AR85" s="43">
        <f t="shared" si="35"/>
        <v>0.10298109824618998</v>
      </c>
      <c r="AS85" s="43">
        <f t="shared" si="36"/>
        <v>0.13464522732525505</v>
      </c>
      <c r="AT85" s="43">
        <f t="shared" si="37"/>
        <v>0.16139628764792022</v>
      </c>
      <c r="AU85" s="55">
        <f t="shared" si="38"/>
        <v>0.1940630956715427</v>
      </c>
      <c r="AV85" s="58">
        <f t="shared" si="44"/>
        <v>0.23516711069584212</v>
      </c>
      <c r="AW85" s="58">
        <f t="shared" si="39"/>
        <v>1.550790826273059</v>
      </c>
      <c r="AX85" s="58">
        <f t="shared" si="40"/>
        <v>1.7201453205995973</v>
      </c>
      <c r="AZ85" s="43">
        <f t="shared" si="41"/>
        <v>1.315623715577217</v>
      </c>
      <c r="BA85" s="44">
        <f t="shared" si="42"/>
        <v>0.16139628764792022</v>
      </c>
    </row>
    <row r="86" spans="1:53" ht="15" thickBot="1" x14ac:dyDescent="0.35">
      <c r="A86" s="45">
        <v>82</v>
      </c>
      <c r="B86" s="46" t="str">
        <f t="shared" si="45"/>
        <v>O2 Czech Republic a.s.</v>
      </c>
      <c r="C86" s="47">
        <f t="shared" si="45"/>
        <v>34335</v>
      </c>
      <c r="D86" s="101">
        <v>41639</v>
      </c>
      <c r="E86" s="102">
        <f t="shared" si="33"/>
        <v>2013</v>
      </c>
      <c r="F86" s="32">
        <f t="shared" si="26"/>
        <v>20.288888888888888</v>
      </c>
      <c r="G86" s="49" t="s">
        <v>40</v>
      </c>
      <c r="H86" s="46" t="s">
        <v>124</v>
      </c>
      <c r="I86" s="50">
        <f t="shared" si="43"/>
        <v>0</v>
      </c>
      <c r="J86" s="51">
        <v>73949000</v>
      </c>
      <c r="K86" s="52">
        <v>41857000</v>
      </c>
      <c r="L86" s="52">
        <v>0</v>
      </c>
      <c r="M86" s="52">
        <v>0</v>
      </c>
      <c r="N86" s="52"/>
      <c r="O86" s="32">
        <f t="shared" si="27"/>
        <v>41857000</v>
      </c>
      <c r="P86" s="84">
        <v>6887000</v>
      </c>
      <c r="Q86" s="69" t="s">
        <v>108</v>
      </c>
      <c r="R86" s="51">
        <v>0</v>
      </c>
      <c r="S86" s="51">
        <v>55749000</v>
      </c>
      <c r="T86" s="51">
        <v>18200000</v>
      </c>
      <c r="U86" s="51">
        <v>0</v>
      </c>
      <c r="V86" s="51">
        <v>0</v>
      </c>
      <c r="W86" s="52">
        <v>47895000</v>
      </c>
      <c r="X86" s="52">
        <v>0</v>
      </c>
      <c r="Y86" s="32">
        <f t="shared" si="28"/>
        <v>47895000</v>
      </c>
      <c r="Z86" s="51">
        <v>7264000</v>
      </c>
      <c r="AA86" s="51">
        <v>6068000</v>
      </c>
      <c r="AB86" s="51">
        <v>867000</v>
      </c>
      <c r="AC86" s="32">
        <f t="shared" si="29"/>
        <v>48762000</v>
      </c>
      <c r="AD86" s="51">
        <v>5607</v>
      </c>
      <c r="AE86" s="51">
        <v>7</v>
      </c>
      <c r="AF86" s="51">
        <v>6887000</v>
      </c>
      <c r="AG86" s="52">
        <v>315648092</v>
      </c>
      <c r="AH86" s="52">
        <v>295</v>
      </c>
      <c r="AI86" s="32">
        <f t="shared" si="30"/>
        <v>93116187140</v>
      </c>
      <c r="AJ86" s="32">
        <f t="shared" si="31"/>
        <v>93116187.140000001</v>
      </c>
      <c r="AK86" s="47">
        <v>34759</v>
      </c>
      <c r="AL86" s="32">
        <f t="shared" si="32"/>
        <v>19.111111111111111</v>
      </c>
      <c r="AM86" s="55">
        <f t="shared" si="34"/>
        <v>0.56602523360694534</v>
      </c>
      <c r="AN86" s="41" t="s">
        <v>99</v>
      </c>
      <c r="AO86" s="41" t="s">
        <v>99</v>
      </c>
      <c r="AP86" s="41" t="s">
        <v>99</v>
      </c>
      <c r="AQ86" s="57" t="s">
        <v>99</v>
      </c>
      <c r="AR86" s="43">
        <f t="shared" si="35"/>
        <v>9.8229861120501971E-2</v>
      </c>
      <c r="AS86" s="43">
        <f t="shared" si="36"/>
        <v>0.13029830131482179</v>
      </c>
      <c r="AT86" s="43">
        <f t="shared" si="37"/>
        <v>0.14896845904597841</v>
      </c>
      <c r="AU86" s="55">
        <f t="shared" si="38"/>
        <v>0.16453639773514586</v>
      </c>
      <c r="AV86" s="58">
        <f t="shared" si="44"/>
        <v>0.24611556613341629</v>
      </c>
      <c r="AW86" s="58">
        <f t="shared" si="39"/>
        <v>1.5053102427348579</v>
      </c>
      <c r="AX86" s="58">
        <f t="shared" si="40"/>
        <v>1.6702754693357729</v>
      </c>
      <c r="AZ86" s="43">
        <f t="shared" si="41"/>
        <v>1.2591946766014415</v>
      </c>
      <c r="BA86" s="44">
        <f t="shared" si="42"/>
        <v>0.14896845904597841</v>
      </c>
    </row>
    <row r="87" spans="1:53" ht="15" thickBot="1" x14ac:dyDescent="0.35">
      <c r="A87" s="45">
        <v>83</v>
      </c>
      <c r="B87" s="46" t="str">
        <f t="shared" si="45"/>
        <v>O2 Czech Republic a.s.</v>
      </c>
      <c r="C87" s="47">
        <f t="shared" si="45"/>
        <v>34335</v>
      </c>
      <c r="D87" s="101">
        <v>42004</v>
      </c>
      <c r="E87" s="102">
        <f t="shared" si="33"/>
        <v>2014</v>
      </c>
      <c r="F87" s="32">
        <f t="shared" si="26"/>
        <v>21.302777777777777</v>
      </c>
      <c r="G87" s="49" t="s">
        <v>40</v>
      </c>
      <c r="H87" s="46" t="s">
        <v>124</v>
      </c>
      <c r="I87" s="50">
        <f t="shared" si="43"/>
        <v>0</v>
      </c>
      <c r="J87" s="51">
        <v>74290000</v>
      </c>
      <c r="K87" s="52">
        <v>36200000</v>
      </c>
      <c r="L87" s="52">
        <v>0</v>
      </c>
      <c r="M87" s="52">
        <v>0</v>
      </c>
      <c r="N87" s="52"/>
      <c r="O87" s="32">
        <f t="shared" si="27"/>
        <v>36200000</v>
      </c>
      <c r="P87" s="84">
        <v>6815000</v>
      </c>
      <c r="Q87" s="69" t="s">
        <v>108</v>
      </c>
      <c r="R87" s="51">
        <v>0</v>
      </c>
      <c r="S87" s="51">
        <v>54153000</v>
      </c>
      <c r="T87" s="51">
        <v>20137000</v>
      </c>
      <c r="U87" s="51">
        <v>0</v>
      </c>
      <c r="V87" s="51">
        <v>0</v>
      </c>
      <c r="W87" s="52">
        <v>44689000</v>
      </c>
      <c r="X87" s="52">
        <v>0</v>
      </c>
      <c r="Y87" s="32">
        <f t="shared" si="28"/>
        <v>44689000</v>
      </c>
      <c r="Z87" s="51">
        <v>5178000</v>
      </c>
      <c r="AA87" s="51">
        <v>4038000</v>
      </c>
      <c r="AB87" s="51">
        <v>775000</v>
      </c>
      <c r="AC87" s="32">
        <f t="shared" si="29"/>
        <v>45464000</v>
      </c>
      <c r="AD87" s="51">
        <v>4892</v>
      </c>
      <c r="AE87" s="51">
        <v>5</v>
      </c>
      <c r="AF87" s="51">
        <v>6815000</v>
      </c>
      <c r="AG87" s="52">
        <v>315648092</v>
      </c>
      <c r="AH87" s="52">
        <v>233</v>
      </c>
      <c r="AI87" s="32">
        <f t="shared" si="30"/>
        <v>73546005436</v>
      </c>
      <c r="AJ87" s="32">
        <f t="shared" si="31"/>
        <v>73546005.436000004</v>
      </c>
      <c r="AK87" s="47">
        <v>34759</v>
      </c>
      <c r="AL87" s="32">
        <f t="shared" si="32"/>
        <v>20.125</v>
      </c>
      <c r="AM87" s="55">
        <f t="shared" si="34"/>
        <v>0.48727958002422939</v>
      </c>
      <c r="AN87" s="41" t="s">
        <v>99</v>
      </c>
      <c r="AO87" s="41" t="s">
        <v>99</v>
      </c>
      <c r="AP87" s="41" t="s">
        <v>99</v>
      </c>
      <c r="AQ87" s="57" t="s">
        <v>99</v>
      </c>
      <c r="AR87" s="43">
        <f t="shared" si="35"/>
        <v>6.969982501009557E-2</v>
      </c>
      <c r="AS87" s="43">
        <f t="shared" si="36"/>
        <v>9.5617971303528893E-2</v>
      </c>
      <c r="AT87" s="43">
        <f t="shared" si="37"/>
        <v>0.11389231039943691</v>
      </c>
      <c r="AU87" s="55">
        <f t="shared" si="38"/>
        <v>0.18825966850828729</v>
      </c>
      <c r="AV87" s="58">
        <f t="shared" si="44"/>
        <v>0.27105936195988695</v>
      </c>
      <c r="AW87" s="58">
        <f t="shared" si="39"/>
        <v>1.2610446282945216</v>
      </c>
      <c r="AX87" s="58">
        <f t="shared" si="40"/>
        <v>1.3581150709286651</v>
      </c>
      <c r="AZ87" s="43">
        <f t="shared" si="41"/>
        <v>0.98998526633463457</v>
      </c>
      <c r="BA87" s="44">
        <f t="shared" si="42"/>
        <v>0.11389231039943691</v>
      </c>
    </row>
    <row r="88" spans="1:53" ht="15" thickBot="1" x14ac:dyDescent="0.35">
      <c r="A88" s="45">
        <v>84</v>
      </c>
      <c r="B88" s="46" t="str">
        <f t="shared" si="45"/>
        <v>O2 Czech Republic a.s.</v>
      </c>
      <c r="C88" s="47">
        <f t="shared" si="45"/>
        <v>34335</v>
      </c>
      <c r="D88" s="101">
        <v>42369</v>
      </c>
      <c r="E88" s="102">
        <f t="shared" si="33"/>
        <v>2015</v>
      </c>
      <c r="F88" s="32">
        <f t="shared" si="26"/>
        <v>22.316666666666666</v>
      </c>
      <c r="G88" s="49" t="s">
        <v>40</v>
      </c>
      <c r="H88" s="46" t="s">
        <v>124</v>
      </c>
      <c r="I88" s="50">
        <f t="shared" si="43"/>
        <v>0</v>
      </c>
      <c r="J88" s="51">
        <v>30268000</v>
      </c>
      <c r="K88" s="52">
        <v>4638000</v>
      </c>
      <c r="L88" s="52">
        <v>0</v>
      </c>
      <c r="M88" s="52">
        <v>0</v>
      </c>
      <c r="N88" s="52"/>
      <c r="O88" s="32">
        <f t="shared" si="27"/>
        <v>4638000</v>
      </c>
      <c r="P88" s="84">
        <v>2774000</v>
      </c>
      <c r="Q88" s="69" t="s">
        <v>108</v>
      </c>
      <c r="R88" s="51">
        <v>0</v>
      </c>
      <c r="S88" s="51">
        <v>18344000</v>
      </c>
      <c r="T88" s="51">
        <v>11924000</v>
      </c>
      <c r="U88" s="51">
        <v>0</v>
      </c>
      <c r="V88" s="51">
        <v>0</v>
      </c>
      <c r="W88" s="52">
        <v>37385000</v>
      </c>
      <c r="X88" s="52">
        <v>0</v>
      </c>
      <c r="Y88" s="32">
        <f t="shared" si="28"/>
        <v>37385000</v>
      </c>
      <c r="Z88" s="51">
        <v>6438000</v>
      </c>
      <c r="AA88" s="51">
        <v>6799000</v>
      </c>
      <c r="AB88" s="51">
        <v>394000</v>
      </c>
      <c r="AC88" s="32">
        <f t="shared" si="29"/>
        <v>37779000</v>
      </c>
      <c r="AD88" s="51">
        <v>3908</v>
      </c>
      <c r="AE88" s="51">
        <v>3</v>
      </c>
      <c r="AF88" s="51">
        <v>2774000</v>
      </c>
      <c r="AG88" s="52">
        <v>310220057</v>
      </c>
      <c r="AH88" s="52">
        <v>251</v>
      </c>
      <c r="AI88" s="32">
        <f t="shared" si="30"/>
        <v>77865234307</v>
      </c>
      <c r="AJ88" s="32">
        <f t="shared" si="31"/>
        <v>77865234.306999996</v>
      </c>
      <c r="AK88" s="47">
        <v>34759</v>
      </c>
      <c r="AL88" s="32">
        <f t="shared" si="32"/>
        <v>21.138888888888889</v>
      </c>
      <c r="AM88" s="55">
        <f t="shared" si="34"/>
        <v>0.15323113519228229</v>
      </c>
      <c r="AN88" s="41" t="s">
        <v>99</v>
      </c>
      <c r="AO88" s="41" t="s">
        <v>99</v>
      </c>
      <c r="AP88" s="41" t="s">
        <v>99</v>
      </c>
      <c r="AQ88" s="57" t="s">
        <v>99</v>
      </c>
      <c r="AR88" s="43">
        <f t="shared" si="35"/>
        <v>0.21269988106250826</v>
      </c>
      <c r="AS88" s="43">
        <f t="shared" si="36"/>
        <v>0.35095944177932842</v>
      </c>
      <c r="AT88" s="43">
        <f t="shared" si="37"/>
        <v>0.17041213372508537</v>
      </c>
      <c r="AU88" s="55">
        <f t="shared" si="38"/>
        <v>0.59810263044415701</v>
      </c>
      <c r="AV88" s="58">
        <f t="shared" si="44"/>
        <v>0.39394740319809701</v>
      </c>
      <c r="AW88" s="58">
        <f t="shared" si="39"/>
        <v>2.9664739760473107</v>
      </c>
      <c r="AX88" s="58">
        <f t="shared" si="40"/>
        <v>4.2447249404164848</v>
      </c>
      <c r="AZ88" s="43">
        <f t="shared" si="41"/>
        <v>2.5725265728492137</v>
      </c>
      <c r="BA88" s="44">
        <f t="shared" si="42"/>
        <v>0.17041213372508537</v>
      </c>
    </row>
    <row r="89" spans="1:53" ht="15" thickBot="1" x14ac:dyDescent="0.35">
      <c r="A89" s="45">
        <v>85</v>
      </c>
      <c r="B89" s="46" t="str">
        <f t="shared" si="45"/>
        <v>O2 Czech Republic a.s.</v>
      </c>
      <c r="C89" s="47">
        <f t="shared" si="45"/>
        <v>34335</v>
      </c>
      <c r="D89" s="101">
        <v>42735</v>
      </c>
      <c r="E89" s="102">
        <f t="shared" si="33"/>
        <v>2016</v>
      </c>
      <c r="F89" s="32">
        <f t="shared" si="26"/>
        <v>23.333333333333332</v>
      </c>
      <c r="G89" s="49" t="s">
        <v>40</v>
      </c>
      <c r="H89" s="46" t="s">
        <v>124</v>
      </c>
      <c r="I89" s="50">
        <f t="shared" si="43"/>
        <v>0</v>
      </c>
      <c r="J89" s="51">
        <v>33306000</v>
      </c>
      <c r="K89" s="52">
        <v>5075000</v>
      </c>
      <c r="L89" s="52">
        <v>0</v>
      </c>
      <c r="M89" s="52">
        <v>0</v>
      </c>
      <c r="N89" s="52"/>
      <c r="O89" s="32">
        <f t="shared" si="27"/>
        <v>5075000</v>
      </c>
      <c r="P89" s="84">
        <v>2772000</v>
      </c>
      <c r="Q89" s="69" t="s">
        <v>108</v>
      </c>
      <c r="R89" s="51">
        <v>0</v>
      </c>
      <c r="S89" s="51">
        <v>17505000</v>
      </c>
      <c r="T89" s="51">
        <v>15801000</v>
      </c>
      <c r="U89" s="51">
        <v>0</v>
      </c>
      <c r="V89" s="51">
        <v>0</v>
      </c>
      <c r="W89" s="52">
        <v>37522000</v>
      </c>
      <c r="X89" s="52">
        <v>0</v>
      </c>
      <c r="Y89" s="32">
        <f t="shared" si="28"/>
        <v>37522000</v>
      </c>
      <c r="Z89" s="51">
        <v>6744000</v>
      </c>
      <c r="AA89" s="51">
        <v>5259000</v>
      </c>
      <c r="AB89" s="51">
        <v>208000</v>
      </c>
      <c r="AC89" s="32">
        <f t="shared" si="29"/>
        <v>37730000</v>
      </c>
      <c r="AD89" s="51">
        <v>4882</v>
      </c>
      <c r="AE89" s="51">
        <v>3</v>
      </c>
      <c r="AF89" s="51">
        <v>2772000</v>
      </c>
      <c r="AG89" s="52">
        <v>310220057</v>
      </c>
      <c r="AH89" s="52">
        <v>259.8</v>
      </c>
      <c r="AI89" s="32">
        <f t="shared" si="30"/>
        <v>80595170808.600006</v>
      </c>
      <c r="AJ89" s="32">
        <f t="shared" si="31"/>
        <v>80595170.808600008</v>
      </c>
      <c r="AK89" s="47">
        <v>34759</v>
      </c>
      <c r="AL89" s="32">
        <f t="shared" si="32"/>
        <v>22.155555555555555</v>
      </c>
      <c r="AM89" s="55">
        <f t="shared" si="34"/>
        <v>0.15237494745691468</v>
      </c>
      <c r="AN89" s="41" t="s">
        <v>99</v>
      </c>
      <c r="AO89" s="41" t="s">
        <v>99</v>
      </c>
      <c r="AP89" s="41" t="s">
        <v>99</v>
      </c>
      <c r="AQ89" s="57" t="s">
        <v>99</v>
      </c>
      <c r="AR89" s="43">
        <f t="shared" si="35"/>
        <v>0.20248603855161232</v>
      </c>
      <c r="AS89" s="43">
        <f t="shared" si="36"/>
        <v>0.38526135389888605</v>
      </c>
      <c r="AT89" s="43">
        <f t="shared" si="37"/>
        <v>0.17874370527431752</v>
      </c>
      <c r="AU89" s="55">
        <f t="shared" si="38"/>
        <v>0.54620689655172416</v>
      </c>
      <c r="AV89" s="58">
        <f t="shared" si="44"/>
        <v>0.47441902359935145</v>
      </c>
      <c r="AW89" s="58">
        <f t="shared" si="39"/>
        <v>2.8942584161592508</v>
      </c>
      <c r="AX89" s="58">
        <f t="shared" si="40"/>
        <v>4.6041228682433593</v>
      </c>
      <c r="AZ89" s="43">
        <f t="shared" si="41"/>
        <v>2.4198393925598993</v>
      </c>
      <c r="BA89" s="44">
        <f t="shared" si="42"/>
        <v>0.17874370527431752</v>
      </c>
    </row>
    <row r="90" spans="1:53" ht="15" thickBot="1" x14ac:dyDescent="0.35">
      <c r="A90" s="45">
        <v>86</v>
      </c>
      <c r="B90" s="46" t="str">
        <f t="shared" si="45"/>
        <v>O2 Czech Republic a.s.</v>
      </c>
      <c r="C90" s="47">
        <f t="shared" si="45"/>
        <v>34335</v>
      </c>
      <c r="D90" s="101">
        <v>43100</v>
      </c>
      <c r="E90" s="102">
        <f t="shared" si="33"/>
        <v>2017</v>
      </c>
      <c r="F90" s="32">
        <f t="shared" si="26"/>
        <v>24.347222222222221</v>
      </c>
      <c r="G90" s="49" t="s">
        <v>40</v>
      </c>
      <c r="H90" s="46" t="s">
        <v>124</v>
      </c>
      <c r="I90" s="50">
        <f t="shared" si="43"/>
        <v>0</v>
      </c>
      <c r="J90" s="51">
        <v>34842000</v>
      </c>
      <c r="K90" s="52">
        <v>5636000</v>
      </c>
      <c r="L90" s="52">
        <v>0</v>
      </c>
      <c r="M90" s="52">
        <v>0</v>
      </c>
      <c r="N90" s="52"/>
      <c r="O90" s="32">
        <f t="shared" si="27"/>
        <v>5636000</v>
      </c>
      <c r="P90" s="84">
        <v>2475000</v>
      </c>
      <c r="Q90" s="69" t="s">
        <v>108</v>
      </c>
      <c r="R90" s="51">
        <v>0</v>
      </c>
      <c r="S90" s="51">
        <v>15475000</v>
      </c>
      <c r="T90" s="51">
        <v>19367000</v>
      </c>
      <c r="U90" s="51">
        <v>0</v>
      </c>
      <c r="V90" s="51">
        <v>0</v>
      </c>
      <c r="W90" s="52">
        <v>37709000</v>
      </c>
      <c r="X90" s="52">
        <v>0</v>
      </c>
      <c r="Y90" s="32">
        <f t="shared" si="28"/>
        <v>37709000</v>
      </c>
      <c r="Z90" s="51">
        <v>7098000</v>
      </c>
      <c r="AA90" s="51">
        <v>5587000</v>
      </c>
      <c r="AB90" s="51">
        <v>146000</v>
      </c>
      <c r="AC90" s="32">
        <f t="shared" si="29"/>
        <v>37855000</v>
      </c>
      <c r="AD90" s="51">
        <v>5275</v>
      </c>
      <c r="AE90" s="51">
        <v>3</v>
      </c>
      <c r="AF90" s="51">
        <v>2475000</v>
      </c>
      <c r="AG90" s="52">
        <v>310220057</v>
      </c>
      <c r="AH90" s="52">
        <v>276.5</v>
      </c>
      <c r="AI90" s="32">
        <f t="shared" si="30"/>
        <v>85775845760.5</v>
      </c>
      <c r="AJ90" s="32">
        <f t="shared" si="31"/>
        <v>85775845.760499999</v>
      </c>
      <c r="AK90" s="47">
        <v>34759</v>
      </c>
      <c r="AL90" s="32">
        <f t="shared" si="32"/>
        <v>23.169444444444444</v>
      </c>
      <c r="AM90" s="55">
        <f t="shared" si="34"/>
        <v>0.16175879685437117</v>
      </c>
      <c r="AN90" s="41" t="s">
        <v>99</v>
      </c>
      <c r="AO90" s="41" t="s">
        <v>99</v>
      </c>
      <c r="AP90" s="41" t="s">
        <v>99</v>
      </c>
      <c r="AQ90" s="57" t="s">
        <v>99</v>
      </c>
      <c r="AR90" s="43">
        <f t="shared" si="35"/>
        <v>0.20371964869984502</v>
      </c>
      <c r="AS90" s="43">
        <f t="shared" si="36"/>
        <v>0.45867528271405494</v>
      </c>
      <c r="AT90" s="43">
        <f t="shared" si="37"/>
        <v>0.18750495311055343</v>
      </c>
      <c r="AU90" s="55">
        <f t="shared" si="38"/>
        <v>0.43914123491838181</v>
      </c>
      <c r="AV90" s="58">
        <f t="shared" si="44"/>
        <v>0.55585213248378396</v>
      </c>
      <c r="AW90" s="58">
        <f t="shared" si="39"/>
        <v>3.0177040858877215</v>
      </c>
      <c r="AX90" s="58">
        <f t="shared" si="40"/>
        <v>5.542865638804523</v>
      </c>
      <c r="AZ90" s="43">
        <f t="shared" si="41"/>
        <v>2.4618519534039378</v>
      </c>
      <c r="BA90" s="44">
        <f t="shared" si="42"/>
        <v>0.18750495311055343</v>
      </c>
    </row>
    <row r="91" spans="1:53" ht="15" thickBot="1" x14ac:dyDescent="0.35">
      <c r="A91" s="45">
        <v>87</v>
      </c>
      <c r="B91" s="46" t="str">
        <f t="shared" si="45"/>
        <v>O2 Czech Republic a.s.</v>
      </c>
      <c r="C91" s="47">
        <f t="shared" si="45"/>
        <v>34335</v>
      </c>
      <c r="D91" s="101">
        <v>43465</v>
      </c>
      <c r="E91" s="102">
        <f t="shared" si="33"/>
        <v>2018</v>
      </c>
      <c r="F91" s="32">
        <f t="shared" si="26"/>
        <v>25.361111111111111</v>
      </c>
      <c r="G91" s="49" t="s">
        <v>40</v>
      </c>
      <c r="H91" s="46" t="s">
        <v>124</v>
      </c>
      <c r="I91" s="50">
        <f t="shared" si="43"/>
        <v>0</v>
      </c>
      <c r="J91" s="51">
        <v>36130000</v>
      </c>
      <c r="K91" s="52">
        <v>6130000</v>
      </c>
      <c r="L91" s="52">
        <v>0</v>
      </c>
      <c r="M91" s="52">
        <v>0</v>
      </c>
      <c r="N91" s="52"/>
      <c r="O91" s="32">
        <f t="shared" si="27"/>
        <v>6130000</v>
      </c>
      <c r="P91" s="84">
        <v>3360000</v>
      </c>
      <c r="Q91" s="69" t="s">
        <v>108</v>
      </c>
      <c r="R91" s="51">
        <v>0</v>
      </c>
      <c r="S91" s="51">
        <v>15225000</v>
      </c>
      <c r="T91" s="51">
        <v>20905000</v>
      </c>
      <c r="U91" s="51">
        <v>0</v>
      </c>
      <c r="V91" s="51">
        <v>0</v>
      </c>
      <c r="W91" s="52">
        <v>37996000</v>
      </c>
      <c r="X91" s="52">
        <v>0</v>
      </c>
      <c r="Y91" s="32">
        <f t="shared" si="28"/>
        <v>37996000</v>
      </c>
      <c r="Z91" s="51">
        <v>6916000</v>
      </c>
      <c r="AA91" s="51">
        <v>5448000</v>
      </c>
      <c r="AB91" s="51">
        <v>207000</v>
      </c>
      <c r="AC91" s="32">
        <f t="shared" si="29"/>
        <v>38203000</v>
      </c>
      <c r="AD91" s="51">
        <v>5381</v>
      </c>
      <c r="AE91" s="51">
        <v>3</v>
      </c>
      <c r="AF91" s="51">
        <v>3360000</v>
      </c>
      <c r="AG91" s="52">
        <v>310220057</v>
      </c>
      <c r="AH91" s="52">
        <v>241</v>
      </c>
      <c r="AI91" s="32">
        <f t="shared" si="30"/>
        <v>74763033737</v>
      </c>
      <c r="AJ91" s="32">
        <f t="shared" si="31"/>
        <v>74763033.737000003</v>
      </c>
      <c r="AK91" s="47">
        <v>34759</v>
      </c>
      <c r="AL91" s="32">
        <f t="shared" si="32"/>
        <v>24.183333333333334</v>
      </c>
      <c r="AM91" s="55">
        <f t="shared" si="34"/>
        <v>0.16966509825629669</v>
      </c>
      <c r="AN91" s="41" t="s">
        <v>99</v>
      </c>
      <c r="AO91" s="41" t="s">
        <v>99</v>
      </c>
      <c r="AP91" s="41" t="s">
        <v>99</v>
      </c>
      <c r="AQ91" s="57" t="s">
        <v>99</v>
      </c>
      <c r="AR91" s="43">
        <f t="shared" si="35"/>
        <v>0.19141987268198174</v>
      </c>
      <c r="AS91" s="43">
        <f t="shared" si="36"/>
        <v>0.45425287356321842</v>
      </c>
      <c r="AT91" s="43">
        <f t="shared" si="37"/>
        <v>0.18103290317514331</v>
      </c>
      <c r="AU91" s="55">
        <f t="shared" si="38"/>
        <v>0.54812398042414356</v>
      </c>
      <c r="AV91" s="58">
        <f t="shared" si="44"/>
        <v>0.57860503736507063</v>
      </c>
      <c r="AW91" s="58">
        <f t="shared" si="39"/>
        <v>2.6478835797675062</v>
      </c>
      <c r="AX91" s="58">
        <f t="shared" si="40"/>
        <v>4.910544087816092</v>
      </c>
      <c r="AZ91" s="43">
        <f t="shared" si="41"/>
        <v>2.0692785424024356</v>
      </c>
      <c r="BA91" s="44">
        <f t="shared" si="42"/>
        <v>0.18103290317514331</v>
      </c>
    </row>
    <row r="92" spans="1:53" ht="15" thickBot="1" x14ac:dyDescent="0.35">
      <c r="A92" s="59">
        <v>88</v>
      </c>
      <c r="B92" s="60" t="str">
        <f t="shared" si="45"/>
        <v>O2 Czech Republic a.s.</v>
      </c>
      <c r="C92" s="62">
        <f t="shared" si="45"/>
        <v>34335</v>
      </c>
      <c r="D92" s="62">
        <v>43830</v>
      </c>
      <c r="E92" s="63">
        <f t="shared" si="33"/>
        <v>2019</v>
      </c>
      <c r="F92" s="64">
        <f t="shared" si="26"/>
        <v>26.375</v>
      </c>
      <c r="G92" s="65" t="s">
        <v>40</v>
      </c>
      <c r="H92" s="46" t="s">
        <v>124</v>
      </c>
      <c r="I92" s="66">
        <f t="shared" si="43"/>
        <v>0</v>
      </c>
      <c r="J92" s="67">
        <v>42680000</v>
      </c>
      <c r="K92" s="68">
        <v>6171000</v>
      </c>
      <c r="L92" s="68">
        <v>0</v>
      </c>
      <c r="M92" s="68">
        <v>0</v>
      </c>
      <c r="N92" s="68"/>
      <c r="O92" s="64">
        <f t="shared" si="27"/>
        <v>6171000</v>
      </c>
      <c r="P92" s="67">
        <v>4168000</v>
      </c>
      <c r="Q92" s="69" t="s">
        <v>108</v>
      </c>
      <c r="R92" s="67">
        <v>0</v>
      </c>
      <c r="S92" s="67">
        <v>14177000</v>
      </c>
      <c r="T92" s="67">
        <v>28503000</v>
      </c>
      <c r="U92" s="67">
        <v>0</v>
      </c>
      <c r="V92" s="67">
        <v>4094000</v>
      </c>
      <c r="W92" s="68">
        <v>38760000</v>
      </c>
      <c r="X92" s="68">
        <v>0</v>
      </c>
      <c r="Y92" s="64">
        <f t="shared" si="28"/>
        <v>38760000</v>
      </c>
      <c r="Z92" s="67">
        <v>6885000</v>
      </c>
      <c r="AA92" s="67">
        <v>5460000</v>
      </c>
      <c r="AB92" s="67">
        <v>160000</v>
      </c>
      <c r="AC92" s="64">
        <f t="shared" si="29"/>
        <v>38920000</v>
      </c>
      <c r="AD92" s="67">
        <v>5116</v>
      </c>
      <c r="AE92" s="67">
        <v>3</v>
      </c>
      <c r="AF92" s="70">
        <v>0</v>
      </c>
      <c r="AG92" s="68">
        <v>310220057</v>
      </c>
      <c r="AH92" s="68">
        <v>234</v>
      </c>
      <c r="AI92" s="64">
        <f t="shared" si="30"/>
        <v>72591493338</v>
      </c>
      <c r="AJ92" s="64">
        <f t="shared" si="31"/>
        <v>72591493.338</v>
      </c>
      <c r="AK92" s="62">
        <v>34759</v>
      </c>
      <c r="AL92" s="64">
        <f t="shared" si="32"/>
        <v>25.197222222222223</v>
      </c>
      <c r="AM92" s="71">
        <f t="shared" si="34"/>
        <v>0.1445876288659794</v>
      </c>
      <c r="AN92" s="41" t="s">
        <v>99</v>
      </c>
      <c r="AO92" s="41" t="s">
        <v>99</v>
      </c>
      <c r="AP92" s="41" t="s">
        <v>99</v>
      </c>
      <c r="AQ92" s="57" t="s">
        <v>99</v>
      </c>
      <c r="AR92" s="43">
        <f t="shared" si="35"/>
        <v>0.16131677600749766</v>
      </c>
      <c r="AS92" s="43">
        <f t="shared" si="36"/>
        <v>0.48564576426606476</v>
      </c>
      <c r="AT92" s="43">
        <f t="shared" si="37"/>
        <v>0.17690133607399794</v>
      </c>
      <c r="AU92" s="71">
        <f t="shared" si="38"/>
        <v>0.67541727434775567</v>
      </c>
      <c r="AV92" s="72">
        <f t="shared" si="44"/>
        <v>0.6678303655107779</v>
      </c>
      <c r="AW92" s="72">
        <f t="shared" si="39"/>
        <v>2.3686619807403937</v>
      </c>
      <c r="AX92" s="72">
        <f t="shared" si="40"/>
        <v>5.1203705535726884</v>
      </c>
      <c r="AZ92" s="43">
        <f t="shared" si="41"/>
        <v>1.7008316152296157</v>
      </c>
      <c r="BA92" s="44">
        <f t="shared" si="42"/>
        <v>0.17690133607399794</v>
      </c>
    </row>
    <row r="93" spans="1:53" ht="15" thickBot="1" x14ac:dyDescent="0.35">
      <c r="A93" s="103">
        <v>89</v>
      </c>
      <c r="B93" s="104" t="s">
        <v>41</v>
      </c>
      <c r="C93" s="105">
        <v>37939</v>
      </c>
      <c r="D93" s="105">
        <v>39082</v>
      </c>
      <c r="E93" s="106">
        <f t="shared" si="33"/>
        <v>2006</v>
      </c>
      <c r="F93" s="107">
        <f t="shared" si="26"/>
        <v>3.1749999999999998</v>
      </c>
      <c r="G93" s="108" t="s">
        <v>42</v>
      </c>
      <c r="H93" s="104" t="s">
        <v>125</v>
      </c>
      <c r="I93" s="109">
        <v>1</v>
      </c>
      <c r="J93" s="99"/>
      <c r="K93" s="98"/>
      <c r="L93" s="98"/>
      <c r="M93" s="98"/>
      <c r="N93" s="98"/>
      <c r="O93" s="107" t="str">
        <f t="shared" si="27"/>
        <v/>
      </c>
      <c r="P93" s="110">
        <v>0</v>
      </c>
      <c r="Q93" s="111" t="s">
        <v>109</v>
      </c>
      <c r="R93" s="110">
        <v>0</v>
      </c>
      <c r="S93" s="99"/>
      <c r="T93" s="99"/>
      <c r="U93" s="110">
        <v>0</v>
      </c>
      <c r="V93" s="110">
        <v>0</v>
      </c>
      <c r="W93" s="98"/>
      <c r="X93" s="98"/>
      <c r="Y93" s="107" t="str">
        <f t="shared" si="28"/>
        <v/>
      </c>
      <c r="Z93" s="99"/>
      <c r="AA93" s="99"/>
      <c r="AB93" s="99"/>
      <c r="AC93" s="107" t="str">
        <f t="shared" si="29"/>
        <v/>
      </c>
      <c r="AD93" s="99"/>
      <c r="AE93" s="99"/>
      <c r="AF93" s="110">
        <v>0</v>
      </c>
      <c r="AG93" s="98"/>
      <c r="AH93" s="98">
        <v>753</v>
      </c>
      <c r="AI93" s="107" t="str">
        <f t="shared" si="30"/>
        <v/>
      </c>
      <c r="AJ93" s="107" t="str">
        <f t="shared" si="31"/>
        <v/>
      </c>
      <c r="AK93" s="105">
        <v>39069</v>
      </c>
      <c r="AL93" s="107">
        <f t="shared" si="32"/>
        <v>3.6111111111111108E-2</v>
      </c>
      <c r="AM93" s="112" t="str">
        <f t="shared" si="34"/>
        <v/>
      </c>
      <c r="AN93" s="113" t="s">
        <v>101</v>
      </c>
      <c r="AO93" s="113" t="s">
        <v>99</v>
      </c>
      <c r="AP93" s="113" t="s">
        <v>101</v>
      </c>
      <c r="AQ93" s="114" t="s">
        <v>99</v>
      </c>
      <c r="AR93" s="43" t="str">
        <f t="shared" si="35"/>
        <v/>
      </c>
      <c r="AS93" s="43" t="str">
        <f t="shared" si="36"/>
        <v/>
      </c>
      <c r="AT93" s="43" t="str">
        <f t="shared" si="37"/>
        <v/>
      </c>
      <c r="AU93" s="112" t="str">
        <f t="shared" si="38"/>
        <v/>
      </c>
      <c r="AV93" s="115" t="str">
        <f t="shared" si="44"/>
        <v/>
      </c>
      <c r="AW93" s="115" t="str">
        <f t="shared" si="39"/>
        <v/>
      </c>
      <c r="AX93" s="115" t="str">
        <f t="shared" si="40"/>
        <v/>
      </c>
      <c r="AY93" s="116">
        <v>27.495000000000001</v>
      </c>
      <c r="AZ93" s="43" t="str">
        <f t="shared" si="41"/>
        <v/>
      </c>
      <c r="BA93" s="44" t="e">
        <f t="shared" si="42"/>
        <v>#VALUE!</v>
      </c>
    </row>
    <row r="94" spans="1:53" ht="15" thickBot="1" x14ac:dyDescent="0.35">
      <c r="A94" s="103">
        <v>90</v>
      </c>
      <c r="B94" s="104" t="s">
        <v>41</v>
      </c>
      <c r="C94" s="105">
        <f t="shared" ref="C94:C106" si="46">+C93</f>
        <v>37939</v>
      </c>
      <c r="D94" s="105">
        <v>39447</v>
      </c>
      <c r="E94" s="106">
        <f t="shared" si="33"/>
        <v>2007</v>
      </c>
      <c r="F94" s="107">
        <f t="shared" si="26"/>
        <v>4.1888888888888891</v>
      </c>
      <c r="G94" s="108" t="s">
        <v>42</v>
      </c>
      <c r="H94" s="104" t="s">
        <v>125</v>
      </c>
      <c r="I94" s="109">
        <v>1</v>
      </c>
      <c r="J94" s="99"/>
      <c r="K94" s="98"/>
      <c r="L94" s="98"/>
      <c r="M94" s="98"/>
      <c r="N94" s="98"/>
      <c r="O94" s="107" t="str">
        <f t="shared" si="27"/>
        <v/>
      </c>
      <c r="P94" s="110">
        <v>0</v>
      </c>
      <c r="Q94" s="111" t="s">
        <v>109</v>
      </c>
      <c r="R94" s="110">
        <v>0</v>
      </c>
      <c r="S94" s="99"/>
      <c r="T94" s="99"/>
      <c r="U94" s="110">
        <v>0</v>
      </c>
      <c r="V94" s="110">
        <v>0</v>
      </c>
      <c r="W94" s="98"/>
      <c r="X94" s="98"/>
      <c r="Y94" s="107" t="str">
        <f t="shared" si="28"/>
        <v/>
      </c>
      <c r="Z94" s="99"/>
      <c r="AA94" s="99"/>
      <c r="AB94" s="99"/>
      <c r="AC94" s="107" t="str">
        <f t="shared" si="29"/>
        <v/>
      </c>
      <c r="AD94" s="99"/>
      <c r="AE94" s="99"/>
      <c r="AF94" s="110">
        <v>0</v>
      </c>
      <c r="AG94" s="98"/>
      <c r="AH94" s="98">
        <v>750.5</v>
      </c>
      <c r="AI94" s="107" t="str">
        <f t="shared" si="30"/>
        <v/>
      </c>
      <c r="AJ94" s="107" t="str">
        <f t="shared" si="31"/>
        <v/>
      </c>
      <c r="AK94" s="105">
        <f t="shared" ref="AK94:AK106" si="47">+AK93</f>
        <v>39069</v>
      </c>
      <c r="AL94" s="107">
        <f t="shared" si="32"/>
        <v>1.05</v>
      </c>
      <c r="AM94" s="112" t="str">
        <f t="shared" si="34"/>
        <v/>
      </c>
      <c r="AN94" s="113" t="s">
        <v>101</v>
      </c>
      <c r="AO94" s="113" t="s">
        <v>99</v>
      </c>
      <c r="AP94" s="113" t="s">
        <v>101</v>
      </c>
      <c r="AQ94" s="114" t="s">
        <v>99</v>
      </c>
      <c r="AR94" s="43" t="str">
        <f t="shared" si="35"/>
        <v/>
      </c>
      <c r="AS94" s="43" t="str">
        <f t="shared" si="36"/>
        <v/>
      </c>
      <c r="AT94" s="43" t="str">
        <f t="shared" si="37"/>
        <v/>
      </c>
      <c r="AU94" s="112" t="str">
        <f t="shared" si="38"/>
        <v/>
      </c>
      <c r="AV94" s="115" t="str">
        <f t="shared" si="44"/>
        <v/>
      </c>
      <c r="AW94" s="115" t="str">
        <f t="shared" si="39"/>
        <v/>
      </c>
      <c r="AX94" s="115" t="str">
        <f t="shared" si="40"/>
        <v/>
      </c>
      <c r="AY94" s="116">
        <v>26.62</v>
      </c>
      <c r="AZ94" s="43" t="str">
        <f t="shared" si="41"/>
        <v/>
      </c>
      <c r="BA94" s="44" t="e">
        <f t="shared" si="42"/>
        <v>#VALUE!</v>
      </c>
    </row>
    <row r="95" spans="1:53" ht="15" thickBot="1" x14ac:dyDescent="0.35">
      <c r="A95" s="103">
        <v>91</v>
      </c>
      <c r="B95" s="104" t="s">
        <v>41</v>
      </c>
      <c r="C95" s="105">
        <f t="shared" si="46"/>
        <v>37939</v>
      </c>
      <c r="D95" s="105">
        <v>39813</v>
      </c>
      <c r="E95" s="106">
        <f t="shared" si="33"/>
        <v>2008</v>
      </c>
      <c r="F95" s="107">
        <f t="shared" si="26"/>
        <v>5.2055555555555557</v>
      </c>
      <c r="G95" s="108" t="s">
        <v>42</v>
      </c>
      <c r="H95" s="104" t="s">
        <v>125</v>
      </c>
      <c r="I95" s="109">
        <v>1</v>
      </c>
      <c r="J95" s="99"/>
      <c r="K95" s="98"/>
      <c r="L95" s="98"/>
      <c r="M95" s="98"/>
      <c r="N95" s="98"/>
      <c r="O95" s="107" t="str">
        <f t="shared" si="27"/>
        <v/>
      </c>
      <c r="P95" s="110">
        <v>0</v>
      </c>
      <c r="Q95" s="111" t="s">
        <v>109</v>
      </c>
      <c r="R95" s="110">
        <v>0</v>
      </c>
      <c r="S95" s="99"/>
      <c r="T95" s="99"/>
      <c r="U95" s="110">
        <v>0</v>
      </c>
      <c r="V95" s="110">
        <v>0</v>
      </c>
      <c r="W95" s="98"/>
      <c r="X95" s="98"/>
      <c r="Y95" s="107" t="str">
        <f t="shared" si="28"/>
        <v/>
      </c>
      <c r="Z95" s="99"/>
      <c r="AA95" s="99"/>
      <c r="AB95" s="99"/>
      <c r="AC95" s="107" t="str">
        <f t="shared" si="29"/>
        <v/>
      </c>
      <c r="AD95" s="99"/>
      <c r="AE95" s="99"/>
      <c r="AF95" s="110">
        <v>0</v>
      </c>
      <c r="AG95" s="98"/>
      <c r="AH95" s="98">
        <v>232.9</v>
      </c>
      <c r="AI95" s="107" t="str">
        <f t="shared" si="30"/>
        <v/>
      </c>
      <c r="AJ95" s="107" t="str">
        <f t="shared" si="31"/>
        <v/>
      </c>
      <c r="AK95" s="105">
        <f t="shared" si="47"/>
        <v>39069</v>
      </c>
      <c r="AL95" s="107">
        <f t="shared" si="32"/>
        <v>2.0666666666666669</v>
      </c>
      <c r="AM95" s="112" t="str">
        <f t="shared" si="34"/>
        <v/>
      </c>
      <c r="AN95" s="113" t="s">
        <v>101</v>
      </c>
      <c r="AO95" s="113" t="s">
        <v>99</v>
      </c>
      <c r="AP95" s="113" t="s">
        <v>101</v>
      </c>
      <c r="AQ95" s="114" t="s">
        <v>99</v>
      </c>
      <c r="AR95" s="43" t="str">
        <f t="shared" si="35"/>
        <v/>
      </c>
      <c r="AS95" s="43" t="str">
        <f t="shared" si="36"/>
        <v/>
      </c>
      <c r="AT95" s="43" t="str">
        <f t="shared" si="37"/>
        <v/>
      </c>
      <c r="AU95" s="112" t="str">
        <f t="shared" si="38"/>
        <v/>
      </c>
      <c r="AV95" s="115" t="str">
        <f t="shared" si="44"/>
        <v/>
      </c>
      <c r="AW95" s="115" t="str">
        <f t="shared" si="39"/>
        <v/>
      </c>
      <c r="AX95" s="115" t="str">
        <f t="shared" si="40"/>
        <v/>
      </c>
      <c r="AY95" s="116">
        <v>26.93</v>
      </c>
      <c r="AZ95" s="43" t="str">
        <f t="shared" si="41"/>
        <v/>
      </c>
      <c r="BA95" s="44" t="e">
        <f t="shared" si="42"/>
        <v>#VALUE!</v>
      </c>
    </row>
    <row r="96" spans="1:53" ht="15" thickBot="1" x14ac:dyDescent="0.35">
      <c r="A96" s="103">
        <v>92</v>
      </c>
      <c r="B96" s="104" t="s">
        <v>41</v>
      </c>
      <c r="C96" s="105">
        <f t="shared" si="46"/>
        <v>37939</v>
      </c>
      <c r="D96" s="105">
        <v>40178</v>
      </c>
      <c r="E96" s="106">
        <f t="shared" si="33"/>
        <v>2009</v>
      </c>
      <c r="F96" s="107">
        <f t="shared" si="26"/>
        <v>6.2194444444444441</v>
      </c>
      <c r="G96" s="108" t="s">
        <v>42</v>
      </c>
      <c r="H96" s="104" t="s">
        <v>125</v>
      </c>
      <c r="I96" s="109">
        <v>1</v>
      </c>
      <c r="J96" s="99">
        <v>6241690.8549999995</v>
      </c>
      <c r="K96" s="98">
        <v>2881112.2250000001</v>
      </c>
      <c r="L96" s="98">
        <v>0</v>
      </c>
      <c r="M96" s="98">
        <v>0</v>
      </c>
      <c r="N96" s="98"/>
      <c r="O96" s="107">
        <f t="shared" si="27"/>
        <v>2881112.2250000001</v>
      </c>
      <c r="P96" s="110">
        <v>0</v>
      </c>
      <c r="Q96" s="111" t="s">
        <v>109</v>
      </c>
      <c r="R96" s="110">
        <v>0</v>
      </c>
      <c r="S96" s="99">
        <f>113273*AY96</f>
        <v>2997769.9449999998</v>
      </c>
      <c r="T96" s="99">
        <f>122574*AY96</f>
        <v>3243920.91</v>
      </c>
      <c r="U96" s="110">
        <v>0</v>
      </c>
      <c r="V96" s="110">
        <v>0</v>
      </c>
      <c r="W96" s="98">
        <v>3267024.855</v>
      </c>
      <c r="X96" s="98">
        <v>0</v>
      </c>
      <c r="Y96" s="107">
        <f t="shared" si="28"/>
        <v>3267024.855</v>
      </c>
      <c r="Z96" s="99">
        <v>569685.59</v>
      </c>
      <c r="AA96" s="99">
        <v>550524.93000000005</v>
      </c>
      <c r="AB96" s="99">
        <v>0</v>
      </c>
      <c r="AC96" s="107">
        <f t="shared" si="29"/>
        <v>3267024.855</v>
      </c>
      <c r="AD96" s="99">
        <v>380</v>
      </c>
      <c r="AE96" s="99">
        <v>6</v>
      </c>
      <c r="AF96" s="110">
        <v>0</v>
      </c>
      <c r="AG96" s="98">
        <v>9229400</v>
      </c>
      <c r="AH96" s="98">
        <v>444.5</v>
      </c>
      <c r="AI96" s="107">
        <f t="shared" si="30"/>
        <v>4102468300</v>
      </c>
      <c r="AJ96" s="107">
        <f t="shared" si="31"/>
        <v>4102468.3</v>
      </c>
      <c r="AK96" s="105">
        <f t="shared" si="47"/>
        <v>39069</v>
      </c>
      <c r="AL96" s="107">
        <f t="shared" si="32"/>
        <v>3.0805555555555557</v>
      </c>
      <c r="AM96" s="112">
        <f t="shared" si="34"/>
        <v>0.46159162507897072</v>
      </c>
      <c r="AN96" s="113" t="s">
        <v>99</v>
      </c>
      <c r="AO96" s="113" t="s">
        <v>99</v>
      </c>
      <c r="AP96" s="113" t="s">
        <v>99</v>
      </c>
      <c r="AQ96" s="114" t="s">
        <v>99</v>
      </c>
      <c r="AR96" s="43">
        <f t="shared" si="35"/>
        <v>9.1271035883432911E-2</v>
      </c>
      <c r="AS96" s="43">
        <f t="shared" si="36"/>
        <v>0.19003646058637097</v>
      </c>
      <c r="AT96" s="43">
        <f t="shared" si="37"/>
        <v>0.17437442789213184</v>
      </c>
      <c r="AU96" s="112">
        <f t="shared" si="38"/>
        <v>0</v>
      </c>
      <c r="AV96" s="115">
        <f t="shared" si="44"/>
        <v>0.51971829194350583</v>
      </c>
      <c r="AW96" s="115">
        <f t="shared" si="39"/>
        <v>1.1769870345493103</v>
      </c>
      <c r="AX96" s="115">
        <f t="shared" si="40"/>
        <v>1.3685067150808332</v>
      </c>
      <c r="AY96" s="116">
        <v>26.465</v>
      </c>
      <c r="AZ96" s="43">
        <f t="shared" si="41"/>
        <v>0.6572687426058047</v>
      </c>
      <c r="BA96" s="44">
        <f t="shared" si="42"/>
        <v>0.17437442789213184</v>
      </c>
    </row>
    <row r="97" spans="1:53" ht="15" thickBot="1" x14ac:dyDescent="0.35">
      <c r="A97" s="103">
        <v>93</v>
      </c>
      <c r="B97" s="104" t="s">
        <v>41</v>
      </c>
      <c r="C97" s="105">
        <f t="shared" si="46"/>
        <v>37939</v>
      </c>
      <c r="D97" s="117">
        <v>40543</v>
      </c>
      <c r="E97" s="118">
        <f t="shared" si="33"/>
        <v>2010</v>
      </c>
      <c r="F97" s="107">
        <f t="shared" si="26"/>
        <v>7.2333333333333334</v>
      </c>
      <c r="G97" s="108" t="s">
        <v>42</v>
      </c>
      <c r="H97" s="104" t="s">
        <v>125</v>
      </c>
      <c r="I97" s="109">
        <v>1</v>
      </c>
      <c r="J97" s="99">
        <v>6295598.2599999998</v>
      </c>
      <c r="K97" s="98">
        <v>2699287.78</v>
      </c>
      <c r="L97" s="98">
        <v>0</v>
      </c>
      <c r="M97" s="98">
        <v>0</v>
      </c>
      <c r="N97" s="98"/>
      <c r="O97" s="107">
        <f t="shared" si="27"/>
        <v>2699287.78</v>
      </c>
      <c r="P97" s="110">
        <v>0</v>
      </c>
      <c r="Q97" s="111" t="s">
        <v>109</v>
      </c>
      <c r="R97" s="110">
        <v>0</v>
      </c>
      <c r="S97" s="99">
        <f>129041*AY97</f>
        <v>3233767.46</v>
      </c>
      <c r="T97" s="99">
        <f>122180*AY97</f>
        <v>3061830.8</v>
      </c>
      <c r="U97" s="110">
        <v>0</v>
      </c>
      <c r="V97" s="110">
        <v>0</v>
      </c>
      <c r="W97" s="98">
        <v>3712639</v>
      </c>
      <c r="X97" s="98">
        <v>0</v>
      </c>
      <c r="Y97" s="107">
        <f t="shared" si="28"/>
        <v>3712639</v>
      </c>
      <c r="Z97" s="99">
        <v>548763.88</v>
      </c>
      <c r="AA97" s="99">
        <v>527237.34</v>
      </c>
      <c r="AB97" s="99">
        <v>0</v>
      </c>
      <c r="AC97" s="107">
        <f t="shared" si="29"/>
        <v>3712639</v>
      </c>
      <c r="AD97" s="99">
        <v>384</v>
      </c>
      <c r="AE97" s="99">
        <v>6</v>
      </c>
      <c r="AF97" s="110">
        <v>0</v>
      </c>
      <c r="AG97" s="98">
        <v>9229400</v>
      </c>
      <c r="AH97" s="98">
        <v>468</v>
      </c>
      <c r="AI97" s="107">
        <f t="shared" si="30"/>
        <v>4319359200</v>
      </c>
      <c r="AJ97" s="107">
        <f t="shared" si="31"/>
        <v>4319359.2</v>
      </c>
      <c r="AK97" s="105">
        <f t="shared" si="47"/>
        <v>39069</v>
      </c>
      <c r="AL97" s="107">
        <f t="shared" si="32"/>
        <v>4.0944444444444441</v>
      </c>
      <c r="AM97" s="112">
        <f t="shared" si="34"/>
        <v>0.4287579461908041</v>
      </c>
      <c r="AN97" s="113" t="s">
        <v>99</v>
      </c>
      <c r="AO97" s="113" t="s">
        <v>99</v>
      </c>
      <c r="AP97" s="113" t="s">
        <v>99</v>
      </c>
      <c r="AQ97" s="114" t="s">
        <v>99</v>
      </c>
      <c r="AR97" s="43">
        <f t="shared" si="35"/>
        <v>8.7166279889022022E-2</v>
      </c>
      <c r="AS97" s="43">
        <f t="shared" si="36"/>
        <v>0.16969800296029944</v>
      </c>
      <c r="AT97" s="43">
        <f t="shared" si="37"/>
        <v>0.14780965237934526</v>
      </c>
      <c r="AU97" s="112">
        <f t="shared" si="38"/>
        <v>0</v>
      </c>
      <c r="AV97" s="115">
        <f t="shared" si="44"/>
        <v>0.48634469252172391</v>
      </c>
      <c r="AW97" s="115">
        <f t="shared" si="39"/>
        <v>1.1724366287629033</v>
      </c>
      <c r="AX97" s="115">
        <f t="shared" si="40"/>
        <v>1.3357049489266617</v>
      </c>
      <c r="AY97" s="116">
        <v>25.06</v>
      </c>
      <c r="AZ97" s="43">
        <f t="shared" si="41"/>
        <v>0.68609193624117948</v>
      </c>
      <c r="BA97" s="44">
        <f t="shared" si="42"/>
        <v>0.14780965237934526</v>
      </c>
    </row>
    <row r="98" spans="1:53" ht="15" thickBot="1" x14ac:dyDescent="0.35">
      <c r="A98" s="103">
        <v>94</v>
      </c>
      <c r="B98" s="104" t="s">
        <v>41</v>
      </c>
      <c r="C98" s="105">
        <f t="shared" si="46"/>
        <v>37939</v>
      </c>
      <c r="D98" s="117">
        <v>40908</v>
      </c>
      <c r="E98" s="118">
        <f t="shared" si="33"/>
        <v>2011</v>
      </c>
      <c r="F98" s="107">
        <f t="shared" si="26"/>
        <v>8.2472222222222218</v>
      </c>
      <c r="G98" s="108" t="s">
        <v>42</v>
      </c>
      <c r="H98" s="104" t="s">
        <v>125</v>
      </c>
      <c r="I98" s="109">
        <v>1</v>
      </c>
      <c r="J98" s="99">
        <v>7815929.4000000004</v>
      </c>
      <c r="K98" s="98">
        <v>3917110.8000000003</v>
      </c>
      <c r="L98" s="98">
        <v>0</v>
      </c>
      <c r="M98" s="98">
        <v>0</v>
      </c>
      <c r="N98" s="98"/>
      <c r="O98" s="107">
        <f t="shared" si="27"/>
        <v>3917110.8000000003</v>
      </c>
      <c r="P98" s="110">
        <v>0</v>
      </c>
      <c r="Q98" s="111" t="s">
        <v>109</v>
      </c>
      <c r="R98" s="110">
        <v>0</v>
      </c>
      <c r="S98" s="99">
        <f>130764*AY98</f>
        <v>3373711.2</v>
      </c>
      <c r="T98" s="99">
        <f>172179*AY98</f>
        <v>4442218.2</v>
      </c>
      <c r="U98" s="110">
        <v>0</v>
      </c>
      <c r="V98" s="110">
        <v>0</v>
      </c>
      <c r="W98" s="98">
        <v>4278878.4000000004</v>
      </c>
      <c r="X98" s="98">
        <v>0</v>
      </c>
      <c r="Y98" s="107">
        <f t="shared" si="28"/>
        <v>4278878.4000000004</v>
      </c>
      <c r="Z98" s="99">
        <v>471701.4</v>
      </c>
      <c r="AA98" s="99">
        <v>360322.8</v>
      </c>
      <c r="AB98" s="99">
        <v>0</v>
      </c>
      <c r="AC98" s="107">
        <f t="shared" si="29"/>
        <v>4278878.4000000004</v>
      </c>
      <c r="AD98" s="99">
        <v>424</v>
      </c>
      <c r="AE98" s="99">
        <v>5</v>
      </c>
      <c r="AF98" s="110">
        <v>0</v>
      </c>
      <c r="AG98" s="98">
        <v>9229400</v>
      </c>
      <c r="AH98" s="98">
        <v>457</v>
      </c>
      <c r="AI98" s="107">
        <f t="shared" si="30"/>
        <v>4217835800</v>
      </c>
      <c r="AJ98" s="107">
        <f t="shared" si="31"/>
        <v>4217835.8</v>
      </c>
      <c r="AK98" s="105">
        <f t="shared" si="47"/>
        <v>39069</v>
      </c>
      <c r="AL98" s="107">
        <f t="shared" si="32"/>
        <v>5.1083333333333334</v>
      </c>
      <c r="AM98" s="112">
        <f t="shared" si="34"/>
        <v>0.50117018713091244</v>
      </c>
      <c r="AN98" s="113" t="s">
        <v>99</v>
      </c>
      <c r="AO98" s="113" t="s">
        <v>99</v>
      </c>
      <c r="AP98" s="113" t="s">
        <v>99</v>
      </c>
      <c r="AQ98" s="114" t="s">
        <v>99</v>
      </c>
      <c r="AR98" s="43">
        <f t="shared" si="35"/>
        <v>6.0351287205844005E-2</v>
      </c>
      <c r="AS98" s="43">
        <f t="shared" si="36"/>
        <v>0.13981676914135388</v>
      </c>
      <c r="AT98" s="43">
        <f t="shared" si="37"/>
        <v>0.11023949640634798</v>
      </c>
      <c r="AU98" s="112">
        <f t="shared" si="38"/>
        <v>0</v>
      </c>
      <c r="AV98" s="115">
        <f t="shared" si="44"/>
        <v>0.56835444291500381</v>
      </c>
      <c r="AW98" s="115">
        <f t="shared" si="39"/>
        <v>1.108000540537124</v>
      </c>
      <c r="AX98" s="115">
        <f t="shared" si="40"/>
        <v>1.2502065381292862</v>
      </c>
      <c r="AY98" s="116">
        <v>25.8</v>
      </c>
      <c r="AZ98" s="43">
        <f t="shared" si="41"/>
        <v>0.53964609762212024</v>
      </c>
      <c r="BA98" s="44">
        <f t="shared" si="42"/>
        <v>0.11023949640634798</v>
      </c>
    </row>
    <row r="99" spans="1:53" ht="15" thickBot="1" x14ac:dyDescent="0.35">
      <c r="A99" s="103">
        <v>95</v>
      </c>
      <c r="B99" s="104" t="s">
        <v>41</v>
      </c>
      <c r="C99" s="105">
        <f t="shared" si="46"/>
        <v>37939</v>
      </c>
      <c r="D99" s="117">
        <v>41274</v>
      </c>
      <c r="E99" s="118">
        <f t="shared" si="33"/>
        <v>2012</v>
      </c>
      <c r="F99" s="107">
        <f t="shared" si="26"/>
        <v>9.2638888888888893</v>
      </c>
      <c r="G99" s="108" t="s">
        <v>42</v>
      </c>
      <c r="H99" s="104" t="s">
        <v>125</v>
      </c>
      <c r="I99" s="109">
        <v>1</v>
      </c>
      <c r="J99" s="99"/>
      <c r="K99" s="98"/>
      <c r="L99" s="98"/>
      <c r="M99" s="98"/>
      <c r="N99" s="98"/>
      <c r="O99" s="107" t="str">
        <f t="shared" si="27"/>
        <v/>
      </c>
      <c r="P99" s="110">
        <v>0</v>
      </c>
      <c r="Q99" s="111" t="s">
        <v>109</v>
      </c>
      <c r="R99" s="110">
        <v>0</v>
      </c>
      <c r="S99" s="99"/>
      <c r="T99" s="99"/>
      <c r="U99" s="110">
        <v>0</v>
      </c>
      <c r="V99" s="110">
        <v>0</v>
      </c>
      <c r="W99" s="98"/>
      <c r="X99" s="98"/>
      <c r="Y99" s="107" t="str">
        <f t="shared" si="28"/>
        <v/>
      </c>
      <c r="Z99" s="99"/>
      <c r="AA99" s="99"/>
      <c r="AB99" s="99"/>
      <c r="AC99" s="107" t="str">
        <f t="shared" si="29"/>
        <v/>
      </c>
      <c r="AD99" s="99"/>
      <c r="AE99" s="99"/>
      <c r="AF99" s="110">
        <v>0</v>
      </c>
      <c r="AG99" s="98"/>
      <c r="AH99" s="98">
        <v>493</v>
      </c>
      <c r="AI99" s="107" t="str">
        <f t="shared" si="30"/>
        <v/>
      </c>
      <c r="AJ99" s="107" t="str">
        <f t="shared" si="31"/>
        <v/>
      </c>
      <c r="AK99" s="105">
        <f t="shared" si="47"/>
        <v>39069</v>
      </c>
      <c r="AL99" s="107">
        <f t="shared" si="32"/>
        <v>6.125</v>
      </c>
      <c r="AM99" s="112" t="str">
        <f t="shared" si="34"/>
        <v/>
      </c>
      <c r="AN99" s="113" t="s">
        <v>101</v>
      </c>
      <c r="AO99" s="113" t="s">
        <v>99</v>
      </c>
      <c r="AP99" s="113" t="s">
        <v>101</v>
      </c>
      <c r="AQ99" s="114" t="s">
        <v>99</v>
      </c>
      <c r="AR99" s="43" t="str">
        <f t="shared" si="35"/>
        <v/>
      </c>
      <c r="AS99" s="43" t="str">
        <f t="shared" si="36"/>
        <v/>
      </c>
      <c r="AT99" s="43" t="str">
        <f t="shared" si="37"/>
        <v/>
      </c>
      <c r="AU99" s="112" t="str">
        <f t="shared" si="38"/>
        <v/>
      </c>
      <c r="AV99" s="115" t="str">
        <f t="shared" si="44"/>
        <v/>
      </c>
      <c r="AW99" s="115" t="str">
        <f t="shared" si="39"/>
        <v/>
      </c>
      <c r="AX99" s="115" t="str">
        <f t="shared" si="40"/>
        <v/>
      </c>
      <c r="AY99" s="116">
        <v>25.14</v>
      </c>
      <c r="AZ99" s="43" t="str">
        <f t="shared" si="41"/>
        <v/>
      </c>
      <c r="BA99" s="44" t="e">
        <f t="shared" si="42"/>
        <v>#VALUE!</v>
      </c>
    </row>
    <row r="100" spans="1:53" ht="15" thickBot="1" x14ac:dyDescent="0.35">
      <c r="A100" s="103">
        <v>96</v>
      </c>
      <c r="B100" s="104" t="s">
        <v>41</v>
      </c>
      <c r="C100" s="105">
        <f t="shared" si="46"/>
        <v>37939</v>
      </c>
      <c r="D100" s="117">
        <v>41639</v>
      </c>
      <c r="E100" s="118">
        <f t="shared" si="33"/>
        <v>2013</v>
      </c>
      <c r="F100" s="107">
        <f t="shared" si="26"/>
        <v>10.277777777777779</v>
      </c>
      <c r="G100" s="108" t="s">
        <v>42</v>
      </c>
      <c r="H100" s="104" t="s">
        <v>125</v>
      </c>
      <c r="I100" s="109">
        <v>1</v>
      </c>
      <c r="J100" s="99"/>
      <c r="K100" s="98"/>
      <c r="L100" s="98"/>
      <c r="M100" s="98"/>
      <c r="N100" s="98"/>
      <c r="O100" s="107" t="str">
        <f t="shared" si="27"/>
        <v/>
      </c>
      <c r="P100" s="110">
        <v>0</v>
      </c>
      <c r="Q100" s="111" t="s">
        <v>109</v>
      </c>
      <c r="R100" s="110">
        <v>0</v>
      </c>
      <c r="S100" s="99"/>
      <c r="T100" s="99"/>
      <c r="U100" s="110">
        <v>0</v>
      </c>
      <c r="V100" s="110">
        <v>0</v>
      </c>
      <c r="W100" s="98"/>
      <c r="X100" s="98"/>
      <c r="Y100" s="107" t="str">
        <f t="shared" si="28"/>
        <v/>
      </c>
      <c r="Z100" s="99"/>
      <c r="AA100" s="99"/>
      <c r="AB100" s="99"/>
      <c r="AC100" s="107" t="str">
        <f t="shared" si="29"/>
        <v/>
      </c>
      <c r="AD100" s="99"/>
      <c r="AE100" s="99"/>
      <c r="AF100" s="110">
        <v>0</v>
      </c>
      <c r="AG100" s="98"/>
      <c r="AH100" s="98">
        <v>592</v>
      </c>
      <c r="AI100" s="107" t="str">
        <f t="shared" si="30"/>
        <v/>
      </c>
      <c r="AJ100" s="107" t="str">
        <f t="shared" si="31"/>
        <v/>
      </c>
      <c r="AK100" s="105">
        <f t="shared" si="47"/>
        <v>39069</v>
      </c>
      <c r="AL100" s="107">
        <f t="shared" si="32"/>
        <v>7.1388888888888893</v>
      </c>
      <c r="AM100" s="112" t="str">
        <f t="shared" si="34"/>
        <v/>
      </c>
      <c r="AN100" s="113" t="s">
        <v>101</v>
      </c>
      <c r="AO100" s="113" t="s">
        <v>99</v>
      </c>
      <c r="AP100" s="113" t="s">
        <v>101</v>
      </c>
      <c r="AQ100" s="114" t="s">
        <v>99</v>
      </c>
      <c r="AR100" s="43" t="str">
        <f t="shared" si="35"/>
        <v/>
      </c>
      <c r="AS100" s="43" t="str">
        <f t="shared" si="36"/>
        <v/>
      </c>
      <c r="AT100" s="43" t="str">
        <f t="shared" si="37"/>
        <v/>
      </c>
      <c r="AU100" s="112" t="str">
        <f t="shared" si="38"/>
        <v/>
      </c>
      <c r="AV100" s="115" t="str">
        <f t="shared" si="44"/>
        <v/>
      </c>
      <c r="AW100" s="115" t="str">
        <f t="shared" si="39"/>
        <v/>
      </c>
      <c r="AX100" s="115" t="str">
        <f t="shared" si="40"/>
        <v/>
      </c>
      <c r="AY100" s="116">
        <v>27.425000000000001</v>
      </c>
      <c r="AZ100" s="43" t="str">
        <f t="shared" si="41"/>
        <v/>
      </c>
      <c r="BA100" s="44" t="e">
        <f t="shared" si="42"/>
        <v>#VALUE!</v>
      </c>
    </row>
    <row r="101" spans="1:53" ht="15" thickBot="1" x14ac:dyDescent="0.35">
      <c r="A101" s="103">
        <v>97</v>
      </c>
      <c r="B101" s="104" t="s">
        <v>41</v>
      </c>
      <c r="C101" s="105">
        <f t="shared" si="46"/>
        <v>37939</v>
      </c>
      <c r="D101" s="117">
        <v>42004</v>
      </c>
      <c r="E101" s="118">
        <f t="shared" si="33"/>
        <v>2014</v>
      </c>
      <c r="F101" s="107">
        <f t="shared" si="26"/>
        <v>11.291666666666666</v>
      </c>
      <c r="G101" s="108" t="s">
        <v>42</v>
      </c>
      <c r="H101" s="104" t="s">
        <v>125</v>
      </c>
      <c r="I101" s="109">
        <v>1</v>
      </c>
      <c r="J101" s="99"/>
      <c r="K101" s="98"/>
      <c r="L101" s="98"/>
      <c r="M101" s="98"/>
      <c r="N101" s="98"/>
      <c r="O101" s="107" t="str">
        <f t="shared" si="27"/>
        <v/>
      </c>
      <c r="P101" s="110">
        <v>0</v>
      </c>
      <c r="Q101" s="111" t="s">
        <v>109</v>
      </c>
      <c r="R101" s="110">
        <v>0</v>
      </c>
      <c r="S101" s="99"/>
      <c r="T101" s="99"/>
      <c r="U101" s="110">
        <v>0</v>
      </c>
      <c r="V101" s="110">
        <v>0</v>
      </c>
      <c r="W101" s="98"/>
      <c r="X101" s="98"/>
      <c r="Y101" s="107" t="str">
        <f t="shared" si="28"/>
        <v/>
      </c>
      <c r="Z101" s="99"/>
      <c r="AA101" s="99"/>
      <c r="AB101" s="99"/>
      <c r="AC101" s="107" t="str">
        <f t="shared" si="29"/>
        <v/>
      </c>
      <c r="AD101" s="99"/>
      <c r="AE101" s="99"/>
      <c r="AF101" s="110">
        <v>0</v>
      </c>
      <c r="AG101" s="98"/>
      <c r="AH101" s="98">
        <v>640</v>
      </c>
      <c r="AI101" s="107" t="str">
        <f t="shared" si="30"/>
        <v/>
      </c>
      <c r="AJ101" s="107" t="str">
        <f t="shared" si="31"/>
        <v/>
      </c>
      <c r="AK101" s="105">
        <f t="shared" si="47"/>
        <v>39069</v>
      </c>
      <c r="AL101" s="107">
        <f t="shared" si="32"/>
        <v>8.1527777777777786</v>
      </c>
      <c r="AM101" s="112" t="str">
        <f t="shared" si="34"/>
        <v/>
      </c>
      <c r="AN101" s="113" t="s">
        <v>101</v>
      </c>
      <c r="AO101" s="113" t="s">
        <v>99</v>
      </c>
      <c r="AP101" s="113" t="s">
        <v>101</v>
      </c>
      <c r="AQ101" s="114" t="s">
        <v>99</v>
      </c>
      <c r="AR101" s="43" t="str">
        <f t="shared" si="35"/>
        <v/>
      </c>
      <c r="AS101" s="43" t="str">
        <f t="shared" si="36"/>
        <v/>
      </c>
      <c r="AT101" s="43" t="str">
        <f t="shared" si="37"/>
        <v/>
      </c>
      <c r="AU101" s="112" t="str">
        <f t="shared" si="38"/>
        <v/>
      </c>
      <c r="AV101" s="115" t="str">
        <f t="shared" si="44"/>
        <v/>
      </c>
      <c r="AW101" s="115" t="str">
        <f t="shared" si="39"/>
        <v/>
      </c>
      <c r="AX101" s="115" t="str">
        <f t="shared" si="40"/>
        <v/>
      </c>
      <c r="AY101" s="116">
        <v>27.725000000000001</v>
      </c>
      <c r="AZ101" s="43" t="str">
        <f t="shared" si="41"/>
        <v/>
      </c>
      <c r="BA101" s="44" t="e">
        <f t="shared" si="42"/>
        <v>#VALUE!</v>
      </c>
    </row>
    <row r="102" spans="1:53" ht="15" thickBot="1" x14ac:dyDescent="0.35">
      <c r="A102" s="103">
        <v>98</v>
      </c>
      <c r="B102" s="104" t="s">
        <v>41</v>
      </c>
      <c r="C102" s="105">
        <f t="shared" si="46"/>
        <v>37939</v>
      </c>
      <c r="D102" s="117">
        <v>42369</v>
      </c>
      <c r="E102" s="118">
        <f t="shared" si="33"/>
        <v>2015</v>
      </c>
      <c r="F102" s="107">
        <f t="shared" si="26"/>
        <v>12.305555555555555</v>
      </c>
      <c r="G102" s="108" t="s">
        <v>42</v>
      </c>
      <c r="H102" s="104" t="s">
        <v>125</v>
      </c>
      <c r="I102" s="109">
        <v>1</v>
      </c>
      <c r="J102" s="99"/>
      <c r="K102" s="98"/>
      <c r="L102" s="98"/>
      <c r="M102" s="98"/>
      <c r="N102" s="98"/>
      <c r="O102" s="107" t="str">
        <f t="shared" si="27"/>
        <v/>
      </c>
      <c r="P102" s="110">
        <v>0</v>
      </c>
      <c r="Q102" s="111" t="s">
        <v>109</v>
      </c>
      <c r="R102" s="110">
        <v>0</v>
      </c>
      <c r="S102" s="99"/>
      <c r="T102" s="99"/>
      <c r="U102" s="110">
        <v>0</v>
      </c>
      <c r="V102" s="110">
        <v>0</v>
      </c>
      <c r="W102" s="98"/>
      <c r="X102" s="98"/>
      <c r="Y102" s="107" t="str">
        <f t="shared" si="28"/>
        <v/>
      </c>
      <c r="Z102" s="99"/>
      <c r="AA102" s="99"/>
      <c r="AB102" s="99"/>
      <c r="AC102" s="107" t="str">
        <f t="shared" si="29"/>
        <v/>
      </c>
      <c r="AD102" s="99"/>
      <c r="AE102" s="99"/>
      <c r="AF102" s="110">
        <v>0</v>
      </c>
      <c r="AG102" s="98"/>
      <c r="AH102" s="98">
        <v>731</v>
      </c>
      <c r="AI102" s="107" t="str">
        <f t="shared" si="30"/>
        <v/>
      </c>
      <c r="AJ102" s="107" t="str">
        <f t="shared" si="31"/>
        <v/>
      </c>
      <c r="AK102" s="105">
        <f t="shared" si="47"/>
        <v>39069</v>
      </c>
      <c r="AL102" s="107">
        <f t="shared" si="32"/>
        <v>9.1666666666666661</v>
      </c>
      <c r="AM102" s="112" t="str">
        <f t="shared" si="34"/>
        <v/>
      </c>
      <c r="AN102" s="113" t="s">
        <v>101</v>
      </c>
      <c r="AO102" s="113" t="s">
        <v>99</v>
      </c>
      <c r="AP102" s="113" t="s">
        <v>101</v>
      </c>
      <c r="AQ102" s="114" t="s">
        <v>99</v>
      </c>
      <c r="AR102" s="43" t="str">
        <f t="shared" si="35"/>
        <v/>
      </c>
      <c r="AS102" s="43" t="str">
        <f t="shared" si="36"/>
        <v/>
      </c>
      <c r="AT102" s="43" t="str">
        <f t="shared" si="37"/>
        <v/>
      </c>
      <c r="AU102" s="112" t="str">
        <f t="shared" si="38"/>
        <v/>
      </c>
      <c r="AV102" s="115" t="str">
        <f t="shared" si="44"/>
        <v/>
      </c>
      <c r="AW102" s="115" t="str">
        <f t="shared" si="39"/>
        <v/>
      </c>
      <c r="AX102" s="115" t="str">
        <f t="shared" si="40"/>
        <v/>
      </c>
      <c r="AY102" s="116">
        <v>27.024999999999999</v>
      </c>
      <c r="AZ102" s="43" t="str">
        <f t="shared" si="41"/>
        <v/>
      </c>
      <c r="BA102" s="44" t="e">
        <f t="shared" si="42"/>
        <v>#VALUE!</v>
      </c>
    </row>
    <row r="103" spans="1:53" ht="15" thickBot="1" x14ac:dyDescent="0.35">
      <c r="A103" s="103">
        <v>99</v>
      </c>
      <c r="B103" s="104" t="s">
        <v>41</v>
      </c>
      <c r="C103" s="105">
        <f t="shared" si="46"/>
        <v>37939</v>
      </c>
      <c r="D103" s="117">
        <v>42735</v>
      </c>
      <c r="E103" s="118">
        <f t="shared" si="33"/>
        <v>2016</v>
      </c>
      <c r="F103" s="107">
        <f t="shared" si="26"/>
        <v>13.322222222222223</v>
      </c>
      <c r="G103" s="108" t="s">
        <v>42</v>
      </c>
      <c r="H103" s="104" t="s">
        <v>125</v>
      </c>
      <c r="I103" s="109">
        <v>1</v>
      </c>
      <c r="J103" s="99"/>
      <c r="K103" s="98"/>
      <c r="L103" s="98"/>
      <c r="M103" s="98"/>
      <c r="N103" s="98"/>
      <c r="O103" s="107" t="str">
        <f t="shared" si="27"/>
        <v/>
      </c>
      <c r="P103" s="110">
        <v>0</v>
      </c>
      <c r="Q103" s="111" t="s">
        <v>109</v>
      </c>
      <c r="R103" s="110">
        <v>0</v>
      </c>
      <c r="S103" s="99"/>
      <c r="T103" s="99"/>
      <c r="U103" s="110">
        <v>0</v>
      </c>
      <c r="V103" s="110">
        <v>0</v>
      </c>
      <c r="W103" s="98"/>
      <c r="X103" s="98"/>
      <c r="Y103" s="107" t="str">
        <f t="shared" si="28"/>
        <v/>
      </c>
      <c r="Z103" s="99"/>
      <c r="AA103" s="99"/>
      <c r="AB103" s="99"/>
      <c r="AC103" s="107" t="str">
        <f t="shared" si="29"/>
        <v/>
      </c>
      <c r="AD103" s="99"/>
      <c r="AE103" s="99"/>
      <c r="AF103" s="110">
        <v>0</v>
      </c>
      <c r="AG103" s="98"/>
      <c r="AH103" s="98">
        <v>769</v>
      </c>
      <c r="AI103" s="107" t="str">
        <f t="shared" si="30"/>
        <v/>
      </c>
      <c r="AJ103" s="107" t="str">
        <f t="shared" si="31"/>
        <v/>
      </c>
      <c r="AK103" s="105">
        <f t="shared" si="47"/>
        <v>39069</v>
      </c>
      <c r="AL103" s="107">
        <f t="shared" si="32"/>
        <v>10.183333333333334</v>
      </c>
      <c r="AM103" s="112" t="str">
        <f t="shared" si="34"/>
        <v/>
      </c>
      <c r="AN103" s="113" t="s">
        <v>101</v>
      </c>
      <c r="AO103" s="113" t="s">
        <v>99</v>
      </c>
      <c r="AP103" s="113" t="s">
        <v>101</v>
      </c>
      <c r="AQ103" s="114" t="s">
        <v>99</v>
      </c>
      <c r="AR103" s="43" t="str">
        <f t="shared" si="35"/>
        <v/>
      </c>
      <c r="AS103" s="43" t="str">
        <f t="shared" si="36"/>
        <v/>
      </c>
      <c r="AT103" s="43" t="str">
        <f t="shared" si="37"/>
        <v/>
      </c>
      <c r="AU103" s="112" t="str">
        <f t="shared" si="38"/>
        <v/>
      </c>
      <c r="AV103" s="115" t="str">
        <f t="shared" si="44"/>
        <v/>
      </c>
      <c r="AW103" s="115" t="str">
        <f t="shared" si="39"/>
        <v/>
      </c>
      <c r="AX103" s="115" t="str">
        <f t="shared" si="40"/>
        <v/>
      </c>
      <c r="AY103" s="116">
        <v>27.02</v>
      </c>
      <c r="AZ103" s="43" t="str">
        <f t="shared" si="41"/>
        <v/>
      </c>
      <c r="BA103" s="44" t="e">
        <f t="shared" si="42"/>
        <v>#VALUE!</v>
      </c>
    </row>
    <row r="104" spans="1:53" ht="15" thickBot="1" x14ac:dyDescent="0.35">
      <c r="A104" s="103">
        <v>100</v>
      </c>
      <c r="B104" s="104" t="s">
        <v>41</v>
      </c>
      <c r="C104" s="105">
        <f t="shared" si="46"/>
        <v>37939</v>
      </c>
      <c r="D104" s="117">
        <v>43100</v>
      </c>
      <c r="E104" s="118">
        <f t="shared" si="33"/>
        <v>2017</v>
      </c>
      <c r="F104" s="107">
        <f t="shared" si="26"/>
        <v>14.33611111111111</v>
      </c>
      <c r="G104" s="108" t="s">
        <v>42</v>
      </c>
      <c r="H104" s="104" t="s">
        <v>125</v>
      </c>
      <c r="I104" s="109">
        <v>1</v>
      </c>
      <c r="J104" s="99"/>
      <c r="K104" s="98"/>
      <c r="L104" s="98"/>
      <c r="M104" s="98"/>
      <c r="N104" s="98"/>
      <c r="O104" s="107" t="str">
        <f t="shared" si="27"/>
        <v/>
      </c>
      <c r="P104" s="110">
        <v>0</v>
      </c>
      <c r="Q104" s="111" t="s">
        <v>109</v>
      </c>
      <c r="R104" s="110">
        <v>0</v>
      </c>
      <c r="S104" s="99"/>
      <c r="T104" s="99"/>
      <c r="U104" s="110">
        <v>0</v>
      </c>
      <c r="V104" s="110">
        <v>0</v>
      </c>
      <c r="W104" s="98"/>
      <c r="X104" s="98"/>
      <c r="Y104" s="107" t="str">
        <f t="shared" si="28"/>
        <v/>
      </c>
      <c r="Z104" s="99"/>
      <c r="AA104" s="99"/>
      <c r="AB104" s="99"/>
      <c r="AC104" s="107" t="str">
        <f t="shared" si="29"/>
        <v/>
      </c>
      <c r="AD104" s="99"/>
      <c r="AE104" s="99"/>
      <c r="AF104" s="110">
        <v>0</v>
      </c>
      <c r="AG104" s="98"/>
      <c r="AH104" s="98">
        <v>821.1</v>
      </c>
      <c r="AI104" s="107" t="str">
        <f t="shared" si="30"/>
        <v/>
      </c>
      <c r="AJ104" s="107" t="str">
        <f t="shared" si="31"/>
        <v/>
      </c>
      <c r="AK104" s="105">
        <f t="shared" si="47"/>
        <v>39069</v>
      </c>
      <c r="AL104" s="107">
        <f t="shared" si="32"/>
        <v>11.197222222222223</v>
      </c>
      <c r="AM104" s="112" t="str">
        <f t="shared" si="34"/>
        <v/>
      </c>
      <c r="AN104" s="113" t="s">
        <v>101</v>
      </c>
      <c r="AO104" s="113" t="s">
        <v>99</v>
      </c>
      <c r="AP104" s="113" t="s">
        <v>101</v>
      </c>
      <c r="AQ104" s="114" t="s">
        <v>99</v>
      </c>
      <c r="AR104" s="43" t="str">
        <f t="shared" si="35"/>
        <v/>
      </c>
      <c r="AS104" s="43" t="str">
        <f t="shared" si="36"/>
        <v/>
      </c>
      <c r="AT104" s="43" t="str">
        <f t="shared" si="37"/>
        <v/>
      </c>
      <c r="AU104" s="112" t="str">
        <f t="shared" si="38"/>
        <v/>
      </c>
      <c r="AV104" s="115" t="str">
        <f t="shared" si="44"/>
        <v/>
      </c>
      <c r="AW104" s="115" t="str">
        <f t="shared" si="39"/>
        <v/>
      </c>
      <c r="AX104" s="115" t="str">
        <f t="shared" si="40"/>
        <v/>
      </c>
      <c r="AY104" s="116">
        <v>25.54</v>
      </c>
      <c r="AZ104" s="43" t="str">
        <f t="shared" si="41"/>
        <v/>
      </c>
      <c r="BA104" s="44" t="e">
        <f t="shared" si="42"/>
        <v>#VALUE!</v>
      </c>
    </row>
    <row r="105" spans="1:53" ht="15" thickBot="1" x14ac:dyDescent="0.35">
      <c r="A105" s="103">
        <v>101</v>
      </c>
      <c r="B105" s="104" t="s">
        <v>41</v>
      </c>
      <c r="C105" s="105">
        <f t="shared" si="46"/>
        <v>37939</v>
      </c>
      <c r="D105" s="117">
        <v>43465</v>
      </c>
      <c r="E105" s="118">
        <f t="shared" si="33"/>
        <v>2018</v>
      </c>
      <c r="F105" s="107">
        <f t="shared" si="26"/>
        <v>15.35</v>
      </c>
      <c r="G105" s="108" t="s">
        <v>42</v>
      </c>
      <c r="H105" s="104" t="s">
        <v>125</v>
      </c>
      <c r="I105" s="109">
        <v>1</v>
      </c>
      <c r="J105" s="99"/>
      <c r="K105" s="98"/>
      <c r="L105" s="98"/>
      <c r="M105" s="98"/>
      <c r="N105" s="98"/>
      <c r="O105" s="107" t="str">
        <f t="shared" si="27"/>
        <v/>
      </c>
      <c r="P105" s="110">
        <v>0</v>
      </c>
      <c r="Q105" s="111" t="s">
        <v>109</v>
      </c>
      <c r="R105" s="110">
        <v>0</v>
      </c>
      <c r="S105" s="99"/>
      <c r="T105" s="99"/>
      <c r="U105" s="110">
        <v>0</v>
      </c>
      <c r="V105" s="110">
        <v>0</v>
      </c>
      <c r="W105" s="98"/>
      <c r="X105" s="98"/>
      <c r="Y105" s="107" t="str">
        <f t="shared" si="28"/>
        <v/>
      </c>
      <c r="Z105" s="99"/>
      <c r="AA105" s="99"/>
      <c r="AB105" s="99"/>
      <c r="AC105" s="107" t="str">
        <f t="shared" si="29"/>
        <v/>
      </c>
      <c r="AD105" s="99"/>
      <c r="AE105" s="99"/>
      <c r="AF105" s="110">
        <v>0</v>
      </c>
      <c r="AG105" s="98"/>
      <c r="AH105" s="98">
        <v>806</v>
      </c>
      <c r="AI105" s="107" t="str">
        <f t="shared" si="30"/>
        <v/>
      </c>
      <c r="AJ105" s="107" t="str">
        <f t="shared" si="31"/>
        <v/>
      </c>
      <c r="AK105" s="105">
        <f t="shared" si="47"/>
        <v>39069</v>
      </c>
      <c r="AL105" s="107">
        <f t="shared" si="32"/>
        <v>12.21111111111111</v>
      </c>
      <c r="AM105" s="112" t="str">
        <f t="shared" si="34"/>
        <v/>
      </c>
      <c r="AN105" s="113" t="s">
        <v>101</v>
      </c>
      <c r="AO105" s="113" t="s">
        <v>99</v>
      </c>
      <c r="AP105" s="113" t="s">
        <v>101</v>
      </c>
      <c r="AQ105" s="114" t="s">
        <v>99</v>
      </c>
      <c r="AR105" s="43" t="str">
        <f t="shared" si="35"/>
        <v/>
      </c>
      <c r="AS105" s="43" t="str">
        <f t="shared" si="36"/>
        <v/>
      </c>
      <c r="AT105" s="43" t="str">
        <f t="shared" si="37"/>
        <v/>
      </c>
      <c r="AU105" s="112" t="str">
        <f t="shared" si="38"/>
        <v/>
      </c>
      <c r="AV105" s="115" t="str">
        <f t="shared" si="44"/>
        <v/>
      </c>
      <c r="AW105" s="115" t="str">
        <f t="shared" si="39"/>
        <v/>
      </c>
      <c r="AX105" s="115" t="str">
        <f t="shared" si="40"/>
        <v/>
      </c>
      <c r="AY105" s="116">
        <v>25.725000000000001</v>
      </c>
      <c r="AZ105" s="43" t="str">
        <f t="shared" si="41"/>
        <v/>
      </c>
      <c r="BA105" s="44" t="e">
        <f t="shared" si="42"/>
        <v>#VALUE!</v>
      </c>
    </row>
    <row r="106" spans="1:53" ht="15" thickBot="1" x14ac:dyDescent="0.35">
      <c r="A106" s="119">
        <v>102</v>
      </c>
      <c r="B106" s="120" t="s">
        <v>41</v>
      </c>
      <c r="C106" s="121">
        <f t="shared" si="46"/>
        <v>37939</v>
      </c>
      <c r="D106" s="121">
        <v>43830</v>
      </c>
      <c r="E106" s="122">
        <f t="shared" si="33"/>
        <v>2019</v>
      </c>
      <c r="F106" s="123">
        <f t="shared" si="26"/>
        <v>16.363888888888887</v>
      </c>
      <c r="G106" s="124" t="s">
        <v>42</v>
      </c>
      <c r="H106" s="104" t="s">
        <v>125</v>
      </c>
      <c r="I106" s="125">
        <v>1</v>
      </c>
      <c r="J106" s="126"/>
      <c r="K106" s="127"/>
      <c r="L106" s="127"/>
      <c r="M106" s="127"/>
      <c r="N106" s="127"/>
      <c r="O106" s="123" t="str">
        <f t="shared" si="27"/>
        <v/>
      </c>
      <c r="P106" s="128">
        <v>0</v>
      </c>
      <c r="Q106" s="111" t="s">
        <v>109</v>
      </c>
      <c r="R106" s="128">
        <v>0</v>
      </c>
      <c r="S106" s="126"/>
      <c r="T106" s="126"/>
      <c r="U106" s="128">
        <v>0</v>
      </c>
      <c r="V106" s="128">
        <v>0</v>
      </c>
      <c r="W106" s="127"/>
      <c r="X106" s="127"/>
      <c r="Y106" s="123" t="str">
        <f t="shared" si="28"/>
        <v/>
      </c>
      <c r="Z106" s="126"/>
      <c r="AA106" s="126"/>
      <c r="AB106" s="126"/>
      <c r="AC106" s="123" t="str">
        <f t="shared" si="29"/>
        <v/>
      </c>
      <c r="AD106" s="126"/>
      <c r="AE106" s="126"/>
      <c r="AF106" s="110">
        <v>0</v>
      </c>
      <c r="AG106" s="127"/>
      <c r="AH106" s="127">
        <v>700</v>
      </c>
      <c r="AI106" s="123" t="str">
        <f t="shared" si="30"/>
        <v/>
      </c>
      <c r="AJ106" s="123" t="str">
        <f t="shared" si="31"/>
        <v/>
      </c>
      <c r="AK106" s="121">
        <f t="shared" si="47"/>
        <v>39069</v>
      </c>
      <c r="AL106" s="123">
        <f t="shared" si="32"/>
        <v>13.225</v>
      </c>
      <c r="AM106" s="129" t="str">
        <f t="shared" si="34"/>
        <v/>
      </c>
      <c r="AN106" s="113" t="s">
        <v>101</v>
      </c>
      <c r="AO106" s="113" t="s">
        <v>99</v>
      </c>
      <c r="AP106" s="113" t="s">
        <v>101</v>
      </c>
      <c r="AQ106" s="114" t="s">
        <v>99</v>
      </c>
      <c r="AR106" s="43" t="str">
        <f t="shared" si="35"/>
        <v/>
      </c>
      <c r="AS106" s="43" t="str">
        <f t="shared" si="36"/>
        <v/>
      </c>
      <c r="AT106" s="43" t="str">
        <f t="shared" si="37"/>
        <v/>
      </c>
      <c r="AU106" s="129" t="str">
        <f t="shared" si="38"/>
        <v/>
      </c>
      <c r="AV106" s="130" t="str">
        <f t="shared" si="44"/>
        <v/>
      </c>
      <c r="AW106" s="130" t="str">
        <f t="shared" si="39"/>
        <v/>
      </c>
      <c r="AX106" s="130" t="str">
        <f t="shared" si="40"/>
        <v/>
      </c>
      <c r="AY106" s="116">
        <v>25.41</v>
      </c>
      <c r="AZ106" s="43" t="str">
        <f t="shared" si="41"/>
        <v/>
      </c>
      <c r="BA106" s="44" t="e">
        <f t="shared" si="42"/>
        <v>#VALUE!</v>
      </c>
    </row>
    <row r="107" spans="1:53" ht="15" thickBot="1" x14ac:dyDescent="0.35">
      <c r="A107" s="45">
        <v>103</v>
      </c>
      <c r="B107" s="46" t="s">
        <v>43</v>
      </c>
      <c r="C107" s="47">
        <v>33325</v>
      </c>
      <c r="D107" s="47">
        <v>34334</v>
      </c>
      <c r="E107" s="48">
        <f t="shared" si="33"/>
        <v>1993</v>
      </c>
      <c r="F107" s="131">
        <f t="shared" si="26"/>
        <v>2.8027777777777776</v>
      </c>
      <c r="G107" s="49" t="s">
        <v>44</v>
      </c>
      <c r="H107" s="46" t="s">
        <v>126</v>
      </c>
      <c r="I107" s="131">
        <v>1</v>
      </c>
      <c r="J107" s="131"/>
      <c r="K107" s="131"/>
      <c r="L107" s="131"/>
      <c r="M107" s="131"/>
      <c r="N107" s="131"/>
      <c r="O107" s="131" t="str">
        <f t="shared" si="27"/>
        <v/>
      </c>
      <c r="P107" s="132"/>
      <c r="Q107" s="111" t="s">
        <v>109</v>
      </c>
      <c r="R107" s="133"/>
      <c r="S107" s="133"/>
      <c r="T107" s="133"/>
      <c r="U107" s="133"/>
      <c r="V107" s="133"/>
      <c r="W107" s="131"/>
      <c r="X107" s="131"/>
      <c r="Y107" s="131" t="str">
        <f t="shared" si="28"/>
        <v/>
      </c>
      <c r="Z107" s="131"/>
      <c r="AA107" s="131"/>
      <c r="AB107" s="131"/>
      <c r="AC107" s="131" t="str">
        <f t="shared" si="29"/>
        <v/>
      </c>
      <c r="AD107" s="131"/>
      <c r="AE107" s="131"/>
      <c r="AF107" s="131"/>
      <c r="AG107" s="131"/>
      <c r="AH107" s="131"/>
      <c r="AI107" s="131" t="str">
        <f t="shared" si="30"/>
        <v/>
      </c>
      <c r="AJ107" s="131" t="str">
        <f t="shared" si="31"/>
        <v/>
      </c>
      <c r="AK107" s="134">
        <v>34163</v>
      </c>
      <c r="AL107" s="131">
        <f t="shared" si="32"/>
        <v>0.47499999999999998</v>
      </c>
      <c r="AM107" s="135" t="str">
        <f t="shared" si="34"/>
        <v/>
      </c>
      <c r="AN107" s="136" t="s">
        <v>101</v>
      </c>
      <c r="AO107" s="136" t="s">
        <v>99</v>
      </c>
      <c r="AP107" s="136" t="s">
        <v>101</v>
      </c>
      <c r="AQ107" s="57" t="s">
        <v>99</v>
      </c>
      <c r="AR107" s="43" t="str">
        <f t="shared" si="35"/>
        <v/>
      </c>
      <c r="AS107" s="43" t="str">
        <f t="shared" si="36"/>
        <v/>
      </c>
      <c r="AT107" s="43" t="str">
        <f t="shared" si="37"/>
        <v/>
      </c>
      <c r="AU107" s="135" t="str">
        <f t="shared" si="38"/>
        <v/>
      </c>
      <c r="AV107" s="137" t="str">
        <f t="shared" si="44"/>
        <v/>
      </c>
      <c r="AW107" s="137" t="str">
        <f t="shared" si="39"/>
        <v/>
      </c>
      <c r="AX107" s="137" t="str">
        <f t="shared" si="40"/>
        <v/>
      </c>
      <c r="AZ107" s="43" t="str">
        <f t="shared" si="41"/>
        <v/>
      </c>
      <c r="BA107" s="44" t="e">
        <f t="shared" si="42"/>
        <v>#VALUE!</v>
      </c>
    </row>
    <row r="108" spans="1:53" ht="15" thickBot="1" x14ac:dyDescent="0.35">
      <c r="A108" s="45">
        <v>104</v>
      </c>
      <c r="B108" s="46" t="str">
        <f t="shared" ref="B108:C123" si="48">+B107</f>
        <v>Philip Morris ČR a.s.</v>
      </c>
      <c r="C108" s="47">
        <f t="shared" si="48"/>
        <v>33325</v>
      </c>
      <c r="D108" s="47">
        <v>34699</v>
      </c>
      <c r="E108" s="48">
        <f t="shared" si="33"/>
        <v>1994</v>
      </c>
      <c r="F108" s="32">
        <f t="shared" si="26"/>
        <v>3.8166666666666669</v>
      </c>
      <c r="G108" s="49" t="s">
        <v>44</v>
      </c>
      <c r="H108" s="46" t="s">
        <v>126</v>
      </c>
      <c r="I108" s="50">
        <v>0</v>
      </c>
      <c r="J108" s="51">
        <v>8693842</v>
      </c>
      <c r="K108" s="52">
        <v>28202</v>
      </c>
      <c r="L108" s="52">
        <v>546812</v>
      </c>
      <c r="M108" s="52">
        <v>1846506</v>
      </c>
      <c r="N108" s="52"/>
      <c r="O108" s="32">
        <f t="shared" si="27"/>
        <v>2421520</v>
      </c>
      <c r="P108" s="84"/>
      <c r="Q108" s="111" t="s">
        <v>109</v>
      </c>
      <c r="R108" s="51"/>
      <c r="S108" s="51">
        <v>8693842</v>
      </c>
      <c r="T108" s="51">
        <v>1398834</v>
      </c>
      <c r="U108" s="51"/>
      <c r="V108" s="51"/>
      <c r="W108" s="52">
        <v>7175768</v>
      </c>
      <c r="X108" s="52">
        <v>505927</v>
      </c>
      <c r="Y108" s="32">
        <f t="shared" si="28"/>
        <v>7681695</v>
      </c>
      <c r="Z108" s="51">
        <v>1743229</v>
      </c>
      <c r="AA108" s="51">
        <v>932138</v>
      </c>
      <c r="AB108" s="51">
        <v>190877</v>
      </c>
      <c r="AC108" s="32">
        <f t="shared" si="29"/>
        <v>7872572</v>
      </c>
      <c r="AD108" s="51">
        <v>2235</v>
      </c>
      <c r="AE108" s="51">
        <v>7</v>
      </c>
      <c r="AF108" s="110">
        <v>0</v>
      </c>
      <c r="AG108" s="52">
        <v>2719540</v>
      </c>
      <c r="AH108" s="52">
        <v>2900</v>
      </c>
      <c r="AI108" s="32">
        <f t="shared" si="30"/>
        <v>7886666000</v>
      </c>
      <c r="AJ108" s="32">
        <f t="shared" si="31"/>
        <v>7886666</v>
      </c>
      <c r="AK108" s="47">
        <f t="shared" ref="AK108:AK133" si="49">+AK107</f>
        <v>34163</v>
      </c>
      <c r="AL108" s="32">
        <f t="shared" si="32"/>
        <v>1.4888888888888889</v>
      </c>
      <c r="AM108" s="55">
        <f t="shared" si="34"/>
        <v>0.27853278216926419</v>
      </c>
      <c r="AN108" s="56" t="s">
        <v>99</v>
      </c>
      <c r="AO108" s="56" t="s">
        <v>99</v>
      </c>
      <c r="AP108" s="56" t="s">
        <v>99</v>
      </c>
      <c r="AQ108" s="57" t="s">
        <v>99</v>
      </c>
      <c r="AR108" s="43">
        <f t="shared" si="35"/>
        <v>0.20051307580699074</v>
      </c>
      <c r="AS108" s="43">
        <f t="shared" si="36"/>
        <v>0.20051307580699074</v>
      </c>
      <c r="AT108" s="43">
        <f t="shared" si="37"/>
        <v>0.2214306836444303</v>
      </c>
      <c r="AU108" s="55">
        <f t="shared" si="38"/>
        <v>0</v>
      </c>
      <c r="AV108" s="58">
        <f t="shared" si="44"/>
        <v>0.16089940442901998</v>
      </c>
      <c r="AW108" s="58">
        <f t="shared" si="39"/>
        <v>0.92002358938303375</v>
      </c>
      <c r="AX108" s="58">
        <f t="shared" si="40"/>
        <v>0.90715543254639319</v>
      </c>
      <c r="AZ108" s="43">
        <f t="shared" si="41"/>
        <v>0.90715543254639319</v>
      </c>
      <c r="BA108" s="44">
        <f t="shared" si="42"/>
        <v>0.2214306836444303</v>
      </c>
    </row>
    <row r="109" spans="1:53" ht="15" thickBot="1" x14ac:dyDescent="0.35">
      <c r="A109" s="45">
        <v>105</v>
      </c>
      <c r="B109" s="46" t="str">
        <f t="shared" si="48"/>
        <v>Philip Morris ČR a.s.</v>
      </c>
      <c r="C109" s="47">
        <f t="shared" si="48"/>
        <v>33325</v>
      </c>
      <c r="D109" s="138">
        <v>35064</v>
      </c>
      <c r="E109" s="139">
        <f t="shared" si="33"/>
        <v>1995</v>
      </c>
      <c r="F109" s="32">
        <f t="shared" si="26"/>
        <v>4.8305555555555557</v>
      </c>
      <c r="G109" s="49" t="s">
        <v>44</v>
      </c>
      <c r="H109" s="46" t="s">
        <v>126</v>
      </c>
      <c r="I109" s="50">
        <v>0</v>
      </c>
      <c r="J109" s="51">
        <v>11098788</v>
      </c>
      <c r="K109" s="52">
        <v>28047</v>
      </c>
      <c r="L109" s="52">
        <v>1433797</v>
      </c>
      <c r="M109" s="52">
        <v>2924569</v>
      </c>
      <c r="N109" s="52"/>
      <c r="O109" s="32">
        <f t="shared" si="27"/>
        <v>4386413</v>
      </c>
      <c r="P109" s="84"/>
      <c r="Q109" s="111" t="s">
        <v>109</v>
      </c>
      <c r="R109" s="51"/>
      <c r="S109" s="51">
        <v>11098788</v>
      </c>
      <c r="T109" s="51">
        <v>2782407</v>
      </c>
      <c r="U109" s="51"/>
      <c r="V109" s="51"/>
      <c r="W109" s="52">
        <v>8768335</v>
      </c>
      <c r="X109" s="52">
        <v>257638</v>
      </c>
      <c r="Y109" s="32">
        <f t="shared" si="28"/>
        <v>9025973</v>
      </c>
      <c r="Z109" s="51">
        <v>3077149</v>
      </c>
      <c r="AA109" s="51">
        <v>1805222</v>
      </c>
      <c r="AB109" s="51">
        <v>228579</v>
      </c>
      <c r="AC109" s="32">
        <f t="shared" si="29"/>
        <v>9254552</v>
      </c>
      <c r="AD109" s="51">
        <v>2149</v>
      </c>
      <c r="AE109" s="51">
        <v>5</v>
      </c>
      <c r="AF109" s="110">
        <v>0</v>
      </c>
      <c r="AG109" s="52">
        <v>2719540</v>
      </c>
      <c r="AH109" s="52">
        <v>3856</v>
      </c>
      <c r="AI109" s="32">
        <f t="shared" si="30"/>
        <v>10486546240</v>
      </c>
      <c r="AJ109" s="32">
        <f t="shared" si="31"/>
        <v>10486546.24</v>
      </c>
      <c r="AK109" s="47">
        <f t="shared" si="49"/>
        <v>34163</v>
      </c>
      <c r="AL109" s="32">
        <f t="shared" si="32"/>
        <v>2.5027777777777778</v>
      </c>
      <c r="AM109" s="55">
        <f t="shared" si="34"/>
        <v>0.39521549560186209</v>
      </c>
      <c r="AN109" s="56" t="s">
        <v>99</v>
      </c>
      <c r="AO109" s="56" t="s">
        <v>99</v>
      </c>
      <c r="AP109" s="56" t="s">
        <v>99</v>
      </c>
      <c r="AQ109" s="57" t="s">
        <v>99</v>
      </c>
      <c r="AR109" s="43">
        <f t="shared" si="35"/>
        <v>0.27725090343197833</v>
      </c>
      <c r="AS109" s="43">
        <f t="shared" si="36"/>
        <v>0.27725090343197833</v>
      </c>
      <c r="AT109" s="43">
        <f t="shared" si="37"/>
        <v>0.33250113025460337</v>
      </c>
      <c r="AU109" s="55">
        <f t="shared" si="38"/>
        <v>0</v>
      </c>
      <c r="AV109" s="58">
        <f t="shared" si="44"/>
        <v>0.25069467044509725</v>
      </c>
      <c r="AW109" s="58">
        <f t="shared" si="39"/>
        <v>0.95589416040910025</v>
      </c>
      <c r="AX109" s="58">
        <f t="shared" si="40"/>
        <v>0.94483706148815527</v>
      </c>
      <c r="AZ109" s="43">
        <f t="shared" si="41"/>
        <v>0.94483706148815527</v>
      </c>
      <c r="BA109" s="44">
        <f t="shared" si="42"/>
        <v>0.33250113025460337</v>
      </c>
    </row>
    <row r="110" spans="1:53" ht="15" thickBot="1" x14ac:dyDescent="0.35">
      <c r="A110" s="45">
        <v>106</v>
      </c>
      <c r="B110" s="46" t="str">
        <f t="shared" si="48"/>
        <v>Philip Morris ČR a.s.</v>
      </c>
      <c r="C110" s="47">
        <f t="shared" si="48"/>
        <v>33325</v>
      </c>
      <c r="D110" s="47">
        <v>35430</v>
      </c>
      <c r="E110" s="48">
        <f t="shared" si="33"/>
        <v>1996</v>
      </c>
      <c r="F110" s="131">
        <f t="shared" si="26"/>
        <v>5.8472222222222223</v>
      </c>
      <c r="G110" s="49" t="s">
        <v>44</v>
      </c>
      <c r="H110" s="46" t="s">
        <v>126</v>
      </c>
      <c r="I110" s="131">
        <v>1</v>
      </c>
      <c r="J110" s="131"/>
      <c r="K110" s="131"/>
      <c r="L110" s="131"/>
      <c r="M110" s="131"/>
      <c r="N110" s="131"/>
      <c r="O110" s="131" t="str">
        <f t="shared" si="27"/>
        <v/>
      </c>
      <c r="P110" s="132"/>
      <c r="Q110" s="111" t="s">
        <v>109</v>
      </c>
      <c r="R110" s="133"/>
      <c r="S110" s="133"/>
      <c r="T110" s="133"/>
      <c r="U110" s="133"/>
      <c r="V110" s="133"/>
      <c r="W110" s="131"/>
      <c r="X110" s="131"/>
      <c r="Y110" s="131" t="str">
        <f t="shared" si="28"/>
        <v/>
      </c>
      <c r="Z110" s="131"/>
      <c r="AA110" s="131"/>
      <c r="AB110" s="131"/>
      <c r="AC110" s="131" t="str">
        <f t="shared" si="29"/>
        <v/>
      </c>
      <c r="AD110" s="131"/>
      <c r="AE110" s="131"/>
      <c r="AF110" s="110">
        <v>0</v>
      </c>
      <c r="AG110" s="131"/>
      <c r="AH110" s="131"/>
      <c r="AI110" s="131" t="str">
        <f t="shared" si="30"/>
        <v/>
      </c>
      <c r="AJ110" s="131" t="str">
        <f t="shared" si="31"/>
        <v/>
      </c>
      <c r="AK110" s="134">
        <f t="shared" si="49"/>
        <v>34163</v>
      </c>
      <c r="AL110" s="131">
        <f t="shared" si="32"/>
        <v>3.5194444444444444</v>
      </c>
      <c r="AM110" s="135" t="str">
        <f t="shared" si="34"/>
        <v/>
      </c>
      <c r="AN110" s="136" t="s">
        <v>101</v>
      </c>
      <c r="AO110" s="136" t="s">
        <v>99</v>
      </c>
      <c r="AP110" s="136" t="s">
        <v>101</v>
      </c>
      <c r="AQ110" s="57" t="s">
        <v>99</v>
      </c>
      <c r="AR110" s="43" t="str">
        <f t="shared" si="35"/>
        <v/>
      </c>
      <c r="AS110" s="43" t="str">
        <f t="shared" si="36"/>
        <v/>
      </c>
      <c r="AT110" s="43" t="str">
        <f t="shared" si="37"/>
        <v/>
      </c>
      <c r="AU110" s="135" t="str">
        <f t="shared" si="38"/>
        <v/>
      </c>
      <c r="AV110" s="137" t="str">
        <f t="shared" si="44"/>
        <v/>
      </c>
      <c r="AW110" s="137" t="str">
        <f t="shared" si="39"/>
        <v/>
      </c>
      <c r="AX110" s="137" t="str">
        <f t="shared" si="40"/>
        <v/>
      </c>
      <c r="AZ110" s="43" t="str">
        <f t="shared" si="41"/>
        <v/>
      </c>
      <c r="BA110" s="44" t="e">
        <f t="shared" si="42"/>
        <v>#VALUE!</v>
      </c>
    </row>
    <row r="111" spans="1:53" ht="15" thickBot="1" x14ac:dyDescent="0.35">
      <c r="A111" s="45">
        <v>107</v>
      </c>
      <c r="B111" s="46" t="str">
        <f t="shared" si="48"/>
        <v>Philip Morris ČR a.s.</v>
      </c>
      <c r="C111" s="47">
        <f t="shared" si="48"/>
        <v>33325</v>
      </c>
      <c r="D111" s="47">
        <v>35795</v>
      </c>
      <c r="E111" s="48">
        <f t="shared" si="33"/>
        <v>1997</v>
      </c>
      <c r="F111" s="131">
        <f t="shared" si="26"/>
        <v>6.8611111111111107</v>
      </c>
      <c r="G111" s="49" t="s">
        <v>44</v>
      </c>
      <c r="H111" s="46" t="s">
        <v>126</v>
      </c>
      <c r="I111" s="131">
        <v>1</v>
      </c>
      <c r="J111" s="131"/>
      <c r="K111" s="131"/>
      <c r="L111" s="131"/>
      <c r="M111" s="131"/>
      <c r="N111" s="131"/>
      <c r="O111" s="131" t="str">
        <f t="shared" si="27"/>
        <v/>
      </c>
      <c r="P111" s="132"/>
      <c r="Q111" s="111" t="s">
        <v>109</v>
      </c>
      <c r="R111" s="133"/>
      <c r="S111" s="133"/>
      <c r="T111" s="133"/>
      <c r="U111" s="133"/>
      <c r="V111" s="133"/>
      <c r="W111" s="131"/>
      <c r="X111" s="131"/>
      <c r="Y111" s="131" t="str">
        <f t="shared" si="28"/>
        <v/>
      </c>
      <c r="Z111" s="131"/>
      <c r="AA111" s="131"/>
      <c r="AB111" s="131"/>
      <c r="AC111" s="131" t="str">
        <f t="shared" si="29"/>
        <v/>
      </c>
      <c r="AD111" s="131"/>
      <c r="AE111" s="131"/>
      <c r="AF111" s="110">
        <v>0</v>
      </c>
      <c r="AG111" s="131"/>
      <c r="AH111" s="131"/>
      <c r="AI111" s="131" t="str">
        <f t="shared" si="30"/>
        <v/>
      </c>
      <c r="AJ111" s="131" t="str">
        <f t="shared" si="31"/>
        <v/>
      </c>
      <c r="AK111" s="134">
        <f t="shared" si="49"/>
        <v>34163</v>
      </c>
      <c r="AL111" s="131">
        <f t="shared" si="32"/>
        <v>4.5333333333333332</v>
      </c>
      <c r="AM111" s="135" t="str">
        <f t="shared" si="34"/>
        <v/>
      </c>
      <c r="AN111" s="136" t="s">
        <v>101</v>
      </c>
      <c r="AO111" s="136" t="s">
        <v>99</v>
      </c>
      <c r="AP111" s="136" t="s">
        <v>101</v>
      </c>
      <c r="AQ111" s="57" t="s">
        <v>99</v>
      </c>
      <c r="AR111" s="43" t="str">
        <f t="shared" si="35"/>
        <v/>
      </c>
      <c r="AS111" s="43" t="str">
        <f t="shared" si="36"/>
        <v/>
      </c>
      <c r="AT111" s="43" t="str">
        <f t="shared" si="37"/>
        <v/>
      </c>
      <c r="AU111" s="135" t="str">
        <f t="shared" si="38"/>
        <v/>
      </c>
      <c r="AV111" s="137" t="str">
        <f t="shared" si="44"/>
        <v/>
      </c>
      <c r="AW111" s="137" t="str">
        <f t="shared" si="39"/>
        <v/>
      </c>
      <c r="AX111" s="137" t="str">
        <f t="shared" si="40"/>
        <v/>
      </c>
      <c r="AZ111" s="43" t="str">
        <f t="shared" si="41"/>
        <v/>
      </c>
      <c r="BA111" s="44" t="e">
        <f t="shared" si="42"/>
        <v>#VALUE!</v>
      </c>
    </row>
    <row r="112" spans="1:53" ht="15" thickBot="1" x14ac:dyDescent="0.35">
      <c r="A112" s="45">
        <v>108</v>
      </c>
      <c r="B112" s="46" t="str">
        <f t="shared" si="48"/>
        <v>Philip Morris ČR a.s.</v>
      </c>
      <c r="C112" s="47">
        <f t="shared" si="48"/>
        <v>33325</v>
      </c>
      <c r="D112" s="47">
        <v>36160</v>
      </c>
      <c r="E112" s="48">
        <f t="shared" si="33"/>
        <v>1998</v>
      </c>
      <c r="F112" s="131">
        <f t="shared" si="26"/>
        <v>7.875</v>
      </c>
      <c r="G112" s="49" t="s">
        <v>44</v>
      </c>
      <c r="H112" s="46" t="s">
        <v>126</v>
      </c>
      <c r="I112" s="131">
        <v>1</v>
      </c>
      <c r="J112" s="131"/>
      <c r="K112" s="131"/>
      <c r="L112" s="131"/>
      <c r="M112" s="131"/>
      <c r="N112" s="131"/>
      <c r="O112" s="131" t="str">
        <f t="shared" si="27"/>
        <v/>
      </c>
      <c r="P112" s="132"/>
      <c r="Q112" s="111" t="s">
        <v>109</v>
      </c>
      <c r="R112" s="133"/>
      <c r="S112" s="133"/>
      <c r="T112" s="133"/>
      <c r="U112" s="133"/>
      <c r="V112" s="133"/>
      <c r="W112" s="131"/>
      <c r="X112" s="131"/>
      <c r="Y112" s="131" t="str">
        <f t="shared" si="28"/>
        <v/>
      </c>
      <c r="Z112" s="131"/>
      <c r="AA112" s="131"/>
      <c r="AB112" s="131"/>
      <c r="AC112" s="131" t="str">
        <f t="shared" si="29"/>
        <v/>
      </c>
      <c r="AD112" s="131"/>
      <c r="AE112" s="131"/>
      <c r="AF112" s="110">
        <v>0</v>
      </c>
      <c r="AG112" s="131"/>
      <c r="AH112" s="131"/>
      <c r="AI112" s="131" t="str">
        <f t="shared" si="30"/>
        <v/>
      </c>
      <c r="AJ112" s="131" t="str">
        <f t="shared" si="31"/>
        <v/>
      </c>
      <c r="AK112" s="134">
        <f t="shared" si="49"/>
        <v>34163</v>
      </c>
      <c r="AL112" s="131">
        <f t="shared" si="32"/>
        <v>5.5472222222222225</v>
      </c>
      <c r="AM112" s="135" t="str">
        <f t="shared" si="34"/>
        <v/>
      </c>
      <c r="AN112" s="136" t="s">
        <v>101</v>
      </c>
      <c r="AO112" s="136" t="s">
        <v>99</v>
      </c>
      <c r="AP112" s="136" t="s">
        <v>101</v>
      </c>
      <c r="AQ112" s="57" t="s">
        <v>99</v>
      </c>
      <c r="AR112" s="43" t="str">
        <f t="shared" si="35"/>
        <v/>
      </c>
      <c r="AS112" s="43" t="str">
        <f t="shared" si="36"/>
        <v/>
      </c>
      <c r="AT112" s="43" t="str">
        <f t="shared" si="37"/>
        <v/>
      </c>
      <c r="AU112" s="135" t="str">
        <f t="shared" si="38"/>
        <v/>
      </c>
      <c r="AV112" s="137" t="str">
        <f t="shared" si="44"/>
        <v/>
      </c>
      <c r="AW112" s="137" t="str">
        <f t="shared" si="39"/>
        <v/>
      </c>
      <c r="AX112" s="137" t="str">
        <f t="shared" si="40"/>
        <v/>
      </c>
      <c r="AZ112" s="43" t="str">
        <f t="shared" si="41"/>
        <v/>
      </c>
      <c r="BA112" s="44" t="e">
        <f t="shared" si="42"/>
        <v>#VALUE!</v>
      </c>
    </row>
    <row r="113" spans="1:53" ht="15" thickBot="1" x14ac:dyDescent="0.35">
      <c r="A113" s="45">
        <v>109</v>
      </c>
      <c r="B113" s="46" t="str">
        <f t="shared" si="48"/>
        <v>Philip Morris ČR a.s.</v>
      </c>
      <c r="C113" s="47">
        <f t="shared" si="48"/>
        <v>33325</v>
      </c>
      <c r="D113" s="47">
        <v>36525</v>
      </c>
      <c r="E113" s="48">
        <f t="shared" si="33"/>
        <v>1999</v>
      </c>
      <c r="F113" s="32">
        <f t="shared" si="26"/>
        <v>8.8888888888888893</v>
      </c>
      <c r="G113" s="49" t="s">
        <v>44</v>
      </c>
      <c r="H113" s="46" t="s">
        <v>126</v>
      </c>
      <c r="I113" s="50">
        <v>0</v>
      </c>
      <c r="J113" s="51">
        <v>12097442</v>
      </c>
      <c r="K113" s="52">
        <v>28886</v>
      </c>
      <c r="L113" s="52">
        <v>1271839</v>
      </c>
      <c r="M113" s="52">
        <v>2410273</v>
      </c>
      <c r="N113" s="52"/>
      <c r="O113" s="32">
        <f t="shared" si="27"/>
        <v>3710998</v>
      </c>
      <c r="P113" s="84">
        <v>0</v>
      </c>
      <c r="Q113" s="111" t="s">
        <v>109</v>
      </c>
      <c r="R113" s="51">
        <v>0</v>
      </c>
      <c r="S113" s="51">
        <v>8490541</v>
      </c>
      <c r="T113" s="51">
        <v>3405782</v>
      </c>
      <c r="U113" s="51">
        <v>0</v>
      </c>
      <c r="V113" s="51">
        <v>0</v>
      </c>
      <c r="W113" s="52">
        <v>14148444</v>
      </c>
      <c r="X113" s="52">
        <v>334</v>
      </c>
      <c r="Y113" s="32">
        <f t="shared" si="28"/>
        <v>14148778</v>
      </c>
      <c r="Z113" s="51">
        <v>4273963</v>
      </c>
      <c r="AA113" s="51">
        <v>2842538</v>
      </c>
      <c r="AB113" s="51">
        <v>81276</v>
      </c>
      <c r="AC113" s="32">
        <f t="shared" si="29"/>
        <v>14230054</v>
      </c>
      <c r="AD113" s="51">
        <v>2013</v>
      </c>
      <c r="AE113" s="51">
        <v>7</v>
      </c>
      <c r="AF113" s="110">
        <v>0</v>
      </c>
      <c r="AG113" s="52">
        <v>2745386</v>
      </c>
      <c r="AH113" s="52">
        <v>7222</v>
      </c>
      <c r="AI113" s="32">
        <f t="shared" si="30"/>
        <v>19827177692</v>
      </c>
      <c r="AJ113" s="32">
        <f t="shared" si="31"/>
        <v>19827177.692000002</v>
      </c>
      <c r="AK113" s="47">
        <f t="shared" si="49"/>
        <v>34163</v>
      </c>
      <c r="AL113" s="32">
        <f t="shared" si="32"/>
        <v>6.5611111111111109</v>
      </c>
      <c r="AM113" s="55">
        <f t="shared" si="34"/>
        <v>0.30675889993934252</v>
      </c>
      <c r="AN113" s="56" t="s">
        <v>99</v>
      </c>
      <c r="AO113" s="56" t="s">
        <v>99</v>
      </c>
      <c r="AP113" s="56" t="s">
        <v>99</v>
      </c>
      <c r="AQ113" s="57" t="s">
        <v>99</v>
      </c>
      <c r="AR113" s="43">
        <f t="shared" si="35"/>
        <v>0.35329477091107359</v>
      </c>
      <c r="AS113" s="43">
        <f t="shared" si="36"/>
        <v>0.5033793488542132</v>
      </c>
      <c r="AT113" s="43">
        <f t="shared" si="37"/>
        <v>0.3003476304446912</v>
      </c>
      <c r="AU113" s="55">
        <f t="shared" si="38"/>
        <v>0</v>
      </c>
      <c r="AV113" s="58">
        <f t="shared" si="44"/>
        <v>0.28152910342533571</v>
      </c>
      <c r="AW113" s="58">
        <f t="shared" si="39"/>
        <v>1.9529530000152149</v>
      </c>
      <c r="AX113" s="58">
        <f t="shared" si="40"/>
        <v>2.3352078144372661</v>
      </c>
      <c r="AZ113" s="43">
        <f t="shared" si="41"/>
        <v>1.6389562100814372</v>
      </c>
      <c r="BA113" s="44">
        <f t="shared" si="42"/>
        <v>0.3003476304446912</v>
      </c>
    </row>
    <row r="114" spans="1:53" ht="15" thickBot="1" x14ac:dyDescent="0.35">
      <c r="A114" s="45">
        <v>110</v>
      </c>
      <c r="B114" s="46" t="str">
        <f t="shared" si="48"/>
        <v>Philip Morris ČR a.s.</v>
      </c>
      <c r="C114" s="47">
        <f t="shared" si="48"/>
        <v>33325</v>
      </c>
      <c r="D114" s="47">
        <v>36891</v>
      </c>
      <c r="E114" s="48">
        <f t="shared" si="33"/>
        <v>2000</v>
      </c>
      <c r="F114" s="32">
        <f t="shared" si="26"/>
        <v>9.905555555555555</v>
      </c>
      <c r="G114" s="49" t="s">
        <v>44</v>
      </c>
      <c r="H114" s="46" t="s">
        <v>126</v>
      </c>
      <c r="I114" s="50">
        <v>0</v>
      </c>
      <c r="J114" s="51">
        <v>13084137</v>
      </c>
      <c r="K114" s="52">
        <v>28874</v>
      </c>
      <c r="L114" s="52">
        <v>1207015</v>
      </c>
      <c r="M114" s="52">
        <v>2185579</v>
      </c>
      <c r="N114" s="52"/>
      <c r="O114" s="32">
        <f t="shared" si="27"/>
        <v>3421468</v>
      </c>
      <c r="P114" s="84">
        <v>93600</v>
      </c>
      <c r="Q114" s="85" t="s">
        <v>108</v>
      </c>
      <c r="R114" s="51">
        <v>0</v>
      </c>
      <c r="S114" s="51">
        <v>9295605</v>
      </c>
      <c r="T114" s="51">
        <v>3462072</v>
      </c>
      <c r="U114" s="51">
        <v>0</v>
      </c>
      <c r="V114" s="51">
        <v>0</v>
      </c>
      <c r="W114" s="52">
        <v>12284795</v>
      </c>
      <c r="X114" s="52">
        <v>127</v>
      </c>
      <c r="Y114" s="32">
        <f t="shared" si="28"/>
        <v>12284922</v>
      </c>
      <c r="Z114" s="51">
        <v>4380508</v>
      </c>
      <c r="AA114" s="51">
        <v>3219626</v>
      </c>
      <c r="AB114" s="51">
        <v>249607</v>
      </c>
      <c r="AC114" s="32">
        <f t="shared" si="29"/>
        <v>12534529</v>
      </c>
      <c r="AD114" s="51">
        <v>1578</v>
      </c>
      <c r="AE114" s="51">
        <v>7</v>
      </c>
      <c r="AF114" s="51">
        <v>93600</v>
      </c>
      <c r="AG114" s="52">
        <v>2745386</v>
      </c>
      <c r="AH114" s="52">
        <v>5751</v>
      </c>
      <c r="AI114" s="32">
        <f t="shared" si="30"/>
        <v>15788714886</v>
      </c>
      <c r="AJ114" s="32">
        <f t="shared" si="31"/>
        <v>15788714.886</v>
      </c>
      <c r="AK114" s="47">
        <f t="shared" si="49"/>
        <v>34163</v>
      </c>
      <c r="AL114" s="32">
        <f t="shared" si="32"/>
        <v>7.5777777777777775</v>
      </c>
      <c r="AM114" s="55">
        <f t="shared" si="34"/>
        <v>0.26149741477026722</v>
      </c>
      <c r="AN114" s="56" t="s">
        <v>99</v>
      </c>
      <c r="AO114" s="56" t="s">
        <v>99</v>
      </c>
      <c r="AP114" s="56" t="s">
        <v>99</v>
      </c>
      <c r="AQ114" s="57" t="s">
        <v>99</v>
      </c>
      <c r="AR114" s="43">
        <f t="shared" si="35"/>
        <v>0.33479533269943595</v>
      </c>
      <c r="AS114" s="43">
        <f t="shared" si="36"/>
        <v>0.47124506688913742</v>
      </c>
      <c r="AT114" s="43">
        <f t="shared" si="37"/>
        <v>0.34947527745158991</v>
      </c>
      <c r="AU114" s="55">
        <f t="shared" si="38"/>
        <v>2.7356678478360749E-2</v>
      </c>
      <c r="AV114" s="58">
        <f t="shared" si="44"/>
        <v>0.26460071459049994</v>
      </c>
      <c r="AW114" s="58">
        <f t="shared" si="39"/>
        <v>1.5089570684380864</v>
      </c>
      <c r="AX114" s="58">
        <f t="shared" si="40"/>
        <v>1.6985139628889137</v>
      </c>
      <c r="AZ114" s="43">
        <f t="shared" si="41"/>
        <v>1.2067066315493333</v>
      </c>
      <c r="BA114" s="44">
        <f t="shared" si="42"/>
        <v>0.34947527745158991</v>
      </c>
    </row>
    <row r="115" spans="1:53" ht="15" thickBot="1" x14ac:dyDescent="0.35">
      <c r="A115" s="45">
        <v>111</v>
      </c>
      <c r="B115" s="46" t="str">
        <f t="shared" si="48"/>
        <v>Philip Morris ČR a.s.</v>
      </c>
      <c r="C115" s="47">
        <f t="shared" si="48"/>
        <v>33325</v>
      </c>
      <c r="D115" s="47">
        <v>37256</v>
      </c>
      <c r="E115" s="48">
        <f t="shared" si="33"/>
        <v>2001</v>
      </c>
      <c r="F115" s="32">
        <f t="shared" si="26"/>
        <v>10.919444444444444</v>
      </c>
      <c r="G115" s="49" t="s">
        <v>44</v>
      </c>
      <c r="H115" s="46" t="s">
        <v>126</v>
      </c>
      <c r="I115" s="50">
        <v>0</v>
      </c>
      <c r="J115" s="51">
        <v>15712676</v>
      </c>
      <c r="K115" s="52">
        <v>28077</v>
      </c>
      <c r="L115" s="52">
        <v>1155896</v>
      </c>
      <c r="M115" s="52">
        <v>2041717</v>
      </c>
      <c r="N115" s="52"/>
      <c r="O115" s="32">
        <f t="shared" si="27"/>
        <v>3225690</v>
      </c>
      <c r="P115" s="84">
        <v>398460</v>
      </c>
      <c r="Q115" s="85" t="s">
        <v>108</v>
      </c>
      <c r="R115" s="51">
        <v>0</v>
      </c>
      <c r="S115" s="51">
        <v>10621002</v>
      </c>
      <c r="T115" s="51">
        <v>5047940</v>
      </c>
      <c r="U115" s="51">
        <v>0</v>
      </c>
      <c r="V115" s="51">
        <v>0</v>
      </c>
      <c r="W115" s="52">
        <v>13942163</v>
      </c>
      <c r="X115" s="52">
        <v>1330059</v>
      </c>
      <c r="Y115" s="32">
        <f t="shared" si="28"/>
        <v>15272222</v>
      </c>
      <c r="Z115" s="51">
        <v>5369282</v>
      </c>
      <c r="AA115" s="51">
        <v>3691566</v>
      </c>
      <c r="AB115" s="51">
        <v>136818</v>
      </c>
      <c r="AC115" s="32">
        <f t="shared" si="29"/>
        <v>15409040</v>
      </c>
      <c r="AD115" s="51">
        <v>1772</v>
      </c>
      <c r="AE115" s="51">
        <v>7</v>
      </c>
      <c r="AF115" s="51">
        <v>398460</v>
      </c>
      <c r="AG115" s="52">
        <v>2745386</v>
      </c>
      <c r="AH115" s="52">
        <v>8282</v>
      </c>
      <c r="AI115" s="32">
        <f t="shared" si="30"/>
        <v>22737286852</v>
      </c>
      <c r="AJ115" s="32">
        <f t="shared" si="31"/>
        <v>22737286.852000002</v>
      </c>
      <c r="AK115" s="47">
        <f t="shared" si="49"/>
        <v>34163</v>
      </c>
      <c r="AL115" s="32">
        <f t="shared" si="32"/>
        <v>8.5916666666666668</v>
      </c>
      <c r="AM115" s="55">
        <f t="shared" si="34"/>
        <v>0.20529221120578062</v>
      </c>
      <c r="AN115" s="56" t="s">
        <v>99</v>
      </c>
      <c r="AO115" s="56" t="s">
        <v>99</v>
      </c>
      <c r="AP115" s="56" t="s">
        <v>99</v>
      </c>
      <c r="AQ115" s="57" t="s">
        <v>99</v>
      </c>
      <c r="AR115" s="43">
        <f t="shared" si="35"/>
        <v>0.34171658602264821</v>
      </c>
      <c r="AS115" s="43">
        <f t="shared" si="36"/>
        <v>0.50553441191330162</v>
      </c>
      <c r="AT115" s="43">
        <f t="shared" si="37"/>
        <v>0.3484501305727028</v>
      </c>
      <c r="AU115" s="55">
        <f t="shared" si="38"/>
        <v>0.1235270593268417</v>
      </c>
      <c r="AV115" s="58">
        <f t="shared" si="44"/>
        <v>0.32126545471948892</v>
      </c>
      <c r="AW115" s="58">
        <f t="shared" si="39"/>
        <v>1.7732675793936823</v>
      </c>
      <c r="AX115" s="58">
        <f t="shared" si="40"/>
        <v>2.1407854788088736</v>
      </c>
      <c r="AZ115" s="43">
        <f t="shared" si="41"/>
        <v>1.4470664864469935</v>
      </c>
      <c r="BA115" s="44">
        <f t="shared" si="42"/>
        <v>0.3484501305727028</v>
      </c>
    </row>
    <row r="116" spans="1:53" ht="15" thickBot="1" x14ac:dyDescent="0.35">
      <c r="A116" s="45">
        <v>112</v>
      </c>
      <c r="B116" s="46" t="str">
        <f t="shared" si="48"/>
        <v>Philip Morris ČR a.s.</v>
      </c>
      <c r="C116" s="47">
        <f t="shared" si="48"/>
        <v>33325</v>
      </c>
      <c r="D116" s="47">
        <v>37621</v>
      </c>
      <c r="E116" s="48">
        <f t="shared" si="33"/>
        <v>2002</v>
      </c>
      <c r="F116" s="32">
        <f t="shared" si="26"/>
        <v>11.933333333333334</v>
      </c>
      <c r="G116" s="49" t="s">
        <v>44</v>
      </c>
      <c r="H116" s="46" t="s">
        <v>126</v>
      </c>
      <c r="I116" s="50">
        <v>0</v>
      </c>
      <c r="J116" s="51">
        <v>16429234</v>
      </c>
      <c r="K116" s="52">
        <v>27763</v>
      </c>
      <c r="L116" s="52">
        <v>1073553</v>
      </c>
      <c r="M116" s="52">
        <v>1855802</v>
      </c>
      <c r="N116" s="52"/>
      <c r="O116" s="32">
        <f t="shared" si="27"/>
        <v>2957118</v>
      </c>
      <c r="P116" s="84">
        <v>381001</v>
      </c>
      <c r="Q116" s="85" t="s">
        <v>108</v>
      </c>
      <c r="R116" s="51">
        <v>0</v>
      </c>
      <c r="S116" s="51">
        <v>11338995</v>
      </c>
      <c r="T116" s="51">
        <v>5043471</v>
      </c>
      <c r="U116" s="51">
        <v>0</v>
      </c>
      <c r="V116" s="51">
        <v>0</v>
      </c>
      <c r="W116" s="52">
        <v>13696539</v>
      </c>
      <c r="X116" s="52">
        <v>1566965</v>
      </c>
      <c r="Y116" s="32">
        <f t="shared" si="28"/>
        <v>15263504</v>
      </c>
      <c r="Z116" s="51">
        <v>5710820</v>
      </c>
      <c r="AA116" s="51">
        <v>4093044</v>
      </c>
      <c r="AB116" s="51">
        <v>205254</v>
      </c>
      <c r="AC116" s="32">
        <f t="shared" si="29"/>
        <v>15468758</v>
      </c>
      <c r="AD116" s="51">
        <v>1689</v>
      </c>
      <c r="AE116" s="51">
        <v>7</v>
      </c>
      <c r="AF116" s="51">
        <v>381001</v>
      </c>
      <c r="AG116" s="52">
        <v>2745386</v>
      </c>
      <c r="AH116" s="52">
        <v>11151</v>
      </c>
      <c r="AI116" s="32">
        <f t="shared" si="30"/>
        <v>30613799286</v>
      </c>
      <c r="AJ116" s="32">
        <f t="shared" si="31"/>
        <v>30613799.285999998</v>
      </c>
      <c r="AK116" s="47">
        <f t="shared" si="49"/>
        <v>34163</v>
      </c>
      <c r="AL116" s="32">
        <f t="shared" si="32"/>
        <v>9.6055555555555561</v>
      </c>
      <c r="AM116" s="55">
        <f t="shared" si="34"/>
        <v>0.17999122783204621</v>
      </c>
      <c r="AN116" s="56" t="s">
        <v>99</v>
      </c>
      <c r="AO116" s="56" t="s">
        <v>99</v>
      </c>
      <c r="AP116" s="56" t="s">
        <v>99</v>
      </c>
      <c r="AQ116" s="57" t="s">
        <v>99</v>
      </c>
      <c r="AR116" s="43">
        <f t="shared" si="35"/>
        <v>0.34760111153082363</v>
      </c>
      <c r="AS116" s="43">
        <f t="shared" si="36"/>
        <v>0.50364428240774428</v>
      </c>
      <c r="AT116" s="43">
        <f t="shared" si="37"/>
        <v>0.3691841323007316</v>
      </c>
      <c r="AU116" s="55">
        <f t="shared" si="38"/>
        <v>0.1288420008941138</v>
      </c>
      <c r="AV116" s="58">
        <f t="shared" si="44"/>
        <v>0.30698150625890408</v>
      </c>
      <c r="AW116" s="58">
        <f t="shared" si="39"/>
        <v>2.1765508493043719</v>
      </c>
      <c r="AX116" s="58">
        <f t="shared" si="40"/>
        <v>2.699868840757051</v>
      </c>
      <c r="AZ116" s="43">
        <f t="shared" si="41"/>
        <v>1.8633735015278252</v>
      </c>
      <c r="BA116" s="44">
        <f t="shared" si="42"/>
        <v>0.3691841323007316</v>
      </c>
    </row>
    <row r="117" spans="1:53" ht="15" thickBot="1" x14ac:dyDescent="0.35">
      <c r="A117" s="45">
        <v>113</v>
      </c>
      <c r="B117" s="46" t="str">
        <f t="shared" si="48"/>
        <v>Philip Morris ČR a.s.</v>
      </c>
      <c r="C117" s="47">
        <f t="shared" si="48"/>
        <v>33325</v>
      </c>
      <c r="D117" s="47">
        <v>37986</v>
      </c>
      <c r="E117" s="48">
        <f t="shared" si="33"/>
        <v>2003</v>
      </c>
      <c r="F117" s="32">
        <f t="shared" si="26"/>
        <v>12.947222222222223</v>
      </c>
      <c r="G117" s="49" t="s">
        <v>44</v>
      </c>
      <c r="H117" s="46" t="s">
        <v>126</v>
      </c>
      <c r="I117" s="50">
        <v>0</v>
      </c>
      <c r="J117" s="51">
        <v>19573414</v>
      </c>
      <c r="K117" s="52">
        <v>28009</v>
      </c>
      <c r="L117" s="52">
        <v>999529</v>
      </c>
      <c r="M117" s="52">
        <v>1699978</v>
      </c>
      <c r="N117" s="52"/>
      <c r="O117" s="32">
        <f t="shared" si="27"/>
        <v>2727516</v>
      </c>
      <c r="P117" s="84">
        <v>299600</v>
      </c>
      <c r="Q117" s="85" t="s">
        <v>108</v>
      </c>
      <c r="R117" s="51">
        <v>0</v>
      </c>
      <c r="S117" s="51">
        <v>11761936</v>
      </c>
      <c r="T117" s="51">
        <v>7753176</v>
      </c>
      <c r="U117" s="51">
        <v>0</v>
      </c>
      <c r="V117" s="51">
        <v>0</v>
      </c>
      <c r="W117" s="52">
        <v>13702975</v>
      </c>
      <c r="X117" s="52">
        <v>1065447</v>
      </c>
      <c r="Y117" s="32">
        <f t="shared" si="28"/>
        <v>14768422</v>
      </c>
      <c r="Z117" s="51">
        <v>6078271</v>
      </c>
      <c r="AA117" s="51">
        <v>4375765</v>
      </c>
      <c r="AB117" s="51">
        <v>164060</v>
      </c>
      <c r="AC117" s="32">
        <f t="shared" si="29"/>
        <v>14932482</v>
      </c>
      <c r="AD117" s="51">
        <v>1645</v>
      </c>
      <c r="AE117" s="51">
        <v>7</v>
      </c>
      <c r="AF117" s="51">
        <v>299600</v>
      </c>
      <c r="AG117" s="52">
        <v>2745386</v>
      </c>
      <c r="AH117" s="52">
        <v>15728</v>
      </c>
      <c r="AI117" s="32">
        <f t="shared" si="30"/>
        <v>43179431008</v>
      </c>
      <c r="AJ117" s="32">
        <f t="shared" si="31"/>
        <v>43179431.008000001</v>
      </c>
      <c r="AK117" s="47">
        <f t="shared" si="49"/>
        <v>34163</v>
      </c>
      <c r="AL117" s="32">
        <f t="shared" si="32"/>
        <v>10.619444444444444</v>
      </c>
      <c r="AM117" s="55">
        <f t="shared" si="34"/>
        <v>0.13934799519388902</v>
      </c>
      <c r="AN117" s="56" t="s">
        <v>99</v>
      </c>
      <c r="AO117" s="56" t="s">
        <v>99</v>
      </c>
      <c r="AP117" s="56" t="s">
        <v>99</v>
      </c>
      <c r="AQ117" s="57" t="s">
        <v>99</v>
      </c>
      <c r="AR117" s="43">
        <f t="shared" si="35"/>
        <v>0.31053708872657576</v>
      </c>
      <c r="AS117" s="43">
        <f t="shared" si="36"/>
        <v>0.51677470443641249</v>
      </c>
      <c r="AT117" s="43">
        <f t="shared" si="37"/>
        <v>0.40705028139327409</v>
      </c>
      <c r="AU117" s="55">
        <f t="shared" si="38"/>
        <v>0.10984353528998547</v>
      </c>
      <c r="AV117" s="58">
        <f t="shared" si="44"/>
        <v>0.3961074956060297</v>
      </c>
      <c r="AW117" s="58">
        <f t="shared" si="39"/>
        <v>2.6099059543188887</v>
      </c>
      <c r="AX117" s="58">
        <f t="shared" si="40"/>
        <v>3.6711159632223813</v>
      </c>
      <c r="AZ117" s="43">
        <f t="shared" si="41"/>
        <v>2.2060245089589379</v>
      </c>
      <c r="BA117" s="44">
        <f t="shared" si="42"/>
        <v>0.40705028139327409</v>
      </c>
    </row>
    <row r="118" spans="1:53" ht="15" thickBot="1" x14ac:dyDescent="0.35">
      <c r="A118" s="45">
        <v>114</v>
      </c>
      <c r="B118" s="46" t="str">
        <f t="shared" si="48"/>
        <v>Philip Morris ČR a.s.</v>
      </c>
      <c r="C118" s="47">
        <f t="shared" si="48"/>
        <v>33325</v>
      </c>
      <c r="D118" s="47">
        <v>38352</v>
      </c>
      <c r="E118" s="48">
        <f t="shared" si="33"/>
        <v>2004</v>
      </c>
      <c r="F118" s="32">
        <f t="shared" si="26"/>
        <v>13.963888888888889</v>
      </c>
      <c r="G118" s="49" t="s">
        <v>44</v>
      </c>
      <c r="H118" s="46" t="s">
        <v>126</v>
      </c>
      <c r="I118" s="50">
        <v>0</v>
      </c>
      <c r="J118" s="51">
        <v>15903000</v>
      </c>
      <c r="K118" s="52">
        <v>2586000</v>
      </c>
      <c r="L118" s="52">
        <v>0</v>
      </c>
      <c r="M118" s="52">
        <v>0</v>
      </c>
      <c r="N118" s="52"/>
      <c r="O118" s="32">
        <f t="shared" si="27"/>
        <v>2586000</v>
      </c>
      <c r="P118" s="84">
        <v>290000</v>
      </c>
      <c r="Q118" s="85" t="s">
        <v>108</v>
      </c>
      <c r="R118" s="51">
        <v>0</v>
      </c>
      <c r="S118" s="51">
        <v>11136000</v>
      </c>
      <c r="T118" s="51">
        <v>4767000</v>
      </c>
      <c r="U118" s="51">
        <v>0</v>
      </c>
      <c r="V118" s="51">
        <v>0</v>
      </c>
      <c r="W118" s="52">
        <v>13197000</v>
      </c>
      <c r="X118" s="52">
        <v>0</v>
      </c>
      <c r="Y118" s="32">
        <f t="shared" si="28"/>
        <v>13197000</v>
      </c>
      <c r="Z118" s="51">
        <v>5232000</v>
      </c>
      <c r="AA118" s="51">
        <v>3716000</v>
      </c>
      <c r="AB118" s="51">
        <v>313000</v>
      </c>
      <c r="AC118" s="32">
        <f t="shared" si="29"/>
        <v>13510000</v>
      </c>
      <c r="AD118" s="51">
        <v>1581</v>
      </c>
      <c r="AE118" s="51">
        <v>8</v>
      </c>
      <c r="AF118" s="51">
        <v>290000</v>
      </c>
      <c r="AG118" s="52">
        <v>2745386</v>
      </c>
      <c r="AH118" s="52">
        <v>16776</v>
      </c>
      <c r="AI118" s="32">
        <f t="shared" si="30"/>
        <v>46056595536</v>
      </c>
      <c r="AJ118" s="32">
        <f t="shared" si="31"/>
        <v>46056595.535999998</v>
      </c>
      <c r="AK118" s="47">
        <f t="shared" si="49"/>
        <v>34163</v>
      </c>
      <c r="AL118" s="32">
        <f t="shared" si="32"/>
        <v>11.636111111111111</v>
      </c>
      <c r="AM118" s="55">
        <f t="shared" si="34"/>
        <v>0.16261082814563291</v>
      </c>
      <c r="AN118" s="56" t="s">
        <v>99</v>
      </c>
      <c r="AO118" s="56" t="s">
        <v>99</v>
      </c>
      <c r="AP118" s="56" t="s">
        <v>99</v>
      </c>
      <c r="AQ118" s="57" t="s">
        <v>99</v>
      </c>
      <c r="AR118" s="43">
        <f t="shared" si="35"/>
        <v>0.3289945293340879</v>
      </c>
      <c r="AS118" s="43">
        <f t="shared" si="36"/>
        <v>0.46982758620689657</v>
      </c>
      <c r="AT118" s="43">
        <f t="shared" si="37"/>
        <v>0.38726868985936341</v>
      </c>
      <c r="AU118" s="55">
        <f t="shared" si="38"/>
        <v>0.11214230471771075</v>
      </c>
      <c r="AV118" s="58">
        <f t="shared" si="44"/>
        <v>0.29975476325221656</v>
      </c>
      <c r="AW118" s="58">
        <f t="shared" si="39"/>
        <v>3.1958495589511413</v>
      </c>
      <c r="AX118" s="58">
        <f t="shared" si="40"/>
        <v>4.1358293405172413</v>
      </c>
      <c r="AZ118" s="43">
        <f t="shared" si="41"/>
        <v>2.8960947956989247</v>
      </c>
      <c r="BA118" s="44">
        <f t="shared" si="42"/>
        <v>0.38726868985936341</v>
      </c>
    </row>
    <row r="119" spans="1:53" ht="15" thickBot="1" x14ac:dyDescent="0.35">
      <c r="A119" s="45">
        <v>115</v>
      </c>
      <c r="B119" s="46" t="str">
        <f t="shared" si="48"/>
        <v>Philip Morris ČR a.s.</v>
      </c>
      <c r="C119" s="47">
        <f t="shared" si="48"/>
        <v>33325</v>
      </c>
      <c r="D119" s="47">
        <v>38717</v>
      </c>
      <c r="E119" s="48">
        <f t="shared" si="33"/>
        <v>2005</v>
      </c>
      <c r="F119" s="32">
        <f t="shared" si="26"/>
        <v>14.977777777777778</v>
      </c>
      <c r="G119" s="49" t="s">
        <v>44</v>
      </c>
      <c r="H119" s="46" t="s">
        <v>126</v>
      </c>
      <c r="I119" s="50">
        <v>0</v>
      </c>
      <c r="J119" s="51">
        <v>15881000</v>
      </c>
      <c r="K119" s="52">
        <v>2631000</v>
      </c>
      <c r="L119" s="52">
        <v>0</v>
      </c>
      <c r="M119" s="52">
        <v>0</v>
      </c>
      <c r="N119" s="52"/>
      <c r="O119" s="32">
        <f t="shared" si="27"/>
        <v>2631000</v>
      </c>
      <c r="P119" s="84">
        <v>232000</v>
      </c>
      <c r="Q119" s="85" t="s">
        <v>108</v>
      </c>
      <c r="R119" s="51">
        <v>0</v>
      </c>
      <c r="S119" s="51">
        <v>9463000</v>
      </c>
      <c r="T119" s="51">
        <v>6418000</v>
      </c>
      <c r="U119" s="51">
        <v>0</v>
      </c>
      <c r="V119" s="51">
        <v>0</v>
      </c>
      <c r="W119" s="52">
        <v>11790000</v>
      </c>
      <c r="X119" s="52">
        <v>0</v>
      </c>
      <c r="Y119" s="32">
        <f t="shared" si="28"/>
        <v>11790000</v>
      </c>
      <c r="Z119" s="51">
        <v>3780000</v>
      </c>
      <c r="AA119" s="51">
        <v>2736000</v>
      </c>
      <c r="AB119" s="51">
        <v>180000</v>
      </c>
      <c r="AC119" s="32">
        <f t="shared" si="29"/>
        <v>11970000</v>
      </c>
      <c r="AD119" s="51">
        <v>1124</v>
      </c>
      <c r="AE119" s="51">
        <v>8</v>
      </c>
      <c r="AF119" s="51">
        <v>232000</v>
      </c>
      <c r="AG119" s="52">
        <v>2745386</v>
      </c>
      <c r="AH119" s="52">
        <v>18251</v>
      </c>
      <c r="AI119" s="32">
        <f t="shared" si="30"/>
        <v>50106039886</v>
      </c>
      <c r="AJ119" s="32">
        <f t="shared" si="31"/>
        <v>50106039.886</v>
      </c>
      <c r="AK119" s="47">
        <f t="shared" si="49"/>
        <v>34163</v>
      </c>
      <c r="AL119" s="32">
        <f t="shared" si="32"/>
        <v>12.65</v>
      </c>
      <c r="AM119" s="55">
        <f t="shared" si="34"/>
        <v>0.16566966815691708</v>
      </c>
      <c r="AN119" s="56" t="s">
        <v>99</v>
      </c>
      <c r="AO119" s="56" t="s">
        <v>99</v>
      </c>
      <c r="AP119" s="56" t="s">
        <v>99</v>
      </c>
      <c r="AQ119" s="57" t="s">
        <v>99</v>
      </c>
      <c r="AR119" s="43">
        <f t="shared" si="35"/>
        <v>0.23802027580127197</v>
      </c>
      <c r="AS119" s="43">
        <f t="shared" si="36"/>
        <v>0.39945049138750927</v>
      </c>
      <c r="AT119" s="43">
        <f t="shared" si="37"/>
        <v>0.31578947368421051</v>
      </c>
      <c r="AU119" s="55">
        <f t="shared" si="38"/>
        <v>8.8179399467882932E-2</v>
      </c>
      <c r="AV119" s="58">
        <f t="shared" si="44"/>
        <v>0.40413072224670993</v>
      </c>
      <c r="AW119" s="58">
        <f t="shared" si="39"/>
        <v>3.559224223033814</v>
      </c>
      <c r="AX119" s="58">
        <f t="shared" si="40"/>
        <v>5.2949423952235017</v>
      </c>
      <c r="AZ119" s="43">
        <f t="shared" si="41"/>
        <v>3.1550935007871042</v>
      </c>
      <c r="BA119" s="44">
        <f t="shared" si="42"/>
        <v>0.31578947368421051</v>
      </c>
    </row>
    <row r="120" spans="1:53" ht="15" thickBot="1" x14ac:dyDescent="0.35">
      <c r="A120" s="45">
        <v>116</v>
      </c>
      <c r="B120" s="46" t="str">
        <f t="shared" si="48"/>
        <v>Philip Morris ČR a.s.</v>
      </c>
      <c r="C120" s="47">
        <f t="shared" si="48"/>
        <v>33325</v>
      </c>
      <c r="D120" s="47">
        <v>39082</v>
      </c>
      <c r="E120" s="48">
        <f t="shared" si="33"/>
        <v>2006</v>
      </c>
      <c r="F120" s="32">
        <f t="shared" si="26"/>
        <v>15.991666666666667</v>
      </c>
      <c r="G120" s="49" t="s">
        <v>44</v>
      </c>
      <c r="H120" s="46" t="s">
        <v>126</v>
      </c>
      <c r="I120" s="50">
        <v>0</v>
      </c>
      <c r="J120" s="51">
        <v>13625000</v>
      </c>
      <c r="K120" s="52">
        <v>2539000</v>
      </c>
      <c r="L120" s="52">
        <v>0</v>
      </c>
      <c r="M120" s="52">
        <v>0</v>
      </c>
      <c r="N120" s="52"/>
      <c r="O120" s="32">
        <f t="shared" si="27"/>
        <v>2539000</v>
      </c>
      <c r="P120" s="84">
        <v>174000</v>
      </c>
      <c r="Q120" s="85" t="s">
        <v>108</v>
      </c>
      <c r="R120" s="51">
        <v>0</v>
      </c>
      <c r="S120" s="51">
        <v>8341000</v>
      </c>
      <c r="T120" s="51">
        <v>5284000</v>
      </c>
      <c r="U120" s="51">
        <v>0</v>
      </c>
      <c r="V120" s="51">
        <v>0</v>
      </c>
      <c r="W120" s="52">
        <v>10031000</v>
      </c>
      <c r="X120" s="52">
        <v>0</v>
      </c>
      <c r="Y120" s="32">
        <f t="shared" si="28"/>
        <v>10031000</v>
      </c>
      <c r="Z120" s="51">
        <v>2572000</v>
      </c>
      <c r="AA120" s="51">
        <v>1906000</v>
      </c>
      <c r="AB120" s="51">
        <v>146000</v>
      </c>
      <c r="AC120" s="32">
        <f t="shared" si="29"/>
        <v>10177000</v>
      </c>
      <c r="AD120" s="51">
        <v>1068</v>
      </c>
      <c r="AE120" s="51">
        <v>6</v>
      </c>
      <c r="AF120" s="51">
        <v>174000</v>
      </c>
      <c r="AG120" s="52">
        <v>2745386</v>
      </c>
      <c r="AH120" s="52">
        <v>10840</v>
      </c>
      <c r="AI120" s="32">
        <f t="shared" si="30"/>
        <v>29759984240</v>
      </c>
      <c r="AJ120" s="32">
        <f t="shared" si="31"/>
        <v>29759984.239999998</v>
      </c>
      <c r="AK120" s="47">
        <f t="shared" si="49"/>
        <v>34163</v>
      </c>
      <c r="AL120" s="32">
        <f t="shared" si="32"/>
        <v>13.66388888888889</v>
      </c>
      <c r="AM120" s="55">
        <f t="shared" si="34"/>
        <v>0.18634862385321102</v>
      </c>
      <c r="AN120" s="56" t="s">
        <v>99</v>
      </c>
      <c r="AO120" s="56" t="s">
        <v>99</v>
      </c>
      <c r="AP120" s="56" t="s">
        <v>99</v>
      </c>
      <c r="AQ120" s="57" t="s">
        <v>99</v>
      </c>
      <c r="AR120" s="43">
        <f t="shared" si="35"/>
        <v>0.18877064220183487</v>
      </c>
      <c r="AS120" s="43">
        <f t="shared" si="36"/>
        <v>0.30835631219278264</v>
      </c>
      <c r="AT120" s="43">
        <f t="shared" si="37"/>
        <v>0.25272673675935936</v>
      </c>
      <c r="AU120" s="55">
        <f t="shared" si="38"/>
        <v>6.8530917684127612E-2</v>
      </c>
      <c r="AV120" s="58">
        <f t="shared" si="44"/>
        <v>0.38781651376146786</v>
      </c>
      <c r="AW120" s="58">
        <f t="shared" si="39"/>
        <v>2.5720355405504582</v>
      </c>
      <c r="AX120" s="58">
        <f t="shared" si="40"/>
        <v>3.56791562642369</v>
      </c>
      <c r="AZ120" s="43">
        <f t="shared" si="41"/>
        <v>2.1842190267889907</v>
      </c>
      <c r="BA120" s="44">
        <f t="shared" si="42"/>
        <v>0.25272673675935936</v>
      </c>
    </row>
    <row r="121" spans="1:53" ht="15" thickBot="1" x14ac:dyDescent="0.35">
      <c r="A121" s="45">
        <v>117</v>
      </c>
      <c r="B121" s="46" t="str">
        <f t="shared" si="48"/>
        <v>Philip Morris ČR a.s.</v>
      </c>
      <c r="C121" s="47">
        <f t="shared" si="48"/>
        <v>33325</v>
      </c>
      <c r="D121" s="47">
        <v>39447</v>
      </c>
      <c r="E121" s="48">
        <f t="shared" si="33"/>
        <v>2007</v>
      </c>
      <c r="F121" s="32">
        <f t="shared" si="26"/>
        <v>17.005555555555556</v>
      </c>
      <c r="G121" s="49" t="s">
        <v>44</v>
      </c>
      <c r="H121" s="46" t="s">
        <v>126</v>
      </c>
      <c r="I121" s="50">
        <v>0</v>
      </c>
      <c r="J121" s="51">
        <v>21043000</v>
      </c>
      <c r="K121" s="52">
        <v>2231000</v>
      </c>
      <c r="L121" s="52">
        <v>0</v>
      </c>
      <c r="M121" s="52">
        <v>0</v>
      </c>
      <c r="N121" s="52"/>
      <c r="O121" s="32">
        <f t="shared" si="27"/>
        <v>2231000</v>
      </c>
      <c r="P121" s="84">
        <v>285000</v>
      </c>
      <c r="Q121" s="85" t="s">
        <v>108</v>
      </c>
      <c r="R121" s="51">
        <v>0</v>
      </c>
      <c r="S121" s="51">
        <v>7952000</v>
      </c>
      <c r="T121" s="51">
        <v>12382000</v>
      </c>
      <c r="U121" s="51">
        <v>0</v>
      </c>
      <c r="V121" s="51">
        <v>0</v>
      </c>
      <c r="W121" s="52">
        <v>10369000</v>
      </c>
      <c r="X121" s="52">
        <v>0</v>
      </c>
      <c r="Y121" s="32">
        <f t="shared" si="28"/>
        <v>10369000</v>
      </c>
      <c r="Z121" s="51">
        <v>2613000</v>
      </c>
      <c r="AA121" s="51">
        <v>1968000</v>
      </c>
      <c r="AB121" s="51">
        <v>248000</v>
      </c>
      <c r="AC121" s="32">
        <f t="shared" si="29"/>
        <v>10617000</v>
      </c>
      <c r="AD121" s="51">
        <v>1109</v>
      </c>
      <c r="AE121" s="51">
        <v>6</v>
      </c>
      <c r="AF121" s="51">
        <v>285000</v>
      </c>
      <c r="AG121" s="52">
        <v>2745386</v>
      </c>
      <c r="AH121" s="52">
        <v>7933</v>
      </c>
      <c r="AI121" s="32">
        <f t="shared" si="30"/>
        <v>21779147138</v>
      </c>
      <c r="AJ121" s="32">
        <f t="shared" si="31"/>
        <v>21779147.138</v>
      </c>
      <c r="AK121" s="47">
        <f t="shared" si="49"/>
        <v>34163</v>
      </c>
      <c r="AL121" s="32">
        <f t="shared" si="32"/>
        <v>14.677777777777777</v>
      </c>
      <c r="AM121" s="55">
        <f t="shared" si="34"/>
        <v>0.10602100460960889</v>
      </c>
      <c r="AN121" s="56" t="s">
        <v>99</v>
      </c>
      <c r="AO121" s="56" t="s">
        <v>99</v>
      </c>
      <c r="AP121" s="56" t="s">
        <v>99</v>
      </c>
      <c r="AQ121" s="57" t="s">
        <v>99</v>
      </c>
      <c r="AR121" s="43">
        <f t="shared" si="35"/>
        <v>0.12417430974670912</v>
      </c>
      <c r="AS121" s="43">
        <f t="shared" si="36"/>
        <v>0.32859657947686116</v>
      </c>
      <c r="AT121" s="43">
        <f t="shared" si="37"/>
        <v>0.24611472167278892</v>
      </c>
      <c r="AU121" s="55">
        <f t="shared" si="38"/>
        <v>0.12774540564769163</v>
      </c>
      <c r="AV121" s="58">
        <f t="shared" si="44"/>
        <v>0.5884141994962695</v>
      </c>
      <c r="AW121" s="58">
        <f t="shared" si="39"/>
        <v>1.6800013346119798</v>
      </c>
      <c r="AX121" s="58">
        <f t="shared" si="40"/>
        <v>2.7388263503521126</v>
      </c>
      <c r="AZ121" s="43">
        <f t="shared" si="41"/>
        <v>1.034982993774652</v>
      </c>
      <c r="BA121" s="44">
        <f t="shared" si="42"/>
        <v>0.24611472167278892</v>
      </c>
    </row>
    <row r="122" spans="1:53" ht="15" thickBot="1" x14ac:dyDescent="0.35">
      <c r="A122" s="45">
        <v>118</v>
      </c>
      <c r="B122" s="46" t="str">
        <f t="shared" si="48"/>
        <v>Philip Morris ČR a.s.</v>
      </c>
      <c r="C122" s="47">
        <f t="shared" si="48"/>
        <v>33325</v>
      </c>
      <c r="D122" s="47">
        <v>39813</v>
      </c>
      <c r="E122" s="48">
        <f t="shared" si="33"/>
        <v>2008</v>
      </c>
      <c r="F122" s="32">
        <f t="shared" si="26"/>
        <v>18.022222222222222</v>
      </c>
      <c r="G122" s="49" t="s">
        <v>44</v>
      </c>
      <c r="H122" s="46" t="s">
        <v>126</v>
      </c>
      <c r="I122" s="50">
        <v>0</v>
      </c>
      <c r="J122" s="51">
        <v>12916000</v>
      </c>
      <c r="K122" s="52">
        <v>2269000</v>
      </c>
      <c r="L122" s="52">
        <v>0</v>
      </c>
      <c r="M122" s="52">
        <v>0</v>
      </c>
      <c r="N122" s="52"/>
      <c r="O122" s="32">
        <f t="shared" si="27"/>
        <v>2269000</v>
      </c>
      <c r="P122" s="84">
        <v>248000</v>
      </c>
      <c r="Q122" s="85" t="s">
        <v>108</v>
      </c>
      <c r="R122" s="51">
        <v>0</v>
      </c>
      <c r="S122" s="51">
        <v>8661000</v>
      </c>
      <c r="T122" s="51">
        <v>4964000</v>
      </c>
      <c r="U122" s="51">
        <v>0</v>
      </c>
      <c r="V122" s="51">
        <v>0</v>
      </c>
      <c r="W122" s="52">
        <v>9902000</v>
      </c>
      <c r="X122" s="52">
        <v>0</v>
      </c>
      <c r="Y122" s="32">
        <f t="shared" si="28"/>
        <v>9902000</v>
      </c>
      <c r="Z122" s="51">
        <v>2178000</v>
      </c>
      <c r="AA122" s="51">
        <v>1692000</v>
      </c>
      <c r="AB122" s="51">
        <v>410000</v>
      </c>
      <c r="AC122" s="32">
        <f t="shared" si="29"/>
        <v>10312000</v>
      </c>
      <c r="AD122" s="51">
        <v>1221</v>
      </c>
      <c r="AE122" s="51">
        <v>6</v>
      </c>
      <c r="AF122" s="51">
        <v>248000</v>
      </c>
      <c r="AG122" s="52">
        <v>2745386</v>
      </c>
      <c r="AH122" s="52">
        <v>6026</v>
      </c>
      <c r="AI122" s="32">
        <f t="shared" si="30"/>
        <v>16543696036</v>
      </c>
      <c r="AJ122" s="32">
        <f t="shared" si="31"/>
        <v>16543696.036</v>
      </c>
      <c r="AK122" s="47">
        <f t="shared" si="49"/>
        <v>34163</v>
      </c>
      <c r="AL122" s="32">
        <f t="shared" si="32"/>
        <v>15.694444444444445</v>
      </c>
      <c r="AM122" s="55">
        <f t="shared" si="34"/>
        <v>0.17567358315267884</v>
      </c>
      <c r="AN122" s="56" t="s">
        <v>99</v>
      </c>
      <c r="AO122" s="56" t="s">
        <v>99</v>
      </c>
      <c r="AP122" s="56" t="s">
        <v>99</v>
      </c>
      <c r="AQ122" s="57" t="s">
        <v>99</v>
      </c>
      <c r="AR122" s="43">
        <f t="shared" si="35"/>
        <v>0.16862805822235985</v>
      </c>
      <c r="AS122" s="43">
        <f t="shared" si="36"/>
        <v>0.25147211638378941</v>
      </c>
      <c r="AT122" s="43">
        <f t="shared" si="37"/>
        <v>0.21121024049650891</v>
      </c>
      <c r="AU122" s="55">
        <f t="shared" si="38"/>
        <v>0.10929925077126487</v>
      </c>
      <c r="AV122" s="58">
        <f t="shared" si="44"/>
        <v>0.38432951378135644</v>
      </c>
      <c r="AW122" s="58">
        <f t="shared" si="39"/>
        <v>1.5785464980550457</v>
      </c>
      <c r="AX122" s="58">
        <f t="shared" si="40"/>
        <v>1.9101369398452834</v>
      </c>
      <c r="AZ122" s="43">
        <f t="shared" si="41"/>
        <v>1.2808683830907401</v>
      </c>
      <c r="BA122" s="44">
        <f t="shared" si="42"/>
        <v>0.21121024049650891</v>
      </c>
    </row>
    <row r="123" spans="1:53" ht="15" thickBot="1" x14ac:dyDescent="0.35">
      <c r="A123" s="45">
        <v>119</v>
      </c>
      <c r="B123" s="46" t="str">
        <f t="shared" si="48"/>
        <v>Philip Morris ČR a.s.</v>
      </c>
      <c r="C123" s="47">
        <f t="shared" si="48"/>
        <v>33325</v>
      </c>
      <c r="D123" s="47">
        <v>40178</v>
      </c>
      <c r="E123" s="48">
        <f t="shared" si="33"/>
        <v>2009</v>
      </c>
      <c r="F123" s="32">
        <f t="shared" si="26"/>
        <v>19.036111111111111</v>
      </c>
      <c r="G123" s="49" t="s">
        <v>44</v>
      </c>
      <c r="H123" s="46" t="s">
        <v>126</v>
      </c>
      <c r="I123" s="50">
        <v>0</v>
      </c>
      <c r="J123" s="51">
        <v>13706000</v>
      </c>
      <c r="K123" s="52">
        <v>2561000</v>
      </c>
      <c r="L123" s="52">
        <v>0</v>
      </c>
      <c r="M123" s="52">
        <v>0</v>
      </c>
      <c r="N123" s="52"/>
      <c r="O123" s="32">
        <f t="shared" si="27"/>
        <v>2561000</v>
      </c>
      <c r="P123" s="84">
        <v>348000</v>
      </c>
      <c r="Q123" s="85" t="s">
        <v>108</v>
      </c>
      <c r="R123" s="51">
        <v>0</v>
      </c>
      <c r="S123" s="51">
        <v>8922000</v>
      </c>
      <c r="T123" s="51">
        <v>4784000</v>
      </c>
      <c r="U123" s="51">
        <v>0</v>
      </c>
      <c r="V123" s="51">
        <v>0</v>
      </c>
      <c r="W123" s="52">
        <v>11690000</v>
      </c>
      <c r="X123" s="52">
        <v>0</v>
      </c>
      <c r="Y123" s="32">
        <f t="shared" si="28"/>
        <v>11690000</v>
      </c>
      <c r="Z123" s="51">
        <v>3206000</v>
      </c>
      <c r="AA123" s="51">
        <v>2506000</v>
      </c>
      <c r="AB123" s="51">
        <v>234000</v>
      </c>
      <c r="AC123" s="32">
        <f t="shared" si="29"/>
        <v>11924000</v>
      </c>
      <c r="AD123" s="51">
        <v>1197</v>
      </c>
      <c r="AE123" s="51">
        <v>6</v>
      </c>
      <c r="AF123" s="51">
        <v>348000</v>
      </c>
      <c r="AG123" s="52">
        <v>2745386</v>
      </c>
      <c r="AH123" s="52">
        <v>8796</v>
      </c>
      <c r="AI123" s="32">
        <f t="shared" si="30"/>
        <v>24148415256</v>
      </c>
      <c r="AJ123" s="32">
        <f t="shared" si="31"/>
        <v>24148415.256000001</v>
      </c>
      <c r="AK123" s="47">
        <f t="shared" si="49"/>
        <v>34163</v>
      </c>
      <c r="AL123" s="32">
        <f t="shared" si="32"/>
        <v>16.708333333333332</v>
      </c>
      <c r="AM123" s="55">
        <f t="shared" si="34"/>
        <v>0.18685247336932731</v>
      </c>
      <c r="AN123" s="56" t="s">
        <v>99</v>
      </c>
      <c r="AO123" s="56" t="s">
        <v>99</v>
      </c>
      <c r="AP123" s="56" t="s">
        <v>99</v>
      </c>
      <c r="AQ123" s="57" t="s">
        <v>99</v>
      </c>
      <c r="AR123" s="43">
        <f t="shared" si="35"/>
        <v>0.23391215526046988</v>
      </c>
      <c r="AS123" s="43">
        <f t="shared" si="36"/>
        <v>0.35933647164312932</v>
      </c>
      <c r="AT123" s="43">
        <f t="shared" si="37"/>
        <v>0.26886950687688693</v>
      </c>
      <c r="AU123" s="55">
        <f t="shared" si="38"/>
        <v>0.13588442014837954</v>
      </c>
      <c r="AV123" s="58">
        <f t="shared" si="44"/>
        <v>0.34904421421275356</v>
      </c>
      <c r="AW123" s="58">
        <f t="shared" si="39"/>
        <v>2.1109306330074422</v>
      </c>
      <c r="AX123" s="58">
        <f t="shared" si="40"/>
        <v>2.7066145770006727</v>
      </c>
      <c r="AZ123" s="43">
        <f t="shared" si="41"/>
        <v>1.7618864187946885</v>
      </c>
      <c r="BA123" s="44">
        <f t="shared" si="42"/>
        <v>0.26886950687688693</v>
      </c>
    </row>
    <row r="124" spans="1:53" ht="15" thickBot="1" x14ac:dyDescent="0.35">
      <c r="A124" s="45">
        <v>120</v>
      </c>
      <c r="B124" s="46" t="str">
        <f t="shared" ref="B124:C133" si="50">+B123</f>
        <v>Philip Morris ČR a.s.</v>
      </c>
      <c r="C124" s="47">
        <f t="shared" si="50"/>
        <v>33325</v>
      </c>
      <c r="D124" s="47">
        <v>40543</v>
      </c>
      <c r="E124" s="48">
        <f t="shared" si="33"/>
        <v>2010</v>
      </c>
      <c r="F124" s="32">
        <f t="shared" si="26"/>
        <v>20.05</v>
      </c>
      <c r="G124" s="49" t="s">
        <v>44</v>
      </c>
      <c r="H124" s="46" t="s">
        <v>126</v>
      </c>
      <c r="I124" s="50">
        <v>0</v>
      </c>
      <c r="J124" s="51">
        <v>15741000</v>
      </c>
      <c r="K124" s="52">
        <v>2752000</v>
      </c>
      <c r="L124" s="52">
        <v>0</v>
      </c>
      <c r="M124" s="52">
        <v>0</v>
      </c>
      <c r="N124" s="52"/>
      <c r="O124" s="32">
        <f t="shared" si="27"/>
        <v>2752000</v>
      </c>
      <c r="P124" s="84">
        <v>374000</v>
      </c>
      <c r="Q124" s="85" t="s">
        <v>108</v>
      </c>
      <c r="R124" s="51">
        <v>0</v>
      </c>
      <c r="S124" s="51">
        <v>9177000</v>
      </c>
      <c r="T124" s="51">
        <v>6564000</v>
      </c>
      <c r="U124" s="51">
        <v>0</v>
      </c>
      <c r="V124" s="51">
        <v>0</v>
      </c>
      <c r="W124" s="52">
        <v>11402000</v>
      </c>
      <c r="X124" s="52">
        <v>0</v>
      </c>
      <c r="Y124" s="32">
        <f t="shared" si="28"/>
        <v>11402000</v>
      </c>
      <c r="Z124" s="51">
        <v>2975000</v>
      </c>
      <c r="AA124" s="51">
        <v>2390000</v>
      </c>
      <c r="AB124" s="51">
        <v>140000</v>
      </c>
      <c r="AC124" s="32">
        <f t="shared" si="29"/>
        <v>11542000</v>
      </c>
      <c r="AD124" s="51">
        <v>1231</v>
      </c>
      <c r="AE124" s="51">
        <v>6</v>
      </c>
      <c r="AF124" s="51">
        <v>374000</v>
      </c>
      <c r="AG124" s="52">
        <v>2745386</v>
      </c>
      <c r="AH124" s="52">
        <v>10240</v>
      </c>
      <c r="AI124" s="32">
        <f t="shared" si="30"/>
        <v>28112752640</v>
      </c>
      <c r="AJ124" s="32">
        <f t="shared" si="31"/>
        <v>28112752.640000001</v>
      </c>
      <c r="AK124" s="47">
        <f t="shared" si="49"/>
        <v>34163</v>
      </c>
      <c r="AL124" s="32">
        <f t="shared" si="32"/>
        <v>17.722222222222221</v>
      </c>
      <c r="AM124" s="55">
        <f t="shared" si="34"/>
        <v>0.17483006162251447</v>
      </c>
      <c r="AN124" s="56" t="s">
        <v>99</v>
      </c>
      <c r="AO124" s="56" t="s">
        <v>99</v>
      </c>
      <c r="AP124" s="56" t="s">
        <v>99</v>
      </c>
      <c r="AQ124" s="57" t="s">
        <v>99</v>
      </c>
      <c r="AR124" s="43">
        <f t="shared" si="35"/>
        <v>0.18899688711009466</v>
      </c>
      <c r="AS124" s="43">
        <f t="shared" si="36"/>
        <v>0.32418001525553014</v>
      </c>
      <c r="AT124" s="43">
        <f t="shared" si="37"/>
        <v>0.25775428868480332</v>
      </c>
      <c r="AU124" s="55">
        <f t="shared" si="38"/>
        <v>0.13590116279069767</v>
      </c>
      <c r="AV124" s="58">
        <f t="shared" si="44"/>
        <v>0.41700019058509624</v>
      </c>
      <c r="AW124" s="58">
        <f t="shared" si="39"/>
        <v>2.2029574131249605</v>
      </c>
      <c r="AX124" s="58">
        <f t="shared" si="40"/>
        <v>3.0633924637681158</v>
      </c>
      <c r="AZ124" s="43">
        <f t="shared" si="41"/>
        <v>1.7859572225398641</v>
      </c>
      <c r="BA124" s="44">
        <f t="shared" si="42"/>
        <v>0.25775428868480332</v>
      </c>
    </row>
    <row r="125" spans="1:53" ht="15" thickBot="1" x14ac:dyDescent="0.35">
      <c r="A125" s="45">
        <v>121</v>
      </c>
      <c r="B125" s="46" t="str">
        <f t="shared" si="50"/>
        <v>Philip Morris ČR a.s.</v>
      </c>
      <c r="C125" s="47">
        <f t="shared" si="50"/>
        <v>33325</v>
      </c>
      <c r="D125" s="47">
        <v>40908</v>
      </c>
      <c r="E125" s="48">
        <f t="shared" si="33"/>
        <v>2011</v>
      </c>
      <c r="F125" s="32">
        <f t="shared" si="26"/>
        <v>21.06388888888889</v>
      </c>
      <c r="G125" s="49" t="s">
        <v>44</v>
      </c>
      <c r="H125" s="46" t="s">
        <v>126</v>
      </c>
      <c r="I125" s="50">
        <v>0</v>
      </c>
      <c r="J125" s="51">
        <v>17433000</v>
      </c>
      <c r="K125" s="52">
        <v>2735000</v>
      </c>
      <c r="L125" s="52">
        <v>0</v>
      </c>
      <c r="M125" s="52">
        <v>0</v>
      </c>
      <c r="N125" s="52"/>
      <c r="O125" s="32">
        <f t="shared" si="27"/>
        <v>2735000</v>
      </c>
      <c r="P125" s="84">
        <v>308000</v>
      </c>
      <c r="Q125" s="85" t="s">
        <v>108</v>
      </c>
      <c r="R125" s="51">
        <v>0</v>
      </c>
      <c r="S125" s="51">
        <v>8271000</v>
      </c>
      <c r="T125" s="51">
        <v>9162000</v>
      </c>
      <c r="U125" s="51">
        <v>0</v>
      </c>
      <c r="V125" s="51">
        <v>0</v>
      </c>
      <c r="W125" s="52">
        <v>12155000</v>
      </c>
      <c r="X125" s="52">
        <v>0</v>
      </c>
      <c r="Y125" s="32">
        <f t="shared" si="28"/>
        <v>12155000</v>
      </c>
      <c r="Z125" s="51">
        <v>3166000</v>
      </c>
      <c r="AA125" s="51">
        <v>2541000</v>
      </c>
      <c r="AB125" s="51">
        <v>146000</v>
      </c>
      <c r="AC125" s="32">
        <f t="shared" si="29"/>
        <v>12301000</v>
      </c>
      <c r="AD125" s="51">
        <v>1172</v>
      </c>
      <c r="AE125" s="51">
        <v>6</v>
      </c>
      <c r="AF125" s="51">
        <v>308000</v>
      </c>
      <c r="AG125" s="52">
        <v>2745386</v>
      </c>
      <c r="AH125" s="52">
        <v>12580</v>
      </c>
      <c r="AI125" s="32">
        <f t="shared" si="30"/>
        <v>34536955880</v>
      </c>
      <c r="AJ125" s="32">
        <f t="shared" si="31"/>
        <v>34536955.880000003</v>
      </c>
      <c r="AK125" s="47">
        <f t="shared" si="49"/>
        <v>34163</v>
      </c>
      <c r="AL125" s="32">
        <f t="shared" si="32"/>
        <v>18.736111111111111</v>
      </c>
      <c r="AM125" s="55">
        <f t="shared" si="34"/>
        <v>0.15688636494005623</v>
      </c>
      <c r="AN125" s="56" t="s">
        <v>99</v>
      </c>
      <c r="AO125" s="56" t="s">
        <v>99</v>
      </c>
      <c r="AP125" s="56" t="s">
        <v>99</v>
      </c>
      <c r="AQ125" s="57" t="s">
        <v>99</v>
      </c>
      <c r="AR125" s="43">
        <f t="shared" si="35"/>
        <v>0.18160959100556415</v>
      </c>
      <c r="AS125" s="43">
        <f t="shared" si="36"/>
        <v>0.38278321847418689</v>
      </c>
      <c r="AT125" s="43">
        <f t="shared" si="37"/>
        <v>0.25737744898788717</v>
      </c>
      <c r="AU125" s="55">
        <f t="shared" si="38"/>
        <v>0.11261425959780622</v>
      </c>
      <c r="AV125" s="58">
        <f t="shared" si="44"/>
        <v>0.52555498193082084</v>
      </c>
      <c r="AW125" s="58">
        <f t="shared" si="39"/>
        <v>2.5066801973269088</v>
      </c>
      <c r="AX125" s="58">
        <f t="shared" si="40"/>
        <v>4.175668707532342</v>
      </c>
      <c r="AZ125" s="43">
        <f t="shared" si="41"/>
        <v>1.9811252153960881</v>
      </c>
      <c r="BA125" s="44">
        <f t="shared" si="42"/>
        <v>0.25737744898788717</v>
      </c>
    </row>
    <row r="126" spans="1:53" ht="15" thickBot="1" x14ac:dyDescent="0.35">
      <c r="A126" s="45">
        <v>122</v>
      </c>
      <c r="B126" s="46" t="str">
        <f t="shared" si="50"/>
        <v>Philip Morris ČR a.s.</v>
      </c>
      <c r="C126" s="47">
        <f t="shared" si="50"/>
        <v>33325</v>
      </c>
      <c r="D126" s="47">
        <v>41274</v>
      </c>
      <c r="E126" s="48">
        <f t="shared" si="33"/>
        <v>2012</v>
      </c>
      <c r="F126" s="32">
        <f t="shared" si="26"/>
        <v>22.080555555555556</v>
      </c>
      <c r="G126" s="49" t="s">
        <v>44</v>
      </c>
      <c r="H126" s="46" t="s">
        <v>126</v>
      </c>
      <c r="I126" s="50">
        <v>0</v>
      </c>
      <c r="J126" s="51">
        <v>17820000</v>
      </c>
      <c r="K126" s="52">
        <v>2897000</v>
      </c>
      <c r="L126" s="52">
        <v>0</v>
      </c>
      <c r="M126" s="52">
        <v>0</v>
      </c>
      <c r="N126" s="52"/>
      <c r="O126" s="32">
        <f t="shared" si="27"/>
        <v>2897000</v>
      </c>
      <c r="P126" s="84">
        <v>274000</v>
      </c>
      <c r="Q126" s="85" t="s">
        <v>108</v>
      </c>
      <c r="R126" s="51">
        <v>0</v>
      </c>
      <c r="S126" s="51">
        <v>8196000</v>
      </c>
      <c r="T126" s="51">
        <v>9624000</v>
      </c>
      <c r="U126" s="51">
        <v>0</v>
      </c>
      <c r="V126" s="51">
        <v>0</v>
      </c>
      <c r="W126" s="52">
        <v>12963000</v>
      </c>
      <c r="X126" s="52">
        <v>0</v>
      </c>
      <c r="Y126" s="32">
        <f t="shared" si="28"/>
        <v>12963000</v>
      </c>
      <c r="Z126" s="51">
        <v>3049000</v>
      </c>
      <c r="AA126" s="51">
        <v>2441000</v>
      </c>
      <c r="AB126" s="51">
        <v>187000</v>
      </c>
      <c r="AC126" s="32">
        <f t="shared" si="29"/>
        <v>13150000</v>
      </c>
      <c r="AD126" s="51">
        <v>1100</v>
      </c>
      <c r="AE126" s="51">
        <v>6</v>
      </c>
      <c r="AF126" s="51">
        <v>274000</v>
      </c>
      <c r="AG126" s="52">
        <v>2745386</v>
      </c>
      <c r="AH126" s="52">
        <v>10700</v>
      </c>
      <c r="AI126" s="32">
        <f t="shared" si="30"/>
        <v>29375630200</v>
      </c>
      <c r="AJ126" s="32">
        <f t="shared" si="31"/>
        <v>29375630.199999999</v>
      </c>
      <c r="AK126" s="47">
        <f t="shared" si="49"/>
        <v>34163</v>
      </c>
      <c r="AL126" s="32">
        <f t="shared" si="32"/>
        <v>19.752777777777776</v>
      </c>
      <c r="AM126" s="55">
        <f t="shared" si="34"/>
        <v>0.16257014590347924</v>
      </c>
      <c r="AN126" s="56" t="s">
        <v>99</v>
      </c>
      <c r="AO126" s="56" t="s">
        <v>99</v>
      </c>
      <c r="AP126" s="56" t="s">
        <v>99</v>
      </c>
      <c r="AQ126" s="57" t="s">
        <v>99</v>
      </c>
      <c r="AR126" s="43">
        <f t="shared" si="35"/>
        <v>0.17109988776655444</v>
      </c>
      <c r="AS126" s="43">
        <f t="shared" si="36"/>
        <v>0.37201073694485115</v>
      </c>
      <c r="AT126" s="43">
        <f t="shared" si="37"/>
        <v>0.23186311787072245</v>
      </c>
      <c r="AU126" s="55">
        <f t="shared" si="38"/>
        <v>9.4580600621332417E-2</v>
      </c>
      <c r="AV126" s="58">
        <f t="shared" si="44"/>
        <v>0.54006734006734003</v>
      </c>
      <c r="AW126" s="58">
        <f t="shared" si="39"/>
        <v>2.1885314365881032</v>
      </c>
      <c r="AX126" s="58">
        <f t="shared" si="40"/>
        <v>3.5841422889214249</v>
      </c>
      <c r="AZ126" s="43">
        <f t="shared" si="41"/>
        <v>1.6484640965207631</v>
      </c>
      <c r="BA126" s="44">
        <f t="shared" si="42"/>
        <v>0.23186311787072245</v>
      </c>
    </row>
    <row r="127" spans="1:53" ht="15" thickBot="1" x14ac:dyDescent="0.35">
      <c r="A127" s="45">
        <v>123</v>
      </c>
      <c r="B127" s="46" t="str">
        <f t="shared" si="50"/>
        <v>Philip Morris ČR a.s.</v>
      </c>
      <c r="C127" s="47">
        <f t="shared" si="50"/>
        <v>33325</v>
      </c>
      <c r="D127" s="47">
        <v>41639</v>
      </c>
      <c r="E127" s="48">
        <f t="shared" si="33"/>
        <v>2013</v>
      </c>
      <c r="F127" s="32">
        <f t="shared" si="26"/>
        <v>23.094444444444445</v>
      </c>
      <c r="G127" s="49" t="s">
        <v>44</v>
      </c>
      <c r="H127" s="46" t="s">
        <v>126</v>
      </c>
      <c r="I127" s="50">
        <v>0</v>
      </c>
      <c r="J127" s="51">
        <v>21968000</v>
      </c>
      <c r="K127" s="52">
        <v>3147000</v>
      </c>
      <c r="L127" s="52">
        <v>0</v>
      </c>
      <c r="M127" s="52">
        <v>0</v>
      </c>
      <c r="N127" s="52"/>
      <c r="O127" s="32">
        <f t="shared" si="27"/>
        <v>3147000</v>
      </c>
      <c r="P127" s="84">
        <v>301000</v>
      </c>
      <c r="Q127" s="85" t="s">
        <v>108</v>
      </c>
      <c r="R127" s="51">
        <v>0</v>
      </c>
      <c r="S127" s="51">
        <v>7910000</v>
      </c>
      <c r="T127" s="51">
        <v>13998000</v>
      </c>
      <c r="U127" s="51">
        <v>0</v>
      </c>
      <c r="V127" s="51">
        <v>0</v>
      </c>
      <c r="W127" s="52">
        <v>12770000</v>
      </c>
      <c r="X127" s="52">
        <v>0</v>
      </c>
      <c r="Y127" s="32">
        <f t="shared" si="28"/>
        <v>12770000</v>
      </c>
      <c r="Z127" s="51">
        <v>2783000</v>
      </c>
      <c r="AA127" s="51">
        <v>2227000</v>
      </c>
      <c r="AB127" s="51">
        <v>175000</v>
      </c>
      <c r="AC127" s="32">
        <f t="shared" si="29"/>
        <v>12945000</v>
      </c>
      <c r="AD127" s="51">
        <v>1108</v>
      </c>
      <c r="AE127" s="51">
        <v>6</v>
      </c>
      <c r="AF127" s="51">
        <v>301000</v>
      </c>
      <c r="AG127" s="52">
        <v>2745386</v>
      </c>
      <c r="AH127" s="52">
        <v>10579</v>
      </c>
      <c r="AI127" s="32">
        <f t="shared" si="30"/>
        <v>29043438494</v>
      </c>
      <c r="AJ127" s="32">
        <f t="shared" si="31"/>
        <v>29043438.493999999</v>
      </c>
      <c r="AK127" s="47">
        <f t="shared" si="49"/>
        <v>34163</v>
      </c>
      <c r="AL127" s="32">
        <f t="shared" si="32"/>
        <v>20.766666666666666</v>
      </c>
      <c r="AM127" s="55">
        <f t="shared" si="34"/>
        <v>0.14325382374362711</v>
      </c>
      <c r="AN127" s="56" t="s">
        <v>99</v>
      </c>
      <c r="AO127" s="56" t="s">
        <v>99</v>
      </c>
      <c r="AP127" s="56" t="s">
        <v>99</v>
      </c>
      <c r="AQ127" s="57" t="s">
        <v>99</v>
      </c>
      <c r="AR127" s="43">
        <f t="shared" si="35"/>
        <v>0.12668426802621996</v>
      </c>
      <c r="AS127" s="43">
        <f t="shared" si="36"/>
        <v>0.35183312262958283</v>
      </c>
      <c r="AT127" s="43">
        <f t="shared" si="37"/>
        <v>0.21498648126689843</v>
      </c>
      <c r="AU127" s="55">
        <f t="shared" si="38"/>
        <v>9.5646647600889742E-2</v>
      </c>
      <c r="AV127" s="58">
        <f t="shared" si="44"/>
        <v>0.63719956300072833</v>
      </c>
      <c r="AW127" s="58">
        <f t="shared" si="39"/>
        <v>1.964644809841154</v>
      </c>
      <c r="AX127" s="58">
        <f t="shared" si="40"/>
        <v>3.6717368513274335</v>
      </c>
      <c r="AZ127" s="43">
        <f t="shared" si="41"/>
        <v>1.3220793196467588</v>
      </c>
      <c r="BA127" s="44">
        <f t="shared" si="42"/>
        <v>0.21498648126689843</v>
      </c>
    </row>
    <row r="128" spans="1:53" ht="15" thickBot="1" x14ac:dyDescent="0.35">
      <c r="A128" s="45">
        <v>124</v>
      </c>
      <c r="B128" s="46" t="str">
        <f t="shared" si="50"/>
        <v>Philip Morris ČR a.s.</v>
      </c>
      <c r="C128" s="47">
        <f t="shared" si="50"/>
        <v>33325</v>
      </c>
      <c r="D128" s="47">
        <v>42004</v>
      </c>
      <c r="E128" s="48">
        <f t="shared" si="33"/>
        <v>2014</v>
      </c>
      <c r="F128" s="32">
        <f t="shared" si="26"/>
        <v>24.108333333333334</v>
      </c>
      <c r="G128" s="49" t="s">
        <v>44</v>
      </c>
      <c r="H128" s="46" t="s">
        <v>126</v>
      </c>
      <c r="I128" s="50">
        <v>0</v>
      </c>
      <c r="J128" s="51">
        <v>12450000</v>
      </c>
      <c r="K128" s="52">
        <v>3193000</v>
      </c>
      <c r="L128" s="52">
        <v>0</v>
      </c>
      <c r="M128" s="52">
        <v>0</v>
      </c>
      <c r="N128" s="52"/>
      <c r="O128" s="32">
        <f t="shared" si="27"/>
        <v>3193000</v>
      </c>
      <c r="P128" s="84">
        <v>293000</v>
      </c>
      <c r="Q128" s="85" t="s">
        <v>108</v>
      </c>
      <c r="R128" s="51">
        <v>0</v>
      </c>
      <c r="S128" s="51">
        <v>7811000</v>
      </c>
      <c r="T128" s="51">
        <v>4639000</v>
      </c>
      <c r="U128" s="51">
        <v>0</v>
      </c>
      <c r="V128" s="51">
        <v>0</v>
      </c>
      <c r="W128" s="52">
        <v>14049000</v>
      </c>
      <c r="X128" s="52">
        <v>0</v>
      </c>
      <c r="Y128" s="32">
        <f t="shared" si="28"/>
        <v>14049000</v>
      </c>
      <c r="Z128" s="51">
        <v>2821000</v>
      </c>
      <c r="AA128" s="51">
        <v>2255000</v>
      </c>
      <c r="AB128" s="51">
        <v>137000</v>
      </c>
      <c r="AC128" s="32">
        <f t="shared" si="29"/>
        <v>14186000</v>
      </c>
      <c r="AD128" s="51">
        <v>1053</v>
      </c>
      <c r="AE128" s="51">
        <v>5</v>
      </c>
      <c r="AF128" s="51">
        <v>293000</v>
      </c>
      <c r="AG128" s="52">
        <v>2745386</v>
      </c>
      <c r="AH128" s="52">
        <v>10820</v>
      </c>
      <c r="AI128" s="32">
        <f t="shared" si="30"/>
        <v>29705076520</v>
      </c>
      <c r="AJ128" s="32">
        <f t="shared" si="31"/>
        <v>29705076.52</v>
      </c>
      <c r="AK128" s="47">
        <f t="shared" si="49"/>
        <v>34163</v>
      </c>
      <c r="AL128" s="32">
        <f t="shared" si="32"/>
        <v>21.780555555555555</v>
      </c>
      <c r="AM128" s="55">
        <f t="shared" si="34"/>
        <v>0.25646586345381528</v>
      </c>
      <c r="AN128" s="56" t="s">
        <v>99</v>
      </c>
      <c r="AO128" s="56" t="s">
        <v>99</v>
      </c>
      <c r="AP128" s="56" t="s">
        <v>99</v>
      </c>
      <c r="AQ128" s="57" t="s">
        <v>99</v>
      </c>
      <c r="AR128" s="43">
        <f t="shared" si="35"/>
        <v>0.22658634538152611</v>
      </c>
      <c r="AS128" s="43">
        <f t="shared" si="36"/>
        <v>0.36115734220970425</v>
      </c>
      <c r="AT128" s="43">
        <f t="shared" si="37"/>
        <v>0.19885802904271818</v>
      </c>
      <c r="AU128" s="55">
        <f t="shared" si="38"/>
        <v>9.1763232070153467E-2</v>
      </c>
      <c r="AV128" s="58">
        <f t="shared" si="44"/>
        <v>0.37261044176706826</v>
      </c>
      <c r="AW128" s="58">
        <f t="shared" si="39"/>
        <v>2.7585603630522084</v>
      </c>
      <c r="AX128" s="58">
        <f t="shared" si="40"/>
        <v>3.8029799667136088</v>
      </c>
      <c r="AZ128" s="43">
        <f t="shared" si="41"/>
        <v>2.3859499212851407</v>
      </c>
      <c r="BA128" s="44">
        <f t="shared" si="42"/>
        <v>0.19885802904271818</v>
      </c>
    </row>
    <row r="129" spans="1:53" ht="15" thickBot="1" x14ac:dyDescent="0.35">
      <c r="A129" s="45">
        <v>125</v>
      </c>
      <c r="B129" s="46" t="str">
        <f t="shared" si="50"/>
        <v>Philip Morris ČR a.s.</v>
      </c>
      <c r="C129" s="47">
        <f t="shared" si="50"/>
        <v>33325</v>
      </c>
      <c r="D129" s="47">
        <v>42369</v>
      </c>
      <c r="E129" s="48">
        <f t="shared" si="33"/>
        <v>2015</v>
      </c>
      <c r="F129" s="32">
        <f t="shared" si="26"/>
        <v>25.122222222222224</v>
      </c>
      <c r="G129" s="49" t="s">
        <v>44</v>
      </c>
      <c r="H129" s="46" t="s">
        <v>126</v>
      </c>
      <c r="I129" s="50">
        <v>0</v>
      </c>
      <c r="J129" s="51">
        <v>15054000</v>
      </c>
      <c r="K129" s="52">
        <v>3915000</v>
      </c>
      <c r="L129" s="52">
        <v>0</v>
      </c>
      <c r="M129" s="52">
        <v>0</v>
      </c>
      <c r="N129" s="52"/>
      <c r="O129" s="32">
        <f t="shared" si="27"/>
        <v>3915000</v>
      </c>
      <c r="P129" s="84">
        <v>299000</v>
      </c>
      <c r="Q129" s="85" t="s">
        <v>108</v>
      </c>
      <c r="R129" s="51">
        <v>0</v>
      </c>
      <c r="S129" s="51">
        <v>7956000</v>
      </c>
      <c r="T129" s="51">
        <v>7098000</v>
      </c>
      <c r="U129" s="51">
        <v>0</v>
      </c>
      <c r="V129" s="51">
        <v>0</v>
      </c>
      <c r="W129" s="52">
        <v>10866000</v>
      </c>
      <c r="X129" s="52">
        <v>0</v>
      </c>
      <c r="Y129" s="32">
        <f t="shared" si="28"/>
        <v>10866000</v>
      </c>
      <c r="Z129" s="51">
        <v>3203000</v>
      </c>
      <c r="AA129" s="51">
        <v>2570000</v>
      </c>
      <c r="AB129" s="51">
        <v>131000</v>
      </c>
      <c r="AC129" s="32">
        <f t="shared" si="29"/>
        <v>10997000</v>
      </c>
      <c r="AD129" s="51">
        <v>1226</v>
      </c>
      <c r="AE129" s="51">
        <v>5</v>
      </c>
      <c r="AF129" s="51">
        <v>299000</v>
      </c>
      <c r="AG129" s="52">
        <v>2745386</v>
      </c>
      <c r="AH129" s="52">
        <v>11999</v>
      </c>
      <c r="AI129" s="32">
        <f t="shared" si="30"/>
        <v>32941886614</v>
      </c>
      <c r="AJ129" s="32">
        <f t="shared" si="31"/>
        <v>32941886.614</v>
      </c>
      <c r="AK129" s="47">
        <f t="shared" si="49"/>
        <v>34163</v>
      </c>
      <c r="AL129" s="32">
        <f t="shared" si="32"/>
        <v>22.794444444444444</v>
      </c>
      <c r="AM129" s="55">
        <f t="shared" si="34"/>
        <v>0.26006377042646472</v>
      </c>
      <c r="AN129" s="56" t="s">
        <v>99</v>
      </c>
      <c r="AO129" s="56" t="s">
        <v>99</v>
      </c>
      <c r="AP129" s="56" t="s">
        <v>99</v>
      </c>
      <c r="AQ129" s="57" t="s">
        <v>99</v>
      </c>
      <c r="AR129" s="43">
        <f t="shared" si="35"/>
        <v>0.21276737079845889</v>
      </c>
      <c r="AS129" s="43">
        <f t="shared" si="36"/>
        <v>0.40258924082453496</v>
      </c>
      <c r="AT129" s="43">
        <f t="shared" si="37"/>
        <v>0.29126125306901884</v>
      </c>
      <c r="AU129" s="55">
        <f t="shared" si="38"/>
        <v>7.6372924648786714E-2</v>
      </c>
      <c r="AV129" s="58">
        <f t="shared" si="44"/>
        <v>0.47150259067357514</v>
      </c>
      <c r="AW129" s="58">
        <f t="shared" si="39"/>
        <v>2.6597506718480139</v>
      </c>
      <c r="AX129" s="58">
        <f t="shared" si="40"/>
        <v>4.1405086241830062</v>
      </c>
      <c r="AZ129" s="43">
        <f t="shared" si="41"/>
        <v>2.1882480811744385</v>
      </c>
      <c r="BA129" s="44">
        <f t="shared" si="42"/>
        <v>0.29126125306901884</v>
      </c>
    </row>
    <row r="130" spans="1:53" ht="15" thickBot="1" x14ac:dyDescent="0.35">
      <c r="A130" s="45">
        <v>126</v>
      </c>
      <c r="B130" s="46" t="str">
        <f t="shared" si="50"/>
        <v>Philip Morris ČR a.s.</v>
      </c>
      <c r="C130" s="47">
        <f t="shared" si="50"/>
        <v>33325</v>
      </c>
      <c r="D130" s="47">
        <v>42735</v>
      </c>
      <c r="E130" s="48">
        <f t="shared" si="33"/>
        <v>2016</v>
      </c>
      <c r="F130" s="32">
        <f t="shared" si="26"/>
        <v>26.138888888888889</v>
      </c>
      <c r="G130" s="49" t="s">
        <v>44</v>
      </c>
      <c r="H130" s="46" t="s">
        <v>126</v>
      </c>
      <c r="I130" s="50">
        <v>0</v>
      </c>
      <c r="J130" s="51">
        <v>15570000</v>
      </c>
      <c r="K130" s="52">
        <v>4250000</v>
      </c>
      <c r="L130" s="52">
        <v>0</v>
      </c>
      <c r="M130" s="52">
        <v>0</v>
      </c>
      <c r="N130" s="52"/>
      <c r="O130" s="32">
        <f t="shared" si="27"/>
        <v>4250000</v>
      </c>
      <c r="P130" s="84">
        <v>250000</v>
      </c>
      <c r="Q130" s="85" t="s">
        <v>108</v>
      </c>
      <c r="R130" s="51">
        <v>0</v>
      </c>
      <c r="S130" s="51">
        <v>8194000</v>
      </c>
      <c r="T130" s="51">
        <v>7376000</v>
      </c>
      <c r="U130" s="51">
        <v>0</v>
      </c>
      <c r="V130" s="51">
        <v>0</v>
      </c>
      <c r="W130" s="52">
        <v>11453000</v>
      </c>
      <c r="X130" s="52">
        <v>0</v>
      </c>
      <c r="Y130" s="32">
        <f t="shared" si="28"/>
        <v>11453000</v>
      </c>
      <c r="Z130" s="51">
        <v>3464000</v>
      </c>
      <c r="AA130" s="51">
        <v>2767000</v>
      </c>
      <c r="AB130" s="51">
        <v>41000</v>
      </c>
      <c r="AC130" s="32">
        <f t="shared" si="29"/>
        <v>11494000</v>
      </c>
      <c r="AD130" s="51">
        <v>1148</v>
      </c>
      <c r="AE130" s="51">
        <v>5</v>
      </c>
      <c r="AF130" s="51">
        <v>250000</v>
      </c>
      <c r="AG130" s="52">
        <v>2745386</v>
      </c>
      <c r="AH130" s="52">
        <v>13096</v>
      </c>
      <c r="AI130" s="32">
        <f t="shared" si="30"/>
        <v>35953575056</v>
      </c>
      <c r="AJ130" s="32">
        <f t="shared" si="31"/>
        <v>35953575.056000002</v>
      </c>
      <c r="AK130" s="47">
        <f t="shared" si="49"/>
        <v>34163</v>
      </c>
      <c r="AL130" s="32">
        <f t="shared" si="32"/>
        <v>23.81111111111111</v>
      </c>
      <c r="AM130" s="55">
        <f t="shared" si="34"/>
        <v>0.27296082209377009</v>
      </c>
      <c r="AN130" s="56" t="s">
        <v>99</v>
      </c>
      <c r="AO130" s="56" t="s">
        <v>99</v>
      </c>
      <c r="AP130" s="56" t="s">
        <v>99</v>
      </c>
      <c r="AQ130" s="57" t="s">
        <v>99</v>
      </c>
      <c r="AR130" s="43">
        <f t="shared" si="35"/>
        <v>0.2224791265253693</v>
      </c>
      <c r="AS130" s="43">
        <f t="shared" si="36"/>
        <v>0.4227483524530144</v>
      </c>
      <c r="AT130" s="43">
        <f t="shared" si="37"/>
        <v>0.30137463024186534</v>
      </c>
      <c r="AU130" s="55">
        <f t="shared" si="38"/>
        <v>5.8823529411764705E-2</v>
      </c>
      <c r="AV130" s="58">
        <f t="shared" si="44"/>
        <v>0.4737315350032113</v>
      </c>
      <c r="AW130" s="58">
        <f t="shared" si="39"/>
        <v>2.7828885713551701</v>
      </c>
      <c r="AX130" s="58">
        <f t="shared" si="40"/>
        <v>4.3877929040761536</v>
      </c>
      <c r="AZ130" s="43">
        <f t="shared" si="41"/>
        <v>2.3091570363519591</v>
      </c>
      <c r="BA130" s="44">
        <f t="shared" si="42"/>
        <v>0.30137463024186534</v>
      </c>
    </row>
    <row r="131" spans="1:53" ht="15" thickBot="1" x14ac:dyDescent="0.35">
      <c r="A131" s="45">
        <v>127</v>
      </c>
      <c r="B131" s="46" t="str">
        <f t="shared" si="50"/>
        <v>Philip Morris ČR a.s.</v>
      </c>
      <c r="C131" s="47">
        <f t="shared" si="50"/>
        <v>33325</v>
      </c>
      <c r="D131" s="47">
        <v>43100</v>
      </c>
      <c r="E131" s="48">
        <f t="shared" si="33"/>
        <v>2017</v>
      </c>
      <c r="F131" s="32">
        <f t="shared" si="26"/>
        <v>27.152777777777779</v>
      </c>
      <c r="G131" s="49" t="s">
        <v>44</v>
      </c>
      <c r="H131" s="46" t="s">
        <v>126</v>
      </c>
      <c r="I131" s="50">
        <v>0</v>
      </c>
      <c r="J131" s="51">
        <v>15557000</v>
      </c>
      <c r="K131" s="52">
        <v>4256000</v>
      </c>
      <c r="L131" s="52">
        <v>0</v>
      </c>
      <c r="M131" s="52">
        <v>0</v>
      </c>
      <c r="N131" s="52"/>
      <c r="O131" s="32">
        <f t="shared" si="27"/>
        <v>4256000</v>
      </c>
      <c r="P131" s="84">
        <v>275000</v>
      </c>
      <c r="Q131" s="85" t="s">
        <v>108</v>
      </c>
      <c r="R131" s="51">
        <v>0</v>
      </c>
      <c r="S131" s="51">
        <v>8921000</v>
      </c>
      <c r="T131" s="51">
        <v>6636000</v>
      </c>
      <c r="U131" s="51">
        <v>0</v>
      </c>
      <c r="V131" s="51">
        <v>0</v>
      </c>
      <c r="W131" s="52">
        <v>12200000</v>
      </c>
      <c r="X131" s="52">
        <v>0</v>
      </c>
      <c r="Y131" s="32">
        <f t="shared" si="28"/>
        <v>12200000</v>
      </c>
      <c r="Z131" s="51">
        <v>4331000</v>
      </c>
      <c r="AA131" s="51">
        <v>3484000</v>
      </c>
      <c r="AB131" s="51">
        <v>180000</v>
      </c>
      <c r="AC131" s="32">
        <f t="shared" si="29"/>
        <v>12380000</v>
      </c>
      <c r="AD131" s="51">
        <v>1349</v>
      </c>
      <c r="AE131" s="51">
        <v>5</v>
      </c>
      <c r="AF131" s="51">
        <v>275000</v>
      </c>
      <c r="AG131" s="52">
        <v>2745386</v>
      </c>
      <c r="AH131" s="52">
        <v>16556</v>
      </c>
      <c r="AI131" s="32">
        <f t="shared" si="30"/>
        <v>45452610616</v>
      </c>
      <c r="AJ131" s="32">
        <f t="shared" si="31"/>
        <v>45452610.615999997</v>
      </c>
      <c r="AK131" s="47">
        <f t="shared" si="49"/>
        <v>34163</v>
      </c>
      <c r="AL131" s="32">
        <f t="shared" si="32"/>
        <v>24.824999999999999</v>
      </c>
      <c r="AM131" s="55">
        <f t="shared" si="34"/>
        <v>0.27357459664459727</v>
      </c>
      <c r="AN131" s="56" t="s">
        <v>99</v>
      </c>
      <c r="AO131" s="56" t="s">
        <v>99</v>
      </c>
      <c r="AP131" s="56" t="s">
        <v>99</v>
      </c>
      <c r="AQ131" s="57" t="s">
        <v>99</v>
      </c>
      <c r="AR131" s="43">
        <f t="shared" si="35"/>
        <v>0.27839557755351291</v>
      </c>
      <c r="AS131" s="43">
        <f t="shared" si="36"/>
        <v>0.48548369016926352</v>
      </c>
      <c r="AT131" s="43">
        <f t="shared" si="37"/>
        <v>0.34983844911147011</v>
      </c>
      <c r="AU131" s="55">
        <f t="shared" si="38"/>
        <v>6.4614661654135333E-2</v>
      </c>
      <c r="AV131" s="58">
        <f t="shared" si="44"/>
        <v>0.42656039082085234</v>
      </c>
      <c r="AW131" s="58">
        <f t="shared" si="39"/>
        <v>3.3482426313556597</v>
      </c>
      <c r="AX131" s="58">
        <f t="shared" si="40"/>
        <v>5.0950129599820642</v>
      </c>
      <c r="AZ131" s="43">
        <f t="shared" si="41"/>
        <v>2.9216822405348073</v>
      </c>
      <c r="BA131" s="44">
        <f t="shared" si="42"/>
        <v>0.34983844911147011</v>
      </c>
    </row>
    <row r="132" spans="1:53" ht="15" thickBot="1" x14ac:dyDescent="0.35">
      <c r="A132" s="45">
        <v>128</v>
      </c>
      <c r="B132" s="46" t="str">
        <f t="shared" si="50"/>
        <v>Philip Morris ČR a.s.</v>
      </c>
      <c r="C132" s="47">
        <f t="shared" si="50"/>
        <v>33325</v>
      </c>
      <c r="D132" s="47">
        <v>43465</v>
      </c>
      <c r="E132" s="48">
        <f t="shared" si="33"/>
        <v>2018</v>
      </c>
      <c r="F132" s="32">
        <f t="shared" si="26"/>
        <v>28.166666666666668</v>
      </c>
      <c r="G132" s="49" t="s">
        <v>44</v>
      </c>
      <c r="H132" s="46" t="s">
        <v>126</v>
      </c>
      <c r="I132" s="50">
        <v>0</v>
      </c>
      <c r="J132" s="51">
        <v>15956000</v>
      </c>
      <c r="K132" s="52">
        <v>4177000</v>
      </c>
      <c r="L132" s="52">
        <v>0</v>
      </c>
      <c r="M132" s="52">
        <v>0</v>
      </c>
      <c r="N132" s="52"/>
      <c r="O132" s="32">
        <f t="shared" si="27"/>
        <v>4177000</v>
      </c>
      <c r="P132" s="84">
        <v>381000</v>
      </c>
      <c r="Q132" s="85" t="s">
        <v>108</v>
      </c>
      <c r="R132" s="51">
        <v>0</v>
      </c>
      <c r="S132" s="51">
        <v>9797000</v>
      </c>
      <c r="T132" s="51">
        <v>6159000</v>
      </c>
      <c r="U132" s="51">
        <v>0</v>
      </c>
      <c r="V132" s="51">
        <v>0</v>
      </c>
      <c r="W132" s="52">
        <v>14082000</v>
      </c>
      <c r="X132" s="52">
        <v>0</v>
      </c>
      <c r="Y132" s="32">
        <f t="shared" si="28"/>
        <v>14082000</v>
      </c>
      <c r="Z132" s="51">
        <v>4800000</v>
      </c>
      <c r="AA132" s="51">
        <v>3836000</v>
      </c>
      <c r="AB132" s="51">
        <v>90000</v>
      </c>
      <c r="AC132" s="32">
        <f t="shared" si="29"/>
        <v>14172000</v>
      </c>
      <c r="AD132" s="51">
        <v>1353</v>
      </c>
      <c r="AE132" s="51">
        <v>5</v>
      </c>
      <c r="AF132" s="51">
        <v>381000</v>
      </c>
      <c r="AG132" s="52">
        <v>2745386</v>
      </c>
      <c r="AH132" s="52">
        <v>14080</v>
      </c>
      <c r="AI132" s="32">
        <f t="shared" si="30"/>
        <v>38655034880</v>
      </c>
      <c r="AJ132" s="32">
        <f t="shared" si="31"/>
        <v>38655034.880000003</v>
      </c>
      <c r="AK132" s="47">
        <f t="shared" si="49"/>
        <v>34163</v>
      </c>
      <c r="AL132" s="32">
        <f t="shared" si="32"/>
        <v>25.838888888888889</v>
      </c>
      <c r="AM132" s="55">
        <f t="shared" si="34"/>
        <v>0.26178240160441213</v>
      </c>
      <c r="AN132" s="56" t="s">
        <v>99</v>
      </c>
      <c r="AO132" s="56" t="s">
        <v>99</v>
      </c>
      <c r="AP132" s="56" t="s">
        <v>99</v>
      </c>
      <c r="AQ132" s="57" t="s">
        <v>99</v>
      </c>
      <c r="AR132" s="43">
        <f t="shared" si="35"/>
        <v>0.30082727500626721</v>
      </c>
      <c r="AS132" s="43">
        <f t="shared" si="36"/>
        <v>0.48994590180667552</v>
      </c>
      <c r="AT132" s="43">
        <f t="shared" si="37"/>
        <v>0.33869602032176122</v>
      </c>
      <c r="AU132" s="55">
        <f t="shared" si="38"/>
        <v>9.1213789801292799E-2</v>
      </c>
      <c r="AV132" s="58">
        <f t="shared" si="44"/>
        <v>0.38599899724241665</v>
      </c>
      <c r="AW132" s="58">
        <f t="shared" si="39"/>
        <v>2.8086008322887945</v>
      </c>
      <c r="AX132" s="58">
        <f t="shared" si="40"/>
        <v>3.9455991507604371</v>
      </c>
      <c r="AZ132" s="43">
        <f t="shared" si="41"/>
        <v>2.4226018350463776</v>
      </c>
      <c r="BA132" s="44">
        <f t="shared" si="42"/>
        <v>0.33869602032176122</v>
      </c>
    </row>
    <row r="133" spans="1:53" ht="15" thickBot="1" x14ac:dyDescent="0.35">
      <c r="A133" s="59">
        <v>129</v>
      </c>
      <c r="B133" s="60" t="str">
        <f t="shared" si="50"/>
        <v>Philip Morris ČR a.s.</v>
      </c>
      <c r="C133" s="62">
        <f t="shared" si="50"/>
        <v>33325</v>
      </c>
      <c r="D133" s="62">
        <v>43830</v>
      </c>
      <c r="E133" s="63">
        <f t="shared" si="33"/>
        <v>2019</v>
      </c>
      <c r="F133" s="140">
        <f t="shared" ref="F133:F142" si="51">(D133-C133)/360</f>
        <v>29.180555555555557</v>
      </c>
      <c r="G133" s="65" t="s">
        <v>44</v>
      </c>
      <c r="H133" s="46" t="s">
        <v>126</v>
      </c>
      <c r="I133" s="66">
        <v>0</v>
      </c>
      <c r="J133" s="67">
        <v>16394000</v>
      </c>
      <c r="K133" s="68">
        <v>3599000</v>
      </c>
      <c r="L133" s="68">
        <v>0</v>
      </c>
      <c r="M133" s="68">
        <v>0</v>
      </c>
      <c r="N133" s="68"/>
      <c r="O133" s="64">
        <f t="shared" ref="O133:O142" si="52">+IF(K133+M133+L133=0,"",K133+L133+M133)</f>
        <v>3599000</v>
      </c>
      <c r="P133" s="67">
        <v>368000</v>
      </c>
      <c r="Q133" s="85" t="s">
        <v>108</v>
      </c>
      <c r="R133" s="67">
        <v>0</v>
      </c>
      <c r="S133" s="67">
        <v>9435000</v>
      </c>
      <c r="T133" s="67">
        <v>6959000</v>
      </c>
      <c r="U133" s="67">
        <v>0</v>
      </c>
      <c r="V133" s="67">
        <v>0</v>
      </c>
      <c r="W133" s="68">
        <v>17092000</v>
      </c>
      <c r="X133" s="68">
        <v>0</v>
      </c>
      <c r="Y133" s="64">
        <f t="shared" ref="Y133:Y142" si="53">+IF(W133="","",W133+X133)</f>
        <v>17092000</v>
      </c>
      <c r="Z133" s="67">
        <v>5065000</v>
      </c>
      <c r="AA133" s="67">
        <v>4021000</v>
      </c>
      <c r="AB133" s="67">
        <v>113000</v>
      </c>
      <c r="AC133" s="64">
        <f t="shared" ref="AC133:AC142" si="54">+IF(Y133="","",Y133+AB133)</f>
        <v>17205000</v>
      </c>
      <c r="AD133" s="67">
        <v>1367</v>
      </c>
      <c r="AE133" s="67">
        <v>5</v>
      </c>
      <c r="AF133" s="67">
        <v>368000</v>
      </c>
      <c r="AG133" s="68">
        <v>2745386</v>
      </c>
      <c r="AH133" s="68">
        <v>15280</v>
      </c>
      <c r="AI133" s="64">
        <f t="shared" ref="AI133:AI142" si="55">+IF(AG133="","",AG133*AH133)</f>
        <v>41949498080</v>
      </c>
      <c r="AJ133" s="64">
        <f t="shared" ref="AJ133:AJ142" si="56">+IFERROR(AI133/1000,"")</f>
        <v>41949498.079999998</v>
      </c>
      <c r="AK133" s="62">
        <f t="shared" si="49"/>
        <v>34163</v>
      </c>
      <c r="AL133" s="64">
        <f t="shared" ref="AL133:AL142" si="57">+(D133-AK133)/360</f>
        <v>26.852777777777778</v>
      </c>
      <c r="AM133" s="71">
        <f t="shared" si="34"/>
        <v>0.21953153592777847</v>
      </c>
      <c r="AN133" s="56" t="s">
        <v>99</v>
      </c>
      <c r="AO133" s="56" t="s">
        <v>99</v>
      </c>
      <c r="AP133" s="56" t="s">
        <v>99</v>
      </c>
      <c r="AQ133" s="57" t="s">
        <v>99</v>
      </c>
      <c r="AR133" s="43">
        <f t="shared" si="35"/>
        <v>0.30895449554715138</v>
      </c>
      <c r="AS133" s="43">
        <f t="shared" si="36"/>
        <v>0.5368309485956545</v>
      </c>
      <c r="AT133" s="43">
        <f t="shared" si="37"/>
        <v>0.2943911653589073</v>
      </c>
      <c r="AU133" s="71">
        <f t="shared" si="38"/>
        <v>0.10225062517365935</v>
      </c>
      <c r="AV133" s="72">
        <f t="shared" si="44"/>
        <v>0.42448456752470415</v>
      </c>
      <c r="AW133" s="72">
        <f t="shared" si="39"/>
        <v>2.9833169501036965</v>
      </c>
      <c r="AX133" s="72">
        <f t="shared" si="40"/>
        <v>4.4461577191308956</v>
      </c>
      <c r="AZ133" s="43">
        <f t="shared" si="41"/>
        <v>2.5588323825789923</v>
      </c>
      <c r="BA133" s="44">
        <f t="shared" si="42"/>
        <v>0.2943911653589073</v>
      </c>
    </row>
    <row r="134" spans="1:53" ht="15" thickBot="1" x14ac:dyDescent="0.35">
      <c r="A134" s="45">
        <f t="shared" ref="A134:A142" si="58">+A133+1</f>
        <v>130</v>
      </c>
      <c r="B134" s="46" t="s">
        <v>45</v>
      </c>
      <c r="C134" s="47">
        <v>33354</v>
      </c>
      <c r="D134" s="141">
        <v>43465</v>
      </c>
      <c r="E134" s="142">
        <f t="shared" si="33"/>
        <v>2018</v>
      </c>
      <c r="F134" s="143">
        <f t="shared" si="51"/>
        <v>28.086111111111112</v>
      </c>
      <c r="G134" s="49" t="s">
        <v>46</v>
      </c>
      <c r="H134" s="46" t="s">
        <v>127</v>
      </c>
      <c r="I134" s="50">
        <v>0</v>
      </c>
      <c r="J134" s="51">
        <f>399194000*AY134</f>
        <v>8968292404</v>
      </c>
      <c r="K134" s="52">
        <f>223175000*AY134</f>
        <v>5013849550</v>
      </c>
      <c r="L134" s="52">
        <v>0</v>
      </c>
      <c r="M134" s="52">
        <v>0</v>
      </c>
      <c r="N134" s="52"/>
      <c r="O134" s="32">
        <f t="shared" si="52"/>
        <v>5013849550</v>
      </c>
      <c r="P134" s="80">
        <f>+U134+V134</f>
        <v>721473124</v>
      </c>
      <c r="Q134" s="85" t="s">
        <v>108</v>
      </c>
      <c r="R134" s="51">
        <v>0</v>
      </c>
      <c r="S134" s="80">
        <f>202534000*AY134</f>
        <v>4550128844</v>
      </c>
      <c r="T134" s="80">
        <f>196660000*AY134</f>
        <v>4418163560</v>
      </c>
      <c r="U134" s="80">
        <f>16556000*AY134</f>
        <v>371947096</v>
      </c>
      <c r="V134" s="80">
        <f>15558000*AY134</f>
        <v>349526028</v>
      </c>
      <c r="W134" s="52">
        <f>388379000*AY134</f>
        <v>8725322614</v>
      </c>
      <c r="X134" s="52">
        <v>0</v>
      </c>
      <c r="Y134" s="32">
        <f t="shared" si="53"/>
        <v>8725322614</v>
      </c>
      <c r="Z134" s="51">
        <f>35621000*AY134</f>
        <v>800261386</v>
      </c>
      <c r="AA134" s="51">
        <f>23906000*AY134</f>
        <v>537072196</v>
      </c>
      <c r="AB134" s="51">
        <f>4071000*AY134</f>
        <v>91459086</v>
      </c>
      <c r="AC134" s="32">
        <f t="shared" si="54"/>
        <v>8816781700</v>
      </c>
      <c r="AD134" s="51">
        <v>13386</v>
      </c>
      <c r="AE134" s="51">
        <f>7+5</f>
        <v>12</v>
      </c>
      <c r="AF134" s="144"/>
      <c r="AG134" s="52">
        <v>4471889296</v>
      </c>
      <c r="AH134" s="52">
        <v>774</v>
      </c>
      <c r="AI134" s="32">
        <f t="shared" si="55"/>
        <v>3461242315104</v>
      </c>
      <c r="AJ134" s="32">
        <f t="shared" si="56"/>
        <v>3461242315.1040001</v>
      </c>
      <c r="AK134" s="141">
        <v>43242</v>
      </c>
      <c r="AL134" s="32">
        <f t="shared" si="57"/>
        <v>0.61944444444444446</v>
      </c>
      <c r="AM134" s="55">
        <f t="shared" ref="AM134:AM141" si="59">+IFERROR((O134+N134)/J134,"")</f>
        <v>0.55906401398818617</v>
      </c>
      <c r="AN134" s="56" t="s">
        <v>99</v>
      </c>
      <c r="AO134" s="56" t="s">
        <v>99</v>
      </c>
      <c r="AP134" s="56" t="s">
        <v>99</v>
      </c>
      <c r="AQ134" s="57" t="s">
        <v>99</v>
      </c>
      <c r="AR134" s="43">
        <f t="shared" ref="AR134:AR142" si="60">+IFERROR(Z134/J134,"")</f>
        <v>8.9232303090727813E-2</v>
      </c>
      <c r="AS134" s="43">
        <f t="shared" ref="AS134:AS142" si="61">+IFERROR(Z134/S134,"")</f>
        <v>0.17587664293402588</v>
      </c>
      <c r="AT134" s="43">
        <f t="shared" ref="AT134:AT142" si="62">+IFERROR(Z134/AC134,"")</f>
        <v>9.0765702637278636E-2</v>
      </c>
      <c r="AU134" s="55">
        <f t="shared" ref="AU134:AU142" si="63">+IFERROR((P134)/(O134),"")</f>
        <v>0.14389604570404391</v>
      </c>
      <c r="AV134" s="58">
        <f t="shared" si="44"/>
        <v>0.49264267499010506</v>
      </c>
      <c r="AW134" s="58">
        <f t="shared" ref="AW134:AW142" si="64">+IFERROR((AJ134+T134)/(S134+T134),"")</f>
        <v>0.8785848543017688</v>
      </c>
      <c r="AX134" s="58">
        <f t="shared" ref="AX134:AX142" si="65">+IFERROR(AJ134/(S134),"")</f>
        <v>0.7606910559616672</v>
      </c>
      <c r="AY134">
        <v>22.466000000000001</v>
      </c>
      <c r="AZ134" s="43">
        <f t="shared" ref="AZ134:AZ144" si="66">+IFERROR((AJ134/J134),"")</f>
        <v>0.38594217931166375</v>
      </c>
      <c r="BA134" s="44">
        <f t="shared" ref="BA134:BA144" si="67">+Z134/AC134</f>
        <v>9.0765702637278636E-2</v>
      </c>
    </row>
    <row r="135" spans="1:53" ht="15" thickBot="1" x14ac:dyDescent="0.35">
      <c r="A135" s="59">
        <f t="shared" si="58"/>
        <v>131</v>
      </c>
      <c r="B135" s="60" t="s">
        <v>45</v>
      </c>
      <c r="C135" s="62">
        <f>+C134</f>
        <v>33354</v>
      </c>
      <c r="D135" s="62">
        <v>43830</v>
      </c>
      <c r="E135" s="63">
        <f t="shared" si="33"/>
        <v>2019</v>
      </c>
      <c r="F135" s="140">
        <f t="shared" si="51"/>
        <v>29.1</v>
      </c>
      <c r="G135" s="65" t="s">
        <v>46</v>
      </c>
      <c r="H135" s="46" t="s">
        <v>127</v>
      </c>
      <c r="I135" s="66">
        <v>0</v>
      </c>
      <c r="J135" s="67">
        <f>404336000*AY135</f>
        <v>9146484656</v>
      </c>
      <c r="K135" s="68">
        <f>238349000*AY135</f>
        <v>5391692729</v>
      </c>
      <c r="L135" s="68">
        <v>0</v>
      </c>
      <c r="M135" s="68">
        <v>0</v>
      </c>
      <c r="N135" s="68"/>
      <c r="O135" s="64">
        <f t="shared" si="52"/>
        <v>5391692729</v>
      </c>
      <c r="P135" s="67">
        <f>34551000*AY135</f>
        <v>781578171</v>
      </c>
      <c r="Q135" s="85" t="s">
        <v>108</v>
      </c>
      <c r="R135" s="67">
        <v>0</v>
      </c>
      <c r="S135" s="67">
        <f>190463000*AY135</f>
        <v>4308463523</v>
      </c>
      <c r="T135" s="67">
        <f>213873000*AY135</f>
        <v>4838021133</v>
      </c>
      <c r="U135" s="67">
        <v>0</v>
      </c>
      <c r="V135" s="67">
        <f>+P135-U135</f>
        <v>781578171</v>
      </c>
      <c r="W135" s="68">
        <f>344877000*AY135</f>
        <v>7801462617</v>
      </c>
      <c r="X135" s="68">
        <v>0</v>
      </c>
      <c r="Y135" s="64">
        <f t="shared" si="53"/>
        <v>7801462617</v>
      </c>
      <c r="Z135" s="67">
        <f>25485000*AY135</f>
        <v>576496185</v>
      </c>
      <c r="AA135" s="67">
        <f>16432000*AY135</f>
        <v>371708272</v>
      </c>
      <c r="AB135" s="67">
        <f>3625000*AY135</f>
        <v>82001125</v>
      </c>
      <c r="AC135" s="64">
        <f t="shared" si="54"/>
        <v>7883463742</v>
      </c>
      <c r="AD135" s="67">
        <v>13209</v>
      </c>
      <c r="AE135" s="67">
        <f>7+5</f>
        <v>12</v>
      </c>
      <c r="AF135" s="144"/>
      <c r="AG135" s="68">
        <v>4151787517</v>
      </c>
      <c r="AH135" s="68">
        <v>665.6</v>
      </c>
      <c r="AI135" s="64">
        <f t="shared" si="55"/>
        <v>2763429771315.2002</v>
      </c>
      <c r="AJ135" s="64">
        <f t="shared" si="56"/>
        <v>2763429771.3152003</v>
      </c>
      <c r="AK135" s="62">
        <v>43242</v>
      </c>
      <c r="AL135" s="64">
        <f t="shared" si="57"/>
        <v>1.6333333333333333</v>
      </c>
      <c r="AM135" s="71">
        <f t="shared" si="59"/>
        <v>0.58948250959597959</v>
      </c>
      <c r="AN135" s="56" t="s">
        <v>99</v>
      </c>
      <c r="AO135" s="56" t="s">
        <v>99</v>
      </c>
      <c r="AP135" s="56" t="s">
        <v>99</v>
      </c>
      <c r="AQ135" s="57" t="s">
        <v>99</v>
      </c>
      <c r="AR135" s="43">
        <f t="shared" si="60"/>
        <v>6.3029262791341856E-2</v>
      </c>
      <c r="AS135" s="43">
        <f t="shared" si="61"/>
        <v>0.13380551603198521</v>
      </c>
      <c r="AT135" s="43">
        <f t="shared" si="62"/>
        <v>7.3127270431733532E-2</v>
      </c>
      <c r="AU135" s="71">
        <f t="shared" si="63"/>
        <v>0.14495970194966204</v>
      </c>
      <c r="AV135" s="72">
        <f t="shared" ref="AV135:AV142" si="68">+IFERROR(T135/J135,"")</f>
        <v>0.52894869613390838</v>
      </c>
      <c r="AW135" s="72">
        <f t="shared" si="64"/>
        <v>0.83107895439683777</v>
      </c>
      <c r="AX135" s="72">
        <f t="shared" si="65"/>
        <v>0.64139565220016381</v>
      </c>
      <c r="AY135">
        <v>22.620999999999999</v>
      </c>
      <c r="AZ135" s="43">
        <f t="shared" si="66"/>
        <v>0.30213025826292933</v>
      </c>
      <c r="BA135" s="44">
        <f t="shared" si="67"/>
        <v>7.3127270431733532E-2</v>
      </c>
    </row>
    <row r="136" spans="1:53" ht="15" thickBot="1" x14ac:dyDescent="0.35">
      <c r="A136" s="45">
        <f t="shared" si="58"/>
        <v>132</v>
      </c>
      <c r="B136" s="46" t="s">
        <v>47</v>
      </c>
      <c r="C136" s="47">
        <v>33941</v>
      </c>
      <c r="D136" s="141">
        <v>43465</v>
      </c>
      <c r="E136" s="142">
        <f t="shared" si="33"/>
        <v>2018</v>
      </c>
      <c r="F136" s="143">
        <f t="shared" si="51"/>
        <v>26.455555555555556</v>
      </c>
      <c r="G136" s="49" t="s">
        <v>46</v>
      </c>
      <c r="H136" s="46" t="s">
        <v>127</v>
      </c>
      <c r="I136" s="50">
        <v>0</v>
      </c>
      <c r="J136" s="51">
        <f>36961000*AY136</f>
        <v>950821725</v>
      </c>
      <c r="K136" s="52">
        <f>15115000*AY136</f>
        <v>388833375</v>
      </c>
      <c r="L136" s="52">
        <v>0</v>
      </c>
      <c r="M136" s="52">
        <v>0</v>
      </c>
      <c r="N136" s="52"/>
      <c r="O136" s="32">
        <f t="shared" si="52"/>
        <v>388833375</v>
      </c>
      <c r="P136" s="80">
        <f>+U136+V136</f>
        <v>19782525</v>
      </c>
      <c r="Q136" s="85" t="s">
        <v>108</v>
      </c>
      <c r="R136" s="51">
        <v>0</v>
      </c>
      <c r="S136" s="80">
        <f>15342000*AY136</f>
        <v>394672950</v>
      </c>
      <c r="T136" s="80">
        <f>9680000*AY136</f>
        <v>249018000</v>
      </c>
      <c r="U136" s="80">
        <f>81000*AY136</f>
        <v>2083725</v>
      </c>
      <c r="V136" s="80">
        <f>688000*AY136</f>
        <v>17698800</v>
      </c>
      <c r="W136" s="52">
        <f>22930000*AY136</f>
        <v>589874250</v>
      </c>
      <c r="X136" s="52">
        <v>0</v>
      </c>
      <c r="Y136" s="32">
        <f t="shared" si="53"/>
        <v>589874250</v>
      </c>
      <c r="Z136" s="51">
        <f>3298000*AY136</f>
        <v>84841050</v>
      </c>
      <c r="AA136" s="51">
        <f>1993000*AY136</f>
        <v>51269925</v>
      </c>
      <c r="AB136" s="51">
        <f>517000*AY136</f>
        <v>13299825</v>
      </c>
      <c r="AC136" s="32">
        <f t="shared" si="54"/>
        <v>603174075</v>
      </c>
      <c r="AD136" s="51">
        <v>20231</v>
      </c>
      <c r="AE136" s="51">
        <v>4</v>
      </c>
      <c r="AF136" s="144"/>
      <c r="AG136" s="52">
        <v>326651395</v>
      </c>
      <c r="AH136" s="52">
        <v>1271</v>
      </c>
      <c r="AI136" s="32">
        <f t="shared" si="55"/>
        <v>415173923045</v>
      </c>
      <c r="AJ136" s="32">
        <f t="shared" si="56"/>
        <v>415173923.04500002</v>
      </c>
      <c r="AK136" s="141">
        <v>43242</v>
      </c>
      <c r="AL136" s="32">
        <f t="shared" si="57"/>
        <v>0.61944444444444446</v>
      </c>
      <c r="AM136" s="55">
        <f t="shared" si="59"/>
        <v>0.40894456318822542</v>
      </c>
      <c r="AN136" s="56" t="s">
        <v>99</v>
      </c>
      <c r="AO136" s="56" t="s">
        <v>99</v>
      </c>
      <c r="AP136" s="56" t="s">
        <v>99</v>
      </c>
      <c r="AQ136" s="57" t="s">
        <v>99</v>
      </c>
      <c r="AR136" s="43">
        <f t="shared" si="60"/>
        <v>8.9229187521982625E-2</v>
      </c>
      <c r="AS136" s="43">
        <f t="shared" si="61"/>
        <v>0.21496545430843436</v>
      </c>
      <c r="AT136" s="43">
        <f t="shared" si="62"/>
        <v>0.14065765343114259</v>
      </c>
      <c r="AU136" s="55">
        <f t="shared" si="63"/>
        <v>5.0876612636453857E-2</v>
      </c>
      <c r="AV136" s="58">
        <f t="shared" si="68"/>
        <v>0.26189767592868157</v>
      </c>
      <c r="AW136" s="58">
        <f t="shared" si="64"/>
        <v>1.031849093178955</v>
      </c>
      <c r="AX136" s="58">
        <f t="shared" si="65"/>
        <v>1.0519442060698612</v>
      </c>
      <c r="AY136" s="116">
        <v>25.725000000000001</v>
      </c>
      <c r="AZ136" s="43">
        <f t="shared" si="66"/>
        <v>0.43664749356142446</v>
      </c>
      <c r="BA136" s="44">
        <f t="shared" si="67"/>
        <v>0.14065765343114259</v>
      </c>
    </row>
    <row r="137" spans="1:53" ht="15" thickBot="1" x14ac:dyDescent="0.35">
      <c r="A137" s="59">
        <f t="shared" si="58"/>
        <v>133</v>
      </c>
      <c r="B137" s="60" t="str">
        <f>+B136</f>
        <v>OMV AG</v>
      </c>
      <c r="C137" s="62">
        <f>+C136</f>
        <v>33941</v>
      </c>
      <c r="D137" s="62">
        <v>43830</v>
      </c>
      <c r="E137" s="63">
        <f t="shared" si="33"/>
        <v>2019</v>
      </c>
      <c r="F137" s="140">
        <f t="shared" si="51"/>
        <v>27.469444444444445</v>
      </c>
      <c r="G137" s="65" t="s">
        <v>46</v>
      </c>
      <c r="H137" s="46" t="s">
        <v>127</v>
      </c>
      <c r="I137" s="66">
        <v>0</v>
      </c>
      <c r="J137" s="67">
        <f>40375000*AY137</f>
        <v>1025928750</v>
      </c>
      <c r="K137" s="68">
        <f>16479000*AY137</f>
        <v>418731390</v>
      </c>
      <c r="L137" s="68">
        <v>0</v>
      </c>
      <c r="M137" s="68">
        <v>0</v>
      </c>
      <c r="N137" s="68"/>
      <c r="O137" s="64">
        <f t="shared" si="52"/>
        <v>418731390</v>
      </c>
      <c r="P137" s="67">
        <f>+V137</f>
        <v>20709150</v>
      </c>
      <c r="Q137" s="85" t="s">
        <v>108</v>
      </c>
      <c r="R137" s="67">
        <v>0</v>
      </c>
      <c r="S137" s="67">
        <f>16863000*AY137</f>
        <v>428488830</v>
      </c>
      <c r="T137" s="67">
        <f>9395000*AY137</f>
        <v>238726950</v>
      </c>
      <c r="U137" s="67">
        <v>0</v>
      </c>
      <c r="V137" s="67">
        <f>815000*AY137</f>
        <v>20709150</v>
      </c>
      <c r="W137" s="68">
        <f>23461000*AY137</f>
        <v>596144010</v>
      </c>
      <c r="X137" s="68">
        <v>0</v>
      </c>
      <c r="Y137" s="64">
        <f t="shared" si="53"/>
        <v>596144010</v>
      </c>
      <c r="Z137" s="67">
        <f>3453000*AY137</f>
        <v>87740730</v>
      </c>
      <c r="AA137" s="67">
        <f>2147000*AY137</f>
        <v>54555270</v>
      </c>
      <c r="AB137" s="67">
        <f>315000*AY137</f>
        <v>8004150</v>
      </c>
      <c r="AC137" s="64">
        <f t="shared" si="54"/>
        <v>604148160</v>
      </c>
      <c r="AD137" s="67">
        <v>19845</v>
      </c>
      <c r="AE137" s="67">
        <v>4</v>
      </c>
      <c r="AF137" s="144"/>
      <c r="AG137" s="68">
        <v>326610239</v>
      </c>
      <c r="AH137" s="68">
        <v>1346</v>
      </c>
      <c r="AI137" s="64">
        <f t="shared" si="55"/>
        <v>439617381694</v>
      </c>
      <c r="AJ137" s="64">
        <f t="shared" si="56"/>
        <v>439617381.69400001</v>
      </c>
      <c r="AK137" s="62">
        <v>43242</v>
      </c>
      <c r="AL137" s="64">
        <f t="shared" si="57"/>
        <v>1.6333333333333333</v>
      </c>
      <c r="AM137" s="71">
        <f t="shared" si="59"/>
        <v>0.40814860681114551</v>
      </c>
      <c r="AN137" s="56" t="s">
        <v>99</v>
      </c>
      <c r="AO137" s="56" t="s">
        <v>99</v>
      </c>
      <c r="AP137" s="56" t="s">
        <v>99</v>
      </c>
      <c r="AQ137" s="57" t="s">
        <v>99</v>
      </c>
      <c r="AR137" s="43">
        <f t="shared" si="60"/>
        <v>8.5523219814241491E-2</v>
      </c>
      <c r="AS137" s="43">
        <f t="shared" si="61"/>
        <v>0.2047678349048212</v>
      </c>
      <c r="AT137" s="43">
        <f t="shared" si="62"/>
        <v>0.14523048452220727</v>
      </c>
      <c r="AU137" s="71">
        <f t="shared" si="63"/>
        <v>4.9456884519691727E-2</v>
      </c>
      <c r="AV137" s="72">
        <f t="shared" si="68"/>
        <v>0.23269349845201237</v>
      </c>
      <c r="AW137" s="72">
        <f t="shared" si="64"/>
        <v>1.0166790894753719</v>
      </c>
      <c r="AX137" s="72">
        <f t="shared" si="65"/>
        <v>1.0259716261308376</v>
      </c>
      <c r="AY137" s="116">
        <v>25.41</v>
      </c>
      <c r="AZ137" s="43">
        <f t="shared" si="66"/>
        <v>0.42850673762091179</v>
      </c>
      <c r="BA137" s="44">
        <f t="shared" si="67"/>
        <v>0.14523048452220727</v>
      </c>
    </row>
    <row r="138" spans="1:53" ht="16.2" thickBot="1" x14ac:dyDescent="0.35">
      <c r="A138" s="45">
        <f t="shared" si="58"/>
        <v>134</v>
      </c>
      <c r="B138" s="46" t="s">
        <v>48</v>
      </c>
      <c r="C138" s="47">
        <v>34274</v>
      </c>
      <c r="D138" s="141">
        <v>43465</v>
      </c>
      <c r="E138" s="142">
        <f t="shared" si="33"/>
        <v>2018</v>
      </c>
      <c r="F138" s="143">
        <f t="shared" si="51"/>
        <v>25.530555555555555</v>
      </c>
      <c r="G138" s="49" t="s">
        <v>46</v>
      </c>
      <c r="H138" s="46" t="s">
        <v>127</v>
      </c>
      <c r="I138" s="50">
        <v>0</v>
      </c>
      <c r="J138" s="51">
        <f>4611581000*AY138</f>
        <v>369618217.14999998</v>
      </c>
      <c r="K138" s="52">
        <f>2274271000*AY138</f>
        <v>182282820.65000001</v>
      </c>
      <c r="L138" s="52">
        <v>0</v>
      </c>
      <c r="M138" s="52">
        <v>0</v>
      </c>
      <c r="N138" s="52"/>
      <c r="O138" s="32">
        <f t="shared" si="52"/>
        <v>182282820.65000001</v>
      </c>
      <c r="P138" s="80">
        <f>70458000*AY138</f>
        <v>5647208.7000000002</v>
      </c>
      <c r="Q138" s="85" t="s">
        <v>108</v>
      </c>
      <c r="R138" s="51">
        <v>0</v>
      </c>
      <c r="S138" s="80">
        <f>2309946000*AY138</f>
        <v>185142171.90000001</v>
      </c>
      <c r="T138" s="80">
        <f>2301635000*AY138</f>
        <v>184476045.25</v>
      </c>
      <c r="U138" s="80">
        <f>46136000*AY138</f>
        <v>3697800.4</v>
      </c>
      <c r="V138" s="51">
        <f>+P138-U138</f>
        <v>1949408.3000000003</v>
      </c>
      <c r="W138" s="52">
        <f>5168668000*AY138</f>
        <v>414268740.19999999</v>
      </c>
      <c r="X138" s="52">
        <v>0</v>
      </c>
      <c r="Y138" s="32">
        <f t="shared" si="53"/>
        <v>414268740.19999999</v>
      </c>
      <c r="Z138" s="51">
        <f>331351000*AY138</f>
        <v>26557782.649999999</v>
      </c>
      <c r="AA138" s="51">
        <f>305678000*AY138</f>
        <v>24500091.699999999</v>
      </c>
      <c r="AB138" s="51">
        <f>41971000*AY138</f>
        <v>3363975.65</v>
      </c>
      <c r="AC138" s="32">
        <f t="shared" si="54"/>
        <v>417632715.84999996</v>
      </c>
      <c r="AD138" s="51">
        <v>2951</v>
      </c>
      <c r="AE138" s="51">
        <v>11</v>
      </c>
      <c r="AF138" s="144"/>
      <c r="AG138" s="52">
        <v>697913954</v>
      </c>
      <c r="AH138" s="52">
        <v>252.2</v>
      </c>
      <c r="AI138" s="32">
        <f t="shared" si="55"/>
        <v>176013899198.79999</v>
      </c>
      <c r="AJ138" s="32">
        <f t="shared" si="56"/>
        <v>176013899.1988</v>
      </c>
      <c r="AK138" s="141">
        <v>43242</v>
      </c>
      <c r="AL138" s="64">
        <f t="shared" si="57"/>
        <v>0.61944444444444446</v>
      </c>
      <c r="AM138" s="71">
        <f t="shared" si="59"/>
        <v>0.49316514227983854</v>
      </c>
      <c r="AN138" s="56" t="s">
        <v>99</v>
      </c>
      <c r="AO138" s="56" t="s">
        <v>99</v>
      </c>
      <c r="AP138" s="56" t="s">
        <v>99</v>
      </c>
      <c r="AQ138" s="57" t="s">
        <v>99</v>
      </c>
      <c r="AR138" s="43">
        <f t="shared" si="60"/>
        <v>7.1851931040569389E-2</v>
      </c>
      <c r="AS138" s="43">
        <f t="shared" si="61"/>
        <v>0.14344534460978739</v>
      </c>
      <c r="AT138" s="43">
        <f t="shared" si="62"/>
        <v>6.3591240920739284E-2</v>
      </c>
      <c r="AU138" s="71">
        <f t="shared" si="63"/>
        <v>3.0980476820924155E-2</v>
      </c>
      <c r="AV138" s="72">
        <f t="shared" si="68"/>
        <v>0.49909889905435906</v>
      </c>
      <c r="AW138" s="72">
        <f t="shared" si="64"/>
        <v>0.97530350973611368</v>
      </c>
      <c r="AX138" s="72">
        <f t="shared" si="65"/>
        <v>0.95069587545872358</v>
      </c>
      <c r="AY138" s="145">
        <f>8.015/100</f>
        <v>8.0149999999999999E-2</v>
      </c>
      <c r="AZ138" s="43">
        <f t="shared" si="66"/>
        <v>0.47620461068175468</v>
      </c>
      <c r="BA138" s="44">
        <f t="shared" si="67"/>
        <v>6.3591240920739284E-2</v>
      </c>
    </row>
    <row r="139" spans="1:53" ht="16.2" thickBot="1" x14ac:dyDescent="0.35">
      <c r="A139" s="59">
        <f t="shared" si="58"/>
        <v>135</v>
      </c>
      <c r="B139" s="60" t="s">
        <v>48</v>
      </c>
      <c r="C139" s="62">
        <f>+C138</f>
        <v>34274</v>
      </c>
      <c r="D139" s="62">
        <v>43830</v>
      </c>
      <c r="E139" s="63">
        <f t="shared" si="33"/>
        <v>2019</v>
      </c>
      <c r="F139" s="140">
        <f t="shared" si="51"/>
        <v>26.544444444444444</v>
      </c>
      <c r="G139" s="65" t="s">
        <v>46</v>
      </c>
      <c r="H139" s="46" t="s">
        <v>127</v>
      </c>
      <c r="I139" s="66">
        <v>0</v>
      </c>
      <c r="J139" s="67">
        <f>5132287000*AY139</f>
        <v>394570224.56</v>
      </c>
      <c r="K139" s="68">
        <f>2685969000*AY139</f>
        <v>206497296.72</v>
      </c>
      <c r="L139" s="68">
        <v>0</v>
      </c>
      <c r="M139" s="68">
        <v>0</v>
      </c>
      <c r="N139" s="68"/>
      <c r="O139" s="64">
        <f t="shared" si="52"/>
        <v>206497296.72</v>
      </c>
      <c r="P139" s="67">
        <f>135136000*AY139</f>
        <v>10389255.68</v>
      </c>
      <c r="Q139" s="85" t="s">
        <v>108</v>
      </c>
      <c r="R139" s="67">
        <v>0</v>
      </c>
      <c r="S139" s="67">
        <f>2451369000*AY139</f>
        <v>188461248.72</v>
      </c>
      <c r="T139" s="67">
        <f>2680918000*AY139</f>
        <v>206108975.84</v>
      </c>
      <c r="U139" s="67">
        <f>+P139-V139</f>
        <v>2030247.0399999991</v>
      </c>
      <c r="V139" s="67">
        <f>108728000*AY139</f>
        <v>8359008.6400000006</v>
      </c>
      <c r="W139" s="68">
        <f>5266735000*AY139</f>
        <v>404906586.80000001</v>
      </c>
      <c r="X139" s="68">
        <v>0</v>
      </c>
      <c r="Y139" s="64">
        <f t="shared" si="53"/>
        <v>404906586.80000001</v>
      </c>
      <c r="Z139" s="67">
        <f>275699000*AY139</f>
        <v>21195739.120000001</v>
      </c>
      <c r="AA139" s="67">
        <f>228381000*AY139</f>
        <v>17557931.280000001</v>
      </c>
      <c r="AB139" s="67">
        <f>30471000*AY139</f>
        <v>2342610.48</v>
      </c>
      <c r="AC139" s="64">
        <f t="shared" si="54"/>
        <v>407249197.28000003</v>
      </c>
      <c r="AD139" s="67">
        <v>2851</v>
      </c>
      <c r="AE139" s="67">
        <v>9</v>
      </c>
      <c r="AF139" s="144"/>
      <c r="AG139" s="68">
        <v>704367982</v>
      </c>
      <c r="AH139" s="68">
        <v>218.6</v>
      </c>
      <c r="AI139" s="64">
        <f t="shared" si="55"/>
        <v>153974840865.19998</v>
      </c>
      <c r="AJ139" s="64">
        <f t="shared" si="56"/>
        <v>153974840.86519998</v>
      </c>
      <c r="AK139" s="62">
        <v>43242</v>
      </c>
      <c r="AL139" s="64">
        <f t="shared" si="57"/>
        <v>1.6333333333333333</v>
      </c>
      <c r="AM139" s="71">
        <f t="shared" si="59"/>
        <v>0.52334738879567722</v>
      </c>
      <c r="AN139" s="56" t="s">
        <v>99</v>
      </c>
      <c r="AO139" s="56" t="s">
        <v>99</v>
      </c>
      <c r="AP139" s="56" t="s">
        <v>99</v>
      </c>
      <c r="AQ139" s="57" t="s">
        <v>99</v>
      </c>
      <c r="AR139" s="43">
        <f t="shared" si="60"/>
        <v>5.3718546916803368E-2</v>
      </c>
      <c r="AS139" s="43">
        <f t="shared" si="61"/>
        <v>0.11246736007512538</v>
      </c>
      <c r="AT139" s="43">
        <f t="shared" si="62"/>
        <v>5.2046116386638537E-2</v>
      </c>
      <c r="AU139" s="71">
        <f t="shared" si="63"/>
        <v>5.0311824149869191E-2</v>
      </c>
      <c r="AV139" s="72">
        <f t="shared" si="68"/>
        <v>0.52236322715389849</v>
      </c>
      <c r="AW139" s="72">
        <f t="shared" si="64"/>
        <v>0.91259754105050084</v>
      </c>
      <c r="AX139" s="72">
        <f t="shared" si="65"/>
        <v>0.81701061576835332</v>
      </c>
      <c r="AY139" s="145">
        <f>7.688/100</f>
        <v>7.6880000000000004E-2</v>
      </c>
      <c r="AZ139" s="43">
        <f t="shared" si="66"/>
        <v>0.39023431389660251</v>
      </c>
      <c r="BA139" s="44">
        <f t="shared" si="67"/>
        <v>5.2046116386638537E-2</v>
      </c>
    </row>
    <row r="140" spans="1:53" ht="16.2" thickBot="1" x14ac:dyDescent="0.35">
      <c r="A140" s="45">
        <f t="shared" si="58"/>
        <v>136</v>
      </c>
      <c r="B140" s="46" t="s">
        <v>49</v>
      </c>
      <c r="C140" s="47">
        <v>34747</v>
      </c>
      <c r="D140" s="141">
        <v>43465</v>
      </c>
      <c r="E140" s="142">
        <f t="shared" si="33"/>
        <v>2018</v>
      </c>
      <c r="F140" s="143">
        <f t="shared" si="51"/>
        <v>24.216666666666665</v>
      </c>
      <c r="G140" s="49" t="s">
        <v>46</v>
      </c>
      <c r="H140" s="46" t="s">
        <v>127</v>
      </c>
      <c r="I140" s="50">
        <v>0</v>
      </c>
      <c r="J140" s="51">
        <f>64141000*AY140</f>
        <v>383563180</v>
      </c>
      <c r="K140" s="52">
        <f>31390000*AY140</f>
        <v>187712200</v>
      </c>
      <c r="L140" s="52">
        <v>0</v>
      </c>
      <c r="M140" s="52">
        <v>0</v>
      </c>
      <c r="N140" s="52"/>
      <c r="O140" s="32">
        <f t="shared" si="52"/>
        <v>187712200</v>
      </c>
      <c r="P140" s="80">
        <f>+U140+V140</f>
        <v>21539960</v>
      </c>
      <c r="Q140" s="85" t="s">
        <v>108</v>
      </c>
      <c r="R140" s="51">
        <v>0</v>
      </c>
      <c r="S140" s="80">
        <f>35739000*AY140</f>
        <v>213719220.00000003</v>
      </c>
      <c r="T140" s="80">
        <f>28402000*AY140</f>
        <v>169843960</v>
      </c>
      <c r="U140" s="80">
        <f>286000*AY140</f>
        <v>1710280.0000000002</v>
      </c>
      <c r="V140" s="51">
        <f>3316000*AY140</f>
        <v>19829680</v>
      </c>
      <c r="W140" s="52">
        <f>109706000*AY140</f>
        <v>656041880</v>
      </c>
      <c r="X140" s="52">
        <v>0</v>
      </c>
      <c r="Y140" s="32">
        <f t="shared" si="53"/>
        <v>656041880</v>
      </c>
      <c r="Z140" s="51">
        <f>7110000*AY140</f>
        <v>42517800</v>
      </c>
      <c r="AA140" s="51">
        <f>5604000*AY140</f>
        <v>33511920.000000004</v>
      </c>
      <c r="AB140" s="51">
        <f>2150000*AY140</f>
        <v>12857000</v>
      </c>
      <c r="AC140" s="32">
        <f t="shared" si="54"/>
        <v>668898880</v>
      </c>
      <c r="AD140" s="51">
        <v>21282</v>
      </c>
      <c r="AE140" s="51">
        <v>7</v>
      </c>
      <c r="AF140" s="144"/>
      <c r="AG140" s="52">
        <f>+AG141</f>
        <v>427709061</v>
      </c>
      <c r="AH140" s="52">
        <v>649.79999999999995</v>
      </c>
      <c r="AI140" s="32">
        <f t="shared" si="55"/>
        <v>277925347837.79999</v>
      </c>
      <c r="AJ140" s="32">
        <f t="shared" si="56"/>
        <v>277925347.83779997</v>
      </c>
      <c r="AK140" s="141">
        <v>43242</v>
      </c>
      <c r="AL140" s="64">
        <f t="shared" si="57"/>
        <v>0.61944444444444446</v>
      </c>
      <c r="AM140" s="71">
        <f t="shared" si="59"/>
        <v>0.48939056141937293</v>
      </c>
      <c r="AN140" s="56" t="s">
        <v>99</v>
      </c>
      <c r="AO140" s="56" t="s">
        <v>99</v>
      </c>
      <c r="AP140" s="56" t="s">
        <v>99</v>
      </c>
      <c r="AQ140" s="57" t="s">
        <v>99</v>
      </c>
      <c r="AR140" s="43">
        <f t="shared" si="60"/>
        <v>0.11084953461904243</v>
      </c>
      <c r="AS140" s="43">
        <f t="shared" si="61"/>
        <v>0.1989423319063208</v>
      </c>
      <c r="AT140" s="43">
        <f t="shared" si="62"/>
        <v>6.3563867830067233E-2</v>
      </c>
      <c r="AU140" s="71">
        <f t="shared" si="63"/>
        <v>0.11474992035680152</v>
      </c>
      <c r="AV140" s="72">
        <f t="shared" si="68"/>
        <v>0.44280569370605383</v>
      </c>
      <c r="AW140" s="72">
        <f t="shared" si="64"/>
        <v>1.1673938771646433</v>
      </c>
      <c r="AX140" s="72">
        <f t="shared" si="65"/>
        <v>1.3004228063241103</v>
      </c>
      <c r="AY140" s="145">
        <v>5.98</v>
      </c>
      <c r="AZ140" s="43">
        <f t="shared" si="66"/>
        <v>0.72458818345858944</v>
      </c>
      <c r="BA140" s="44">
        <f t="shared" si="67"/>
        <v>6.3563867830067233E-2</v>
      </c>
    </row>
    <row r="141" spans="1:53" ht="16.2" thickBot="1" x14ac:dyDescent="0.35">
      <c r="A141" s="59">
        <f t="shared" si="58"/>
        <v>137</v>
      </c>
      <c r="B141" s="60" t="s">
        <v>49</v>
      </c>
      <c r="C141" s="62">
        <f>+C140</f>
        <v>34747</v>
      </c>
      <c r="D141" s="62">
        <v>43830</v>
      </c>
      <c r="E141" s="63">
        <f t="shared" ref="E141:E142" si="69">YEAR(D141)</f>
        <v>2019</v>
      </c>
      <c r="F141" s="140">
        <f t="shared" si="51"/>
        <v>25.230555555555554</v>
      </c>
      <c r="G141" s="65" t="s">
        <v>46</v>
      </c>
      <c r="H141" s="46" t="s">
        <v>127</v>
      </c>
      <c r="I141" s="66">
        <v>0</v>
      </c>
      <c r="J141" s="67">
        <f>71202000*AY141</f>
        <v>425075940</v>
      </c>
      <c r="K141" s="68">
        <f>(32363000+3952000)*AY141</f>
        <v>216800550</v>
      </c>
      <c r="L141" s="68">
        <v>0</v>
      </c>
      <c r="M141" s="68">
        <v>0</v>
      </c>
      <c r="N141" s="68"/>
      <c r="O141" s="64">
        <f t="shared" si="52"/>
        <v>216800550</v>
      </c>
      <c r="P141" s="67">
        <f>3998000*AY141</f>
        <v>23868060</v>
      </c>
      <c r="Q141" s="85" t="s">
        <v>108</v>
      </c>
      <c r="R141" s="67">
        <v>0</v>
      </c>
      <c r="S141" s="67">
        <f>38607000*AY141</f>
        <v>230483790</v>
      </c>
      <c r="T141" s="67">
        <f>32595000*AY141</f>
        <v>194592150</v>
      </c>
      <c r="U141" s="67">
        <f>+P141-V141</f>
        <v>274620</v>
      </c>
      <c r="V141" s="67">
        <f>3952000*AY141</f>
        <v>23593440</v>
      </c>
      <c r="W141" s="68">
        <f>111203000*AY141</f>
        <v>663881910</v>
      </c>
      <c r="X141" s="68">
        <v>0</v>
      </c>
      <c r="Y141" s="64">
        <f t="shared" si="53"/>
        <v>663881910</v>
      </c>
      <c r="Z141" s="67">
        <f>5352000*AY141</f>
        <v>31951440</v>
      </c>
      <c r="AA141" s="67">
        <f>4298000*AY141</f>
        <v>25659060</v>
      </c>
      <c r="AB141" s="67">
        <f>1246000*AY141</f>
        <v>7438620</v>
      </c>
      <c r="AC141" s="64">
        <f t="shared" si="54"/>
        <v>671320530</v>
      </c>
      <c r="AD141" s="67">
        <v>22337</v>
      </c>
      <c r="AE141" s="67">
        <v>8</v>
      </c>
      <c r="AF141" s="144"/>
      <c r="AG141" s="68">
        <v>427709061</v>
      </c>
      <c r="AH141" s="68">
        <v>502.4</v>
      </c>
      <c r="AI141" s="64">
        <f t="shared" si="55"/>
        <v>214881032246.39999</v>
      </c>
      <c r="AJ141" s="64">
        <f t="shared" si="56"/>
        <v>214881032.2464</v>
      </c>
      <c r="AK141" s="62">
        <v>43242</v>
      </c>
      <c r="AL141" s="64">
        <f t="shared" si="57"/>
        <v>1.6333333333333333</v>
      </c>
      <c r="AM141" s="71">
        <f t="shared" si="59"/>
        <v>0.5100278082076346</v>
      </c>
      <c r="AN141" s="56" t="s">
        <v>99</v>
      </c>
      <c r="AO141" s="56" t="s">
        <v>99</v>
      </c>
      <c r="AP141" s="56" t="s">
        <v>99</v>
      </c>
      <c r="AQ141" s="57" t="s">
        <v>99</v>
      </c>
      <c r="AR141" s="43">
        <f t="shared" si="60"/>
        <v>7.5166427909328384E-2</v>
      </c>
      <c r="AS141" s="43">
        <f t="shared" si="61"/>
        <v>0.13862771000077706</v>
      </c>
      <c r="AT141" s="43">
        <f t="shared" si="62"/>
        <v>4.7594909692393883E-2</v>
      </c>
      <c r="AU141" s="71">
        <f t="shared" si="63"/>
        <v>0.11009224838221121</v>
      </c>
      <c r="AV141" s="72">
        <f t="shared" si="68"/>
        <v>0.45778208477289961</v>
      </c>
      <c r="AW141" s="72">
        <f t="shared" si="64"/>
        <v>0.96329418749600371</v>
      </c>
      <c r="AX141" s="72">
        <f t="shared" si="65"/>
        <v>0.93230431626623289</v>
      </c>
      <c r="AY141" s="145">
        <v>5.97</v>
      </c>
      <c r="AZ141" s="43">
        <f t="shared" si="66"/>
        <v>0.50551210272310398</v>
      </c>
      <c r="BA141" s="44">
        <f t="shared" si="67"/>
        <v>4.7594909692393883E-2</v>
      </c>
    </row>
    <row r="142" spans="1:53" ht="16.2" thickBot="1" x14ac:dyDescent="0.35">
      <c r="A142" s="59">
        <f t="shared" si="58"/>
        <v>138</v>
      </c>
      <c r="B142" s="60" t="s">
        <v>50</v>
      </c>
      <c r="C142" s="62">
        <v>36901</v>
      </c>
      <c r="D142" s="62">
        <v>43830</v>
      </c>
      <c r="E142" s="63">
        <f t="shared" si="69"/>
        <v>2019</v>
      </c>
      <c r="F142" s="140">
        <f t="shared" si="51"/>
        <v>19.247222222222224</v>
      </c>
      <c r="G142" s="65" t="s">
        <v>51</v>
      </c>
      <c r="H142" s="60" t="s">
        <v>128</v>
      </c>
      <c r="I142" s="66">
        <v>0</v>
      </c>
      <c r="J142" s="67">
        <f>126018000*AY142</f>
        <v>306475776</v>
      </c>
      <c r="K142" s="68">
        <f>+((7742+4616)*1000)*AY142</f>
        <v>30054656</v>
      </c>
      <c r="L142" s="68">
        <f>46373000*AY142</f>
        <v>112779136</v>
      </c>
      <c r="M142" s="68">
        <f>3980000*AY142</f>
        <v>9679360</v>
      </c>
      <c r="N142" s="68">
        <f>6899000*AY142</f>
        <v>16778368</v>
      </c>
      <c r="O142" s="64">
        <f t="shared" si="52"/>
        <v>152513152</v>
      </c>
      <c r="P142" s="67">
        <f>+U142+V142</f>
        <v>20905472</v>
      </c>
      <c r="Q142" s="85" t="s">
        <v>108</v>
      </c>
      <c r="R142" s="67">
        <v>0</v>
      </c>
      <c r="S142" s="67">
        <f>33021000*AY142</f>
        <v>80307072</v>
      </c>
      <c r="T142" s="67">
        <f>92997000*AY142</f>
        <v>226168704</v>
      </c>
      <c r="U142" s="67">
        <f>4616000*AY142</f>
        <v>11226112</v>
      </c>
      <c r="V142" s="67">
        <f>3980000*AY142</f>
        <v>9679360</v>
      </c>
      <c r="W142" s="68">
        <f>172846000*AY142</f>
        <v>420361472</v>
      </c>
      <c r="X142" s="68">
        <v>0</v>
      </c>
      <c r="Y142" s="64">
        <f t="shared" si="53"/>
        <v>420361472</v>
      </c>
      <c r="Z142" s="67">
        <f>7340000*AY142</f>
        <v>17850880</v>
      </c>
      <c r="AA142" s="67">
        <f>6054000*AY142</f>
        <v>14723328</v>
      </c>
      <c r="AB142" s="67">
        <f>591000*AY142</f>
        <v>1437312</v>
      </c>
      <c r="AC142" s="64">
        <f t="shared" si="54"/>
        <v>421798784</v>
      </c>
      <c r="AD142" s="67">
        <v>34756</v>
      </c>
      <c r="AE142" s="67">
        <v>8</v>
      </c>
      <c r="AF142" s="144"/>
      <c r="AG142" s="68">
        <v>419903072</v>
      </c>
      <c r="AH142" s="68">
        <v>536</v>
      </c>
      <c r="AI142" s="64">
        <f t="shared" si="55"/>
        <v>225068046592</v>
      </c>
      <c r="AJ142" s="64">
        <f t="shared" si="56"/>
        <v>225068046.59200001</v>
      </c>
      <c r="AK142" s="62">
        <v>43242</v>
      </c>
      <c r="AL142" s="64">
        <f t="shared" si="57"/>
        <v>1.6333333333333333</v>
      </c>
      <c r="AM142" s="71">
        <f>+IFERROR((O142+N142)/J142,"")</f>
        <v>0.552381405830913</v>
      </c>
      <c r="AN142" s="56" t="s">
        <v>99</v>
      </c>
      <c r="AO142" s="56" t="s">
        <v>99</v>
      </c>
      <c r="AP142" s="56" t="s">
        <v>99</v>
      </c>
      <c r="AQ142" s="57" t="s">
        <v>99</v>
      </c>
      <c r="AR142" s="43">
        <f t="shared" si="60"/>
        <v>5.8245647447190081E-2</v>
      </c>
      <c r="AS142" s="43">
        <f t="shared" si="61"/>
        <v>0.22228278973986251</v>
      </c>
      <c r="AT142" s="43">
        <f t="shared" si="62"/>
        <v>4.2320842726753807E-2</v>
      </c>
      <c r="AU142" s="71">
        <f t="shared" si="63"/>
        <v>0.13707324073926425</v>
      </c>
      <c r="AV142" s="72">
        <f t="shared" si="68"/>
        <v>0.73796600485644903</v>
      </c>
      <c r="AW142" s="72">
        <f t="shared" si="64"/>
        <v>1.4723406739722229</v>
      </c>
      <c r="AX142" s="72">
        <f t="shared" si="65"/>
        <v>2.8025931090103748</v>
      </c>
      <c r="AY142" s="145">
        <v>2.4319999999999999</v>
      </c>
      <c r="AZ142" s="43">
        <f t="shared" si="66"/>
        <v>0.73437466911577376</v>
      </c>
      <c r="BA142" s="44">
        <f t="shared" si="67"/>
        <v>4.2320842726753807E-2</v>
      </c>
    </row>
    <row r="143" spans="1:53" ht="15" thickBot="1" x14ac:dyDescent="0.35">
      <c r="A143" s="45">
        <v>139</v>
      </c>
      <c r="B143" s="46" t="s">
        <v>52</v>
      </c>
      <c r="C143" s="47">
        <v>33602</v>
      </c>
      <c r="D143" s="47">
        <v>43830</v>
      </c>
      <c r="E143" s="48">
        <v>2019</v>
      </c>
      <c r="F143" s="32">
        <v>28.411111111111111</v>
      </c>
      <c r="G143" s="49" t="s">
        <v>34</v>
      </c>
      <c r="H143" s="46" t="s">
        <v>121</v>
      </c>
      <c r="I143" s="50">
        <v>0</v>
      </c>
      <c r="J143" s="51">
        <v>6243055242.2700005</v>
      </c>
      <c r="K143" s="52">
        <v>66809166.270000003</v>
      </c>
      <c r="L143" s="52">
        <v>0</v>
      </c>
      <c r="M143" s="52">
        <v>0</v>
      </c>
      <c r="N143" s="52">
        <v>0</v>
      </c>
      <c r="O143" s="32">
        <v>66809166.270000003</v>
      </c>
      <c r="P143" s="84">
        <v>10941546</v>
      </c>
      <c r="Q143" s="85" t="s">
        <v>108</v>
      </c>
      <c r="R143" s="51">
        <v>0</v>
      </c>
      <c r="S143" s="51">
        <v>520328802.83999997</v>
      </c>
      <c r="T143" s="51">
        <v>5722726439.4300003</v>
      </c>
      <c r="U143" s="51">
        <v>0</v>
      </c>
      <c r="V143" s="51">
        <v>0</v>
      </c>
      <c r="W143" s="52">
        <v>140872608.03</v>
      </c>
      <c r="X143" s="52">
        <v>42058987.740000002</v>
      </c>
      <c r="Y143" s="32">
        <v>182931595.77000001</v>
      </c>
      <c r="Z143" s="51">
        <v>59198464.710000001</v>
      </c>
      <c r="AA143" s="51">
        <v>48559958.369999997</v>
      </c>
      <c r="AB143" s="51">
        <v>434333.13</v>
      </c>
      <c r="AC143" s="32">
        <v>183365928.90000001</v>
      </c>
      <c r="AD143" s="51">
        <v>50245</v>
      </c>
      <c r="AE143" s="51">
        <v>7</v>
      </c>
      <c r="AF143" s="144"/>
      <c r="AG143" s="52">
        <v>429800000</v>
      </c>
      <c r="AH143" s="52">
        <v>857</v>
      </c>
      <c r="AI143" s="32">
        <v>368338600000</v>
      </c>
      <c r="AJ143" s="32">
        <v>368338600</v>
      </c>
      <c r="AK143" s="47">
        <v>37530</v>
      </c>
      <c r="AL143" s="32">
        <v>17.5</v>
      </c>
      <c r="AM143" s="55">
        <v>1.0701357536876115E-2</v>
      </c>
      <c r="AN143" s="56" t="s">
        <v>99</v>
      </c>
      <c r="AO143" s="56" t="s">
        <v>99</v>
      </c>
      <c r="AP143" s="56" t="s">
        <v>99</v>
      </c>
      <c r="AQ143" s="57" t="s">
        <v>99</v>
      </c>
      <c r="AR143" s="43">
        <v>9.48229070747021E-3</v>
      </c>
      <c r="AS143" s="43">
        <v>0.11377126229970284</v>
      </c>
      <c r="AT143" s="43">
        <v>0.32284331699529811</v>
      </c>
      <c r="AU143" s="55">
        <v>0.1637731259178008</v>
      </c>
      <c r="AV143" s="58">
        <v>0.91665478156960745</v>
      </c>
      <c r="AW143" s="58">
        <v>0.9756545157872516</v>
      </c>
      <c r="AX143" s="58">
        <v>0.70789584968115504</v>
      </c>
      <c r="AY143">
        <v>25.41</v>
      </c>
      <c r="AZ143" s="43">
        <f t="shared" si="66"/>
        <v>5.8999734217644144E-2</v>
      </c>
      <c r="BA143" s="44">
        <f t="shared" si="67"/>
        <v>0.32284331699529811</v>
      </c>
    </row>
    <row r="144" spans="1:53" ht="15" thickBot="1" x14ac:dyDescent="0.35">
      <c r="A144" s="45">
        <v>140</v>
      </c>
      <c r="B144" s="46" t="s">
        <v>52</v>
      </c>
      <c r="C144" s="47">
        <v>33602</v>
      </c>
      <c r="D144" s="47">
        <v>43465</v>
      </c>
      <c r="E144" s="48">
        <v>2018</v>
      </c>
      <c r="F144" s="32">
        <v>27.397222222222222</v>
      </c>
      <c r="G144" s="49" t="s">
        <v>34</v>
      </c>
      <c r="H144" s="46" t="s">
        <v>121</v>
      </c>
      <c r="I144" s="50">
        <v>0</v>
      </c>
      <c r="J144" s="51">
        <v>6091469903.9250002</v>
      </c>
      <c r="K144" s="52">
        <v>58982074.200000003</v>
      </c>
      <c r="L144" s="52">
        <v>0</v>
      </c>
      <c r="M144" s="52">
        <v>0</v>
      </c>
      <c r="N144" s="52">
        <v>0</v>
      </c>
      <c r="O144" s="32">
        <v>58982074.200000003</v>
      </c>
      <c r="P144" s="84">
        <v>9561982.5</v>
      </c>
      <c r="Q144" s="85" t="s">
        <v>108</v>
      </c>
      <c r="R144" s="51">
        <v>0</v>
      </c>
      <c r="S144" s="51">
        <v>485397796.27500004</v>
      </c>
      <c r="T144" s="51">
        <v>5606072107.6500006</v>
      </c>
      <c r="U144" s="51">
        <v>0</v>
      </c>
      <c r="V144" s="51">
        <v>0</v>
      </c>
      <c r="W144" s="52">
        <v>133108198.65000001</v>
      </c>
      <c r="X144" s="52">
        <v>45600289.350000001</v>
      </c>
      <c r="Y144" s="32">
        <v>178708488</v>
      </c>
      <c r="Z144" s="51">
        <v>64183154.700000003</v>
      </c>
      <c r="AA144" s="51">
        <v>55631161.425000004</v>
      </c>
      <c r="AB144" s="51">
        <v>337048.95</v>
      </c>
      <c r="AC144" s="32">
        <v>179045536.94999999</v>
      </c>
      <c r="AD144" s="51">
        <v>50153</v>
      </c>
      <c r="AE144" s="51">
        <v>6</v>
      </c>
      <c r="AF144" s="144"/>
      <c r="AG144" s="52">
        <v>429800000</v>
      </c>
      <c r="AH144" s="52">
        <v>747</v>
      </c>
      <c r="AI144" s="32">
        <v>321060600000</v>
      </c>
      <c r="AJ144" s="32">
        <v>321060600</v>
      </c>
      <c r="AK144" s="47">
        <v>37530</v>
      </c>
      <c r="AL144" s="32">
        <v>16.486111111111111</v>
      </c>
      <c r="AM144" s="55">
        <v>9.6827325966094453E-3</v>
      </c>
      <c r="AN144" s="56" t="s">
        <v>99</v>
      </c>
      <c r="AO144" s="56" t="s">
        <v>99</v>
      </c>
      <c r="AP144" s="56" t="s">
        <v>99</v>
      </c>
      <c r="AQ144" s="57" t="s">
        <v>99</v>
      </c>
      <c r="AR144" s="43">
        <v>1.0536562720049556E-2</v>
      </c>
      <c r="AS144" s="43">
        <v>0.13222794827778186</v>
      </c>
      <c r="AT144" s="43">
        <v>0.35847391559345992</v>
      </c>
      <c r="AU144" s="55">
        <v>0.16211675546669738</v>
      </c>
      <c r="AV144" s="58">
        <v>0.92031516137636393</v>
      </c>
      <c r="AW144" s="58">
        <v>0.97302175027260496</v>
      </c>
      <c r="AX144" s="58">
        <v>0.66143810800925951</v>
      </c>
      <c r="AY144">
        <v>25.725000000000001</v>
      </c>
      <c r="AZ144" s="43">
        <f t="shared" si="66"/>
        <v>5.2706588896241059E-2</v>
      </c>
      <c r="BA144" s="44">
        <f t="shared" si="67"/>
        <v>0.35847391559345992</v>
      </c>
    </row>
    <row r="145" spans="1:53" ht="15" thickBot="1" x14ac:dyDescent="0.35">
      <c r="A145" s="45"/>
      <c r="B145" s="46"/>
      <c r="C145" s="47"/>
      <c r="D145" s="47"/>
      <c r="E145" s="48"/>
      <c r="F145" s="32"/>
      <c r="G145" s="49"/>
      <c r="H145" s="46"/>
      <c r="I145" s="50"/>
      <c r="J145" s="51"/>
      <c r="K145" s="52"/>
      <c r="L145" s="52"/>
      <c r="M145" s="52"/>
      <c r="N145" s="52"/>
      <c r="O145" s="32"/>
      <c r="P145" s="84"/>
      <c r="Q145" s="85"/>
      <c r="R145" s="51"/>
      <c r="S145" s="51"/>
      <c r="T145" s="51"/>
      <c r="U145" s="51"/>
      <c r="V145" s="51"/>
      <c r="W145" s="52"/>
      <c r="X145" s="52"/>
      <c r="Y145" s="32"/>
      <c r="Z145" s="51"/>
      <c r="AA145" s="51"/>
      <c r="AB145" s="51"/>
      <c r="AC145" s="32"/>
      <c r="AD145" s="51"/>
      <c r="AE145" s="51"/>
      <c r="AF145" s="144"/>
      <c r="AG145" s="52"/>
      <c r="AH145" s="52"/>
      <c r="AI145" s="32"/>
      <c r="AJ145" s="32"/>
      <c r="AK145" s="47"/>
      <c r="AL145" s="32"/>
      <c r="AM145" s="55"/>
      <c r="AN145" s="56"/>
      <c r="AO145" s="56"/>
      <c r="AP145" s="56"/>
      <c r="AQ145" s="57"/>
      <c r="AR145" s="43"/>
      <c r="AS145" s="43"/>
      <c r="AT145" s="43"/>
      <c r="AU145" s="55"/>
      <c r="AV145" s="58"/>
      <c r="AW145" s="58"/>
      <c r="AX145" s="58"/>
      <c r="AZ145" s="43"/>
      <c r="BA145" s="44"/>
    </row>
    <row r="146" spans="1:53" ht="15" thickBot="1" x14ac:dyDescent="0.35">
      <c r="A146" s="45"/>
      <c r="B146" s="46"/>
      <c r="C146" s="47"/>
      <c r="D146" s="47"/>
      <c r="E146" s="48"/>
      <c r="F146" s="32"/>
      <c r="G146" s="49"/>
      <c r="H146" s="46"/>
      <c r="I146" s="50"/>
      <c r="J146" s="51"/>
      <c r="K146" s="52"/>
      <c r="L146" s="52"/>
      <c r="M146" s="52"/>
      <c r="N146" s="52"/>
      <c r="O146" s="32"/>
      <c r="P146" s="84"/>
      <c r="Q146" s="85"/>
      <c r="R146" s="51"/>
      <c r="S146" s="51"/>
      <c r="T146" s="51"/>
      <c r="U146" s="51"/>
      <c r="V146" s="51"/>
      <c r="W146" s="52"/>
      <c r="X146" s="52"/>
      <c r="Y146" s="32"/>
      <c r="Z146" s="51"/>
      <c r="AA146" s="51"/>
      <c r="AB146" s="51"/>
      <c r="AC146" s="32"/>
      <c r="AD146" s="51"/>
      <c r="AE146" s="51"/>
      <c r="AF146" s="144"/>
      <c r="AG146" s="52"/>
      <c r="AH146" s="52"/>
      <c r="AI146" s="32"/>
      <c r="AJ146" s="32"/>
      <c r="AK146" s="47"/>
      <c r="AL146" s="32"/>
      <c r="AM146" s="55"/>
      <c r="AN146" s="56"/>
      <c r="AO146" s="56"/>
      <c r="AP146" s="56"/>
      <c r="AQ146" s="57"/>
      <c r="AR146" s="43"/>
      <c r="AS146" s="43"/>
      <c r="AT146" s="43"/>
      <c r="AU146" s="55"/>
      <c r="AV146" s="58"/>
      <c r="AW146" s="58"/>
      <c r="AX146" s="58"/>
      <c r="AZ146" s="43"/>
      <c r="BA146" s="44"/>
    </row>
    <row r="147" spans="1:53" ht="15" thickBot="1" x14ac:dyDescent="0.35">
      <c r="A147" s="45"/>
      <c r="B147" s="46"/>
      <c r="C147" s="47"/>
      <c r="D147" s="47"/>
      <c r="E147" s="48"/>
      <c r="F147" s="32"/>
      <c r="G147" s="49"/>
      <c r="H147" s="46"/>
      <c r="I147" s="50"/>
      <c r="J147" s="51"/>
      <c r="K147" s="52"/>
      <c r="L147" s="52"/>
      <c r="M147" s="52"/>
      <c r="N147" s="52"/>
      <c r="O147" s="32"/>
      <c r="P147" s="84"/>
      <c r="Q147" s="85"/>
      <c r="R147" s="51"/>
      <c r="S147" s="51"/>
      <c r="T147" s="51"/>
      <c r="U147" s="51"/>
      <c r="V147" s="51"/>
      <c r="W147" s="52"/>
      <c r="X147" s="52"/>
      <c r="Y147" s="32"/>
      <c r="Z147" s="51"/>
      <c r="AA147" s="51"/>
      <c r="AB147" s="51"/>
      <c r="AC147" s="32"/>
      <c r="AD147" s="51"/>
      <c r="AE147" s="51"/>
      <c r="AF147" s="144"/>
      <c r="AG147" s="52"/>
      <c r="AH147" s="52"/>
      <c r="AI147" s="32"/>
      <c r="AJ147" s="32"/>
      <c r="AK147" s="47"/>
      <c r="AL147" s="32"/>
      <c r="AM147" s="55"/>
      <c r="AN147" s="56"/>
      <c r="AO147" s="56"/>
      <c r="AP147" s="56"/>
      <c r="AQ147" s="57"/>
      <c r="AR147" s="43"/>
      <c r="AS147" s="43"/>
      <c r="AT147" s="43"/>
      <c r="AU147" s="55"/>
      <c r="AV147" s="58"/>
      <c r="AW147" s="58"/>
      <c r="AX147" s="58"/>
      <c r="AZ147" s="43"/>
      <c r="BA147" s="44"/>
    </row>
    <row r="148" spans="1:53" ht="15" thickBot="1" x14ac:dyDescent="0.35">
      <c r="A148" s="45"/>
      <c r="B148" s="46"/>
      <c r="C148" s="47"/>
      <c r="D148" s="47"/>
      <c r="E148" s="48"/>
      <c r="F148" s="32"/>
      <c r="G148" s="49"/>
      <c r="H148" s="46"/>
      <c r="I148" s="50"/>
      <c r="J148" s="51"/>
      <c r="K148" s="52"/>
      <c r="L148" s="52"/>
      <c r="M148" s="52"/>
      <c r="N148" s="52"/>
      <c r="O148" s="32"/>
      <c r="P148" s="84"/>
      <c r="Q148" s="85"/>
      <c r="R148" s="51"/>
      <c r="S148" s="51"/>
      <c r="T148" s="51"/>
      <c r="U148" s="51"/>
      <c r="V148" s="51"/>
      <c r="W148" s="52"/>
      <c r="X148" s="52"/>
      <c r="Y148" s="32"/>
      <c r="Z148" s="51"/>
      <c r="AA148" s="51"/>
      <c r="AB148" s="51"/>
      <c r="AC148" s="32"/>
      <c r="AD148" s="51"/>
      <c r="AE148" s="51"/>
      <c r="AF148" s="144"/>
      <c r="AG148" s="52"/>
      <c r="AH148" s="52"/>
      <c r="AI148" s="32"/>
      <c r="AJ148" s="32"/>
      <c r="AK148" s="47"/>
      <c r="AL148" s="32"/>
      <c r="AM148" s="55"/>
      <c r="AN148" s="56"/>
      <c r="AO148" s="56"/>
      <c r="AP148" s="56"/>
      <c r="AQ148" s="57"/>
      <c r="AR148" s="43"/>
      <c r="AS148" s="43"/>
      <c r="AT148" s="43"/>
      <c r="AU148" s="55"/>
      <c r="AV148" s="58"/>
      <c r="AW148" s="58"/>
      <c r="AX148" s="58"/>
      <c r="AZ148" s="43"/>
      <c r="BA148" s="44"/>
    </row>
    <row r="149" spans="1:53" ht="15" thickBot="1" x14ac:dyDescent="0.35">
      <c r="A149" s="45"/>
      <c r="B149" s="46"/>
      <c r="C149" s="47"/>
      <c r="D149" s="47"/>
      <c r="E149" s="48"/>
      <c r="F149" s="32"/>
      <c r="G149" s="49"/>
      <c r="H149" s="46"/>
      <c r="I149" s="50"/>
      <c r="J149" s="51"/>
      <c r="K149" s="52"/>
      <c r="L149" s="52"/>
      <c r="M149" s="52"/>
      <c r="N149" s="52"/>
      <c r="O149" s="32"/>
      <c r="P149" s="84"/>
      <c r="Q149" s="85"/>
      <c r="R149" s="51"/>
      <c r="S149" s="51"/>
      <c r="T149" s="51"/>
      <c r="U149" s="51"/>
      <c r="V149" s="51"/>
      <c r="W149" s="52"/>
      <c r="X149" s="52"/>
      <c r="Y149" s="32"/>
      <c r="Z149" s="51"/>
      <c r="AA149" s="51"/>
      <c r="AB149" s="51"/>
      <c r="AC149" s="32"/>
      <c r="AD149" s="51"/>
      <c r="AE149" s="51"/>
      <c r="AF149" s="144"/>
      <c r="AG149" s="52"/>
      <c r="AH149" s="52"/>
      <c r="AI149" s="32"/>
      <c r="AJ149" s="32"/>
      <c r="AK149" s="47"/>
      <c r="AL149" s="32"/>
      <c r="AM149" s="55"/>
      <c r="AN149" s="56"/>
      <c r="AO149" s="56"/>
      <c r="AP149" s="56"/>
      <c r="AQ149" s="57"/>
      <c r="AR149" s="43"/>
      <c r="AS149" s="43"/>
      <c r="AT149" s="43"/>
      <c r="AU149" s="55"/>
      <c r="AV149" s="58"/>
      <c r="AW149" s="58"/>
      <c r="AX149" s="58"/>
      <c r="AZ149" s="43"/>
      <c r="BA149" s="44"/>
    </row>
    <row r="150" spans="1:53" ht="15" thickBot="1" x14ac:dyDescent="0.35">
      <c r="A150" s="45"/>
      <c r="B150" s="46"/>
      <c r="C150" s="47"/>
      <c r="D150" s="47"/>
      <c r="E150" s="48"/>
      <c r="F150" s="32"/>
      <c r="G150" s="49"/>
      <c r="H150" s="46"/>
      <c r="I150" s="50"/>
      <c r="J150" s="51"/>
      <c r="K150" s="52"/>
      <c r="L150" s="52"/>
      <c r="M150" s="52"/>
      <c r="N150" s="52"/>
      <c r="O150" s="32"/>
      <c r="P150" s="84"/>
      <c r="Q150" s="85"/>
      <c r="R150" s="51"/>
      <c r="S150" s="51"/>
      <c r="T150" s="51"/>
      <c r="U150" s="51"/>
      <c r="V150" s="51"/>
      <c r="W150" s="52"/>
      <c r="X150" s="52"/>
      <c r="Y150" s="32"/>
      <c r="Z150" s="51"/>
      <c r="AA150" s="51"/>
      <c r="AB150" s="51"/>
      <c r="AC150" s="32"/>
      <c r="AD150" s="51"/>
      <c r="AE150" s="51"/>
      <c r="AF150" s="144"/>
      <c r="AG150" s="52"/>
      <c r="AH150" s="52"/>
      <c r="AI150" s="32"/>
      <c r="AJ150" s="32"/>
      <c r="AK150" s="47"/>
      <c r="AL150" s="32"/>
      <c r="AM150" s="55"/>
      <c r="AN150" s="56"/>
      <c r="AO150" s="56"/>
      <c r="AP150" s="56"/>
      <c r="AQ150" s="57"/>
      <c r="AR150" s="43"/>
      <c r="AS150" s="43"/>
      <c r="AT150" s="43"/>
      <c r="AU150" s="55"/>
      <c r="AV150" s="58"/>
      <c r="AW150" s="58"/>
      <c r="AX150" s="58"/>
      <c r="AZ150" s="43"/>
      <c r="BA150" s="44"/>
    </row>
    <row r="151" spans="1:53" ht="15" thickBot="1" x14ac:dyDescent="0.35">
      <c r="A151" s="45"/>
      <c r="B151" s="46"/>
      <c r="C151" s="47"/>
      <c r="D151" s="47"/>
      <c r="E151" s="48"/>
      <c r="F151" s="32"/>
      <c r="G151" s="49"/>
      <c r="H151" s="46"/>
      <c r="I151" s="50"/>
      <c r="J151" s="51"/>
      <c r="K151" s="52"/>
      <c r="L151" s="52"/>
      <c r="M151" s="52"/>
      <c r="N151" s="52"/>
      <c r="O151" s="32"/>
      <c r="P151" s="84"/>
      <c r="Q151" s="85"/>
      <c r="R151" s="51"/>
      <c r="S151" s="51"/>
      <c r="T151" s="51"/>
      <c r="U151" s="51"/>
      <c r="V151" s="51"/>
      <c r="W151" s="52"/>
      <c r="X151" s="52"/>
      <c r="Y151" s="32"/>
      <c r="Z151" s="51"/>
      <c r="AA151" s="51"/>
      <c r="AB151" s="51"/>
      <c r="AC151" s="32"/>
      <c r="AD151" s="51"/>
      <c r="AE151" s="51"/>
      <c r="AF151" s="144"/>
      <c r="AG151" s="52"/>
      <c r="AH151" s="52"/>
      <c r="AI151" s="32"/>
      <c r="AJ151" s="32"/>
      <c r="AK151" s="47"/>
      <c r="AL151" s="32"/>
      <c r="AM151" s="55"/>
      <c r="AN151" s="56"/>
      <c r="AO151" s="56"/>
      <c r="AP151" s="56"/>
      <c r="AQ151" s="57"/>
      <c r="AR151" s="43"/>
      <c r="AS151" s="43"/>
      <c r="AT151" s="43"/>
      <c r="AU151" s="55"/>
      <c r="AV151" s="58"/>
      <c r="AW151" s="58"/>
      <c r="AX151" s="58"/>
      <c r="AZ151" s="43"/>
      <c r="BA151" s="44"/>
    </row>
    <row r="152" spans="1:53" ht="15" thickBot="1" x14ac:dyDescent="0.35">
      <c r="A152" s="45"/>
      <c r="B152" s="46"/>
      <c r="C152" s="47"/>
      <c r="D152" s="47"/>
      <c r="E152" s="48"/>
      <c r="F152" s="32"/>
      <c r="G152" s="49"/>
      <c r="H152" s="46"/>
      <c r="I152" s="50"/>
      <c r="J152" s="51"/>
      <c r="K152" s="52"/>
      <c r="L152" s="52"/>
      <c r="M152" s="52"/>
      <c r="N152" s="52"/>
      <c r="O152" s="32"/>
      <c r="P152" s="84"/>
      <c r="Q152" s="85"/>
      <c r="R152" s="51"/>
      <c r="S152" s="51"/>
      <c r="T152" s="51"/>
      <c r="U152" s="51"/>
      <c r="V152" s="51"/>
      <c r="W152" s="52"/>
      <c r="X152" s="52"/>
      <c r="Y152" s="32"/>
      <c r="Z152" s="51"/>
      <c r="AA152" s="51"/>
      <c r="AB152" s="51"/>
      <c r="AC152" s="32"/>
      <c r="AD152" s="51"/>
      <c r="AE152" s="51"/>
      <c r="AF152" s="144"/>
      <c r="AG152" s="52"/>
      <c r="AH152" s="52"/>
      <c r="AI152" s="32"/>
      <c r="AJ152" s="32"/>
      <c r="AK152" s="47"/>
      <c r="AL152" s="32"/>
      <c r="AM152" s="55"/>
      <c r="AN152" s="56"/>
      <c r="AO152" s="56"/>
      <c r="AP152" s="56"/>
      <c r="AQ152" s="57"/>
      <c r="AR152" s="43"/>
      <c r="AS152" s="43"/>
      <c r="AT152" s="43"/>
      <c r="AU152" s="55"/>
      <c r="AV152" s="58"/>
      <c r="AW152" s="58"/>
      <c r="AX152" s="58"/>
      <c r="AZ152" s="43"/>
      <c r="BA152" s="44"/>
    </row>
    <row r="153" spans="1:53" ht="15" thickBot="1" x14ac:dyDescent="0.35">
      <c r="A153" s="45"/>
      <c r="B153" s="46"/>
      <c r="C153" s="47"/>
      <c r="D153" s="47"/>
      <c r="E153" s="48"/>
      <c r="F153" s="32"/>
      <c r="G153" s="49"/>
      <c r="H153" s="46"/>
      <c r="I153" s="50"/>
      <c r="J153" s="51"/>
      <c r="K153" s="52"/>
      <c r="L153" s="52"/>
      <c r="M153" s="52"/>
      <c r="N153" s="52"/>
      <c r="O153" s="32"/>
      <c r="P153" s="84"/>
      <c r="Q153" s="85"/>
      <c r="R153" s="51"/>
      <c r="S153" s="51"/>
      <c r="T153" s="51"/>
      <c r="U153" s="51"/>
      <c r="V153" s="51"/>
      <c r="W153" s="52"/>
      <c r="X153" s="52"/>
      <c r="Y153" s="32"/>
      <c r="Z153" s="51"/>
      <c r="AA153" s="51"/>
      <c r="AB153" s="51"/>
      <c r="AC153" s="32"/>
      <c r="AD153" s="51"/>
      <c r="AE153" s="51"/>
      <c r="AF153" s="144"/>
      <c r="AG153" s="52"/>
      <c r="AH153" s="52"/>
      <c r="AI153" s="32"/>
      <c r="AJ153" s="32"/>
      <c r="AK153" s="47"/>
      <c r="AL153" s="32"/>
      <c r="AM153" s="55"/>
      <c r="AN153" s="56"/>
      <c r="AO153" s="56"/>
      <c r="AP153" s="56"/>
      <c r="AQ153" s="57"/>
      <c r="AR153" s="43"/>
      <c r="AS153" s="43"/>
      <c r="AT153" s="43"/>
      <c r="AU153" s="55"/>
      <c r="AV153" s="58"/>
      <c r="AW153" s="58"/>
      <c r="AX153" s="58"/>
      <c r="AZ153" s="43"/>
      <c r="BA153" s="44"/>
    </row>
    <row r="154" spans="1:53" ht="15" thickBot="1" x14ac:dyDescent="0.35">
      <c r="A154" s="45"/>
      <c r="B154" s="46"/>
      <c r="C154" s="47"/>
      <c r="D154" s="47"/>
      <c r="E154" s="48"/>
      <c r="F154" s="32"/>
      <c r="G154" s="49"/>
      <c r="H154" s="46"/>
      <c r="I154" s="50"/>
      <c r="J154" s="51"/>
      <c r="K154" s="52"/>
      <c r="L154" s="52"/>
      <c r="M154" s="52"/>
      <c r="N154" s="52"/>
      <c r="O154" s="32"/>
      <c r="P154" s="84"/>
      <c r="Q154" s="85"/>
      <c r="R154" s="51"/>
      <c r="S154" s="51"/>
      <c r="T154" s="51"/>
      <c r="U154" s="51"/>
      <c r="V154" s="51"/>
      <c r="W154" s="52"/>
      <c r="X154" s="52"/>
      <c r="Y154" s="32"/>
      <c r="Z154" s="51"/>
      <c r="AA154" s="51"/>
      <c r="AB154" s="51"/>
      <c r="AC154" s="32"/>
      <c r="AD154" s="51"/>
      <c r="AE154" s="51"/>
      <c r="AF154" s="144"/>
      <c r="AG154" s="52"/>
      <c r="AH154" s="52"/>
      <c r="AI154" s="32"/>
      <c r="AJ154" s="32"/>
      <c r="AK154" s="47"/>
      <c r="AL154" s="32"/>
      <c r="AM154" s="55"/>
      <c r="AN154" s="56"/>
      <c r="AO154" s="56"/>
      <c r="AP154" s="56"/>
      <c r="AQ154" s="57"/>
      <c r="AR154" s="43"/>
      <c r="AS154" s="43"/>
      <c r="AT154" s="43"/>
      <c r="AU154" s="55"/>
      <c r="AV154" s="58"/>
      <c r="AW154" s="58"/>
      <c r="AX154" s="58"/>
      <c r="AZ154" s="43"/>
      <c r="BA154" s="44"/>
    </row>
    <row r="155" spans="1:53" ht="15" thickBot="1" x14ac:dyDescent="0.35">
      <c r="A155" s="45"/>
      <c r="B155" s="46"/>
      <c r="C155" s="47"/>
      <c r="D155" s="47"/>
      <c r="E155" s="48"/>
      <c r="F155" s="32"/>
      <c r="G155" s="49"/>
      <c r="H155" s="46"/>
      <c r="I155" s="50"/>
      <c r="J155" s="51"/>
      <c r="K155" s="52"/>
      <c r="L155" s="52"/>
      <c r="M155" s="52"/>
      <c r="N155" s="52"/>
      <c r="O155" s="32"/>
      <c r="P155" s="84"/>
      <c r="Q155" s="85"/>
      <c r="R155" s="51"/>
      <c r="S155" s="51"/>
      <c r="T155" s="51"/>
      <c r="U155" s="51"/>
      <c r="V155" s="51"/>
      <c r="W155" s="52"/>
      <c r="X155" s="52"/>
      <c r="Y155" s="32"/>
      <c r="Z155" s="51"/>
      <c r="AA155" s="51"/>
      <c r="AB155" s="51"/>
      <c r="AC155" s="32"/>
      <c r="AD155" s="51"/>
      <c r="AE155" s="51"/>
      <c r="AF155" s="144"/>
      <c r="AG155" s="52"/>
      <c r="AH155" s="52"/>
      <c r="AI155" s="32"/>
      <c r="AJ155" s="32"/>
      <c r="AK155" s="47"/>
      <c r="AL155" s="32"/>
      <c r="AM155" s="55"/>
      <c r="AN155" s="56"/>
      <c r="AO155" s="56"/>
      <c r="AP155" s="56"/>
      <c r="AQ155" s="57"/>
      <c r="AR155" s="43"/>
      <c r="AS155" s="43"/>
      <c r="AT155" s="43"/>
      <c r="AU155" s="55"/>
      <c r="AV155" s="58"/>
      <c r="AW155" s="58"/>
      <c r="AX155" s="58"/>
      <c r="AZ155" s="43"/>
      <c r="BA155" s="44"/>
    </row>
    <row r="156" spans="1:53" ht="15" thickBot="1" x14ac:dyDescent="0.35">
      <c r="A156" s="45"/>
      <c r="B156" s="46"/>
      <c r="C156" s="47"/>
      <c r="D156" s="47"/>
      <c r="E156" s="48"/>
      <c r="F156" s="32"/>
      <c r="G156" s="49"/>
      <c r="H156" s="46"/>
      <c r="I156" s="50"/>
      <c r="J156" s="51"/>
      <c r="K156" s="52"/>
      <c r="L156" s="52"/>
      <c r="M156" s="52"/>
      <c r="N156" s="52"/>
      <c r="O156" s="32"/>
      <c r="P156" s="84"/>
      <c r="Q156" s="85"/>
      <c r="R156" s="51"/>
      <c r="S156" s="51"/>
      <c r="T156" s="51"/>
      <c r="U156" s="51"/>
      <c r="V156" s="51"/>
      <c r="W156" s="52"/>
      <c r="X156" s="52"/>
      <c r="Y156" s="32"/>
      <c r="Z156" s="51"/>
      <c r="AA156" s="51"/>
      <c r="AB156" s="51"/>
      <c r="AC156" s="32"/>
      <c r="AD156" s="51"/>
      <c r="AE156" s="51"/>
      <c r="AF156" s="144"/>
      <c r="AG156" s="52"/>
      <c r="AH156" s="52"/>
      <c r="AI156" s="32"/>
      <c r="AJ156" s="32"/>
      <c r="AK156" s="47"/>
      <c r="AL156" s="32"/>
      <c r="AM156" s="55"/>
      <c r="AN156" s="56"/>
      <c r="AO156" s="56"/>
      <c r="AP156" s="56"/>
      <c r="AQ156" s="57"/>
      <c r="AR156" s="43"/>
      <c r="AS156" s="43"/>
      <c r="AT156" s="43"/>
      <c r="AU156" s="55"/>
      <c r="AV156" s="58"/>
      <c r="AW156" s="58"/>
      <c r="AX156" s="58"/>
      <c r="AZ156" s="43"/>
      <c r="BA156" s="44"/>
    </row>
    <row r="157" spans="1:53" ht="15" thickBot="1" x14ac:dyDescent="0.35">
      <c r="A157" s="45"/>
      <c r="B157" s="46"/>
      <c r="C157" s="47"/>
      <c r="D157" s="47"/>
      <c r="E157" s="48"/>
      <c r="F157" s="32"/>
      <c r="G157" s="49"/>
      <c r="H157" s="46"/>
      <c r="I157" s="50"/>
      <c r="J157" s="51"/>
      <c r="K157" s="52"/>
      <c r="L157" s="52"/>
      <c r="M157" s="52"/>
      <c r="N157" s="52"/>
      <c r="O157" s="32"/>
      <c r="P157" s="84"/>
      <c r="Q157" s="85"/>
      <c r="R157" s="51"/>
      <c r="S157" s="51"/>
      <c r="T157" s="51"/>
      <c r="U157" s="51"/>
      <c r="V157" s="51"/>
      <c r="W157" s="52"/>
      <c r="X157" s="52"/>
      <c r="Y157" s="32"/>
      <c r="Z157" s="51"/>
      <c r="AA157" s="51"/>
      <c r="AB157" s="51"/>
      <c r="AC157" s="32"/>
      <c r="AD157" s="51"/>
      <c r="AE157" s="51"/>
      <c r="AF157" s="144"/>
      <c r="AG157" s="52"/>
      <c r="AH157" s="52"/>
      <c r="AI157" s="32"/>
      <c r="AJ157" s="32"/>
      <c r="AK157" s="47"/>
      <c r="AL157" s="32"/>
      <c r="AM157" s="55"/>
      <c r="AN157" s="56"/>
      <c r="AO157" s="56"/>
      <c r="AP157" s="56"/>
      <c r="AQ157" s="57"/>
      <c r="AR157" s="43"/>
      <c r="AS157" s="43"/>
      <c r="AT157" s="43"/>
      <c r="AU157" s="55"/>
      <c r="AV157" s="58"/>
      <c r="AW157" s="58"/>
      <c r="AX157" s="58"/>
      <c r="AZ157" s="43"/>
      <c r="BA157" s="44"/>
    </row>
    <row r="158" spans="1:53" ht="15" thickBot="1" x14ac:dyDescent="0.35">
      <c r="A158" s="45"/>
      <c r="B158" s="46"/>
      <c r="C158" s="47"/>
      <c r="D158" s="47"/>
      <c r="E158" s="48"/>
      <c r="F158" s="32"/>
      <c r="G158" s="49"/>
      <c r="H158" s="46"/>
      <c r="I158" s="50"/>
      <c r="J158" s="51"/>
      <c r="K158" s="52"/>
      <c r="L158" s="52"/>
      <c r="M158" s="52"/>
      <c r="N158" s="52"/>
      <c r="O158" s="32"/>
      <c r="P158" s="84"/>
      <c r="Q158" s="85"/>
      <c r="R158" s="51"/>
      <c r="S158" s="51"/>
      <c r="T158" s="51"/>
      <c r="U158" s="51"/>
      <c r="V158" s="51"/>
      <c r="W158" s="52"/>
      <c r="X158" s="52"/>
      <c r="Y158" s="32"/>
      <c r="Z158" s="51"/>
      <c r="AA158" s="51"/>
      <c r="AB158" s="51"/>
      <c r="AC158" s="32"/>
      <c r="AD158" s="51"/>
      <c r="AE158" s="51"/>
      <c r="AF158" s="144"/>
      <c r="AG158" s="52"/>
      <c r="AH158" s="52"/>
      <c r="AI158" s="32"/>
      <c r="AJ158" s="32"/>
      <c r="AK158" s="47"/>
      <c r="AL158" s="32"/>
      <c r="AM158" s="55"/>
      <c r="AN158" s="56"/>
      <c r="AO158" s="56"/>
      <c r="AP158" s="56"/>
      <c r="AQ158" s="57"/>
      <c r="AR158" s="43"/>
      <c r="AS158" s="43"/>
      <c r="AT158" s="43"/>
      <c r="AU158" s="55"/>
      <c r="AV158" s="58"/>
      <c r="AW158" s="58"/>
      <c r="AX158" s="58"/>
      <c r="AZ158" s="43"/>
      <c r="BA158" s="44"/>
    </row>
    <row r="159" spans="1:53" ht="15" thickBot="1" x14ac:dyDescent="0.35">
      <c r="A159" s="45"/>
      <c r="B159" s="46"/>
      <c r="C159" s="47"/>
      <c r="D159" s="47"/>
      <c r="E159" s="48"/>
      <c r="F159" s="32"/>
      <c r="G159" s="49"/>
      <c r="H159" s="46"/>
      <c r="I159" s="50"/>
      <c r="J159" s="51"/>
      <c r="K159" s="52"/>
      <c r="L159" s="52"/>
      <c r="M159" s="52"/>
      <c r="N159" s="52"/>
      <c r="O159" s="32"/>
      <c r="P159" s="84"/>
      <c r="Q159" s="85"/>
      <c r="R159" s="51"/>
      <c r="S159" s="51"/>
      <c r="T159" s="51"/>
      <c r="U159" s="51"/>
      <c r="V159" s="51"/>
      <c r="W159" s="52"/>
      <c r="X159" s="52"/>
      <c r="Y159" s="32"/>
      <c r="Z159" s="51"/>
      <c r="AA159" s="51"/>
      <c r="AB159" s="51"/>
      <c r="AC159" s="32"/>
      <c r="AD159" s="51"/>
      <c r="AE159" s="51"/>
      <c r="AF159" s="144"/>
      <c r="AG159" s="52"/>
      <c r="AH159" s="52"/>
      <c r="AI159" s="32"/>
      <c r="AJ159" s="32"/>
      <c r="AK159" s="47"/>
      <c r="AL159" s="32"/>
      <c r="AM159" s="55"/>
      <c r="AN159" s="56"/>
      <c r="AO159" s="56"/>
      <c r="AP159" s="56"/>
      <c r="AQ159" s="57"/>
      <c r="AR159" s="43"/>
      <c r="AS159" s="43"/>
      <c r="AT159" s="43"/>
      <c r="AU159" s="55"/>
      <c r="AV159" s="58"/>
      <c r="AW159" s="58"/>
      <c r="AX159" s="58"/>
      <c r="AZ159" s="43"/>
      <c r="BA159" s="44"/>
    </row>
    <row r="160" spans="1:53" x14ac:dyDescent="0.3">
      <c r="A160" s="45"/>
      <c r="B160" s="46"/>
      <c r="C160" s="47"/>
      <c r="D160" s="47"/>
      <c r="E160" s="48"/>
      <c r="F160" s="32"/>
      <c r="G160" s="49"/>
      <c r="H160" s="46"/>
      <c r="I160" s="50"/>
      <c r="J160" s="51"/>
      <c r="K160" s="52"/>
      <c r="L160" s="52"/>
      <c r="M160" s="52"/>
      <c r="N160" s="52"/>
      <c r="O160" s="32"/>
      <c r="P160" s="84"/>
      <c r="Q160" s="85"/>
      <c r="R160" s="51"/>
      <c r="S160" s="51"/>
      <c r="T160" s="51"/>
      <c r="U160" s="51"/>
      <c r="V160" s="51"/>
      <c r="W160" s="52"/>
      <c r="X160" s="52"/>
      <c r="Y160" s="32"/>
      <c r="Z160" s="51"/>
      <c r="AA160" s="51"/>
      <c r="AB160" s="51"/>
      <c r="AC160" s="32"/>
      <c r="AD160" s="51"/>
      <c r="AE160" s="51"/>
      <c r="AF160" s="144"/>
      <c r="AG160" s="52"/>
      <c r="AH160" s="52"/>
      <c r="AI160" s="32"/>
      <c r="AJ160" s="32"/>
      <c r="AK160" s="47"/>
      <c r="AL160" s="32"/>
      <c r="AM160" s="55"/>
      <c r="AN160" s="56"/>
      <c r="AO160" s="56"/>
      <c r="AP160" s="56"/>
      <c r="AQ160" s="57"/>
      <c r="AR160" s="43"/>
      <c r="AS160" s="43"/>
      <c r="AT160" s="43"/>
      <c r="AU160" s="55"/>
      <c r="AV160" s="58"/>
      <c r="AW160" s="58"/>
      <c r="AX160" s="58"/>
      <c r="AZ160" s="43"/>
      <c r="BA160" s="44"/>
    </row>
  </sheetData>
  <dataValidations disablePrompts="1" count="1">
    <dataValidation type="list" allowBlank="1" showInputMessage="1" showErrorMessage="1" sqref="I5:I160" xr:uid="{00000000-0002-0000-0000-000000000000}">
      <formula1>$B$1:$C$1</formula1>
    </dataValidation>
  </dataValidations>
  <pageMargins left="0.7" right="0.7" top="0.78740157499999996" bottom="0.78740157499999996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38"/>
  <sheetViews>
    <sheetView tabSelected="1" workbookViewId="0">
      <selection activeCell="A37" sqref="A37"/>
    </sheetView>
  </sheetViews>
  <sheetFormatPr defaultRowHeight="14.4" x14ac:dyDescent="0.3"/>
  <cols>
    <col min="1" max="1" width="25.33203125" bestFit="1" customWidth="1"/>
    <col min="2" max="2" width="7.44140625" customWidth="1"/>
    <col min="4" max="4" width="10.88671875" customWidth="1"/>
    <col min="7" max="13" width="10.33203125" customWidth="1"/>
    <col min="14" max="14" width="11.5546875" customWidth="1"/>
    <col min="15" max="15" width="11.77734375" customWidth="1"/>
    <col min="16" max="16" width="16.33203125" bestFit="1" customWidth="1"/>
    <col min="17" max="17" width="10.33203125" customWidth="1"/>
    <col min="19" max="19" width="12.5546875" customWidth="1"/>
    <col min="20" max="20" width="13.44140625" customWidth="1"/>
    <col min="21" max="21" width="16.33203125" bestFit="1" customWidth="1"/>
    <col min="31" max="31" width="25.33203125" bestFit="1" customWidth="1"/>
    <col min="32" max="32" width="12.88671875" customWidth="1"/>
    <col min="33" max="33" width="69.44140625" bestFit="1" customWidth="1"/>
    <col min="34" max="34" width="59.5546875" customWidth="1"/>
    <col min="35" max="35" width="10.109375" bestFit="1" customWidth="1"/>
    <col min="36" max="36" width="25.109375" bestFit="1" customWidth="1"/>
    <col min="37" max="38" width="13" customWidth="1"/>
    <col min="40" max="40" width="12" customWidth="1"/>
    <col min="45" max="45" width="39.6640625" bestFit="1" customWidth="1"/>
    <col min="47" max="47" width="16.33203125" bestFit="1" customWidth="1"/>
  </cols>
  <sheetData>
    <row r="2" spans="1:47" x14ac:dyDescent="0.3">
      <c r="L2" s="2" t="s">
        <v>55</v>
      </c>
      <c r="M2" s="2"/>
      <c r="N2" s="2" t="s">
        <v>56</v>
      </c>
      <c r="O2" s="2" t="s">
        <v>56</v>
      </c>
      <c r="P2" s="2"/>
      <c r="Q2" s="2"/>
    </row>
    <row r="3" spans="1:47" ht="43.8" thickBot="1" x14ac:dyDescent="0.35">
      <c r="L3" s="208" t="s">
        <v>85</v>
      </c>
      <c r="M3" s="208"/>
      <c r="N3" s="209" t="s">
        <v>86</v>
      </c>
      <c r="O3" s="209" t="s">
        <v>86</v>
      </c>
      <c r="P3" s="1"/>
      <c r="Q3" s="1"/>
    </row>
    <row r="4" spans="1:47" ht="63.6" customHeight="1" thickBot="1" x14ac:dyDescent="0.35">
      <c r="A4" s="146" t="s">
        <v>95</v>
      </c>
      <c r="B4" s="147" t="s">
        <v>80</v>
      </c>
      <c r="C4" s="148" t="s">
        <v>81</v>
      </c>
      <c r="D4" s="149" t="s">
        <v>82</v>
      </c>
      <c r="E4" s="150" t="s">
        <v>57</v>
      </c>
      <c r="F4" s="151" t="s">
        <v>83</v>
      </c>
      <c r="G4" s="151" t="s">
        <v>84</v>
      </c>
      <c r="H4" s="152" t="s">
        <v>19</v>
      </c>
      <c r="I4" s="153" t="s">
        <v>20</v>
      </c>
      <c r="J4" s="153" t="s">
        <v>21</v>
      </c>
      <c r="K4" s="153" t="s">
        <v>22</v>
      </c>
      <c r="L4" s="154" t="s">
        <v>23</v>
      </c>
      <c r="M4" s="153" t="s">
        <v>24</v>
      </c>
      <c r="N4" s="155" t="s">
        <v>87</v>
      </c>
      <c r="O4" s="156" t="s">
        <v>26</v>
      </c>
      <c r="P4" s="153" t="s">
        <v>87</v>
      </c>
      <c r="Q4" s="153" t="s">
        <v>87</v>
      </c>
      <c r="R4" s="150" t="s">
        <v>88</v>
      </c>
      <c r="S4" s="151" t="s">
        <v>83</v>
      </c>
      <c r="T4" s="151" t="s">
        <v>84</v>
      </c>
      <c r="U4" s="152" t="s">
        <v>19</v>
      </c>
      <c r="V4" s="153" t="s">
        <v>20</v>
      </c>
      <c r="W4" s="153" t="s">
        <v>21</v>
      </c>
      <c r="X4" s="153" t="s">
        <v>22</v>
      </c>
      <c r="Y4" s="154" t="s">
        <v>23</v>
      </c>
      <c r="Z4" s="153" t="s">
        <v>24</v>
      </c>
      <c r="AA4" s="155" t="s">
        <v>87</v>
      </c>
      <c r="AB4" s="156" t="s">
        <v>26</v>
      </c>
      <c r="AE4" s="157" t="s">
        <v>89</v>
      </c>
      <c r="AF4" s="157" t="s">
        <v>118</v>
      </c>
      <c r="AG4" s="157" t="s">
        <v>104</v>
      </c>
      <c r="AH4" s="157" t="s">
        <v>117</v>
      </c>
      <c r="AI4" s="158"/>
      <c r="AJ4" s="158"/>
      <c r="AK4" s="157" t="s">
        <v>58</v>
      </c>
      <c r="AL4" s="157" t="s">
        <v>119</v>
      </c>
      <c r="AN4" s="159"/>
      <c r="AO4" s="160" t="s">
        <v>59</v>
      </c>
      <c r="AP4" s="161" t="s">
        <v>120</v>
      </c>
      <c r="AQ4" s="162" t="s">
        <v>120</v>
      </c>
      <c r="AS4" s="163" t="s">
        <v>117</v>
      </c>
      <c r="AT4" s="161"/>
      <c r="AU4" s="162"/>
    </row>
    <row r="5" spans="1:47" x14ac:dyDescent="0.3">
      <c r="A5" s="164">
        <v>1993</v>
      </c>
      <c r="B5" s="165">
        <f>COUNTIFS(RECAP_final!E:E,Tabs!A5)</f>
        <v>2</v>
      </c>
      <c r="C5" s="165">
        <f>COUNTIFS(RECAP_final!E:E,Tabs!A5,RECAP_final!I:I,1)</f>
        <v>1</v>
      </c>
      <c r="D5" s="166">
        <f>B5-C5</f>
        <v>1</v>
      </c>
      <c r="E5" s="87">
        <f>COUNTIFS(RECAP_final!$E:$E,$A5,RECAP_final!$Q:$Q,"Ano",RECAP_final!$I:$I,0)</f>
        <v>0</v>
      </c>
      <c r="F5" s="167" t="e">
        <f>AVERAGEIFS(RECAP_final!$F:$F,RECAP_final!$E:$E,$A5,RECAP_final!$I:$I,0,RECAP_final!$Q:$Q,"Ano")</f>
        <v>#DIV/0!</v>
      </c>
      <c r="G5" s="167" t="e">
        <f>AVERAGEIFS(RECAP_final!$AL:$AL,RECAP_final!$E:$E,$A5,RECAP_final!$I:$I,0,RECAP_final!$Q:$Q,"Ano")</f>
        <v>#DIV/0!</v>
      </c>
      <c r="H5" s="168" t="e">
        <f>AVERAGEIFS(RECAP_final!$AM:$AM,RECAP_final!$E:$E,$A5,RECAP_final!$I:$I,0,RECAP_final!$Q:$Q,"Ano")</f>
        <v>#DIV/0!</v>
      </c>
      <c r="I5" s="168" t="e">
        <f>AVERAGEIFS(RECAP_final!$AR:$AR,RECAP_final!$E:$E,$A5,RECAP_final!$I:$I,0,RECAP_final!$Q:$Q,"Ano")</f>
        <v>#DIV/0!</v>
      </c>
      <c r="J5" s="168" t="e">
        <f>AVERAGEIFS(RECAP_final!$AS:$AS,RECAP_final!$E:$E,$A5,RECAP_final!$I:$I,0,RECAP_final!$Q:$Q,"Ano")</f>
        <v>#DIV/0!</v>
      </c>
      <c r="K5" s="168" t="e">
        <f>AVERAGEIFS(RECAP_final!$AT:$AT,RECAP_final!$E:$E,$A5,RECAP_final!$I:$I,0,RECAP_final!$Q:$Q,"Ano")</f>
        <v>#DIV/0!</v>
      </c>
      <c r="L5" s="168" t="e">
        <f>AVERAGEIFS(RECAP_final!$AU:$AU,RECAP_final!$E:$E,$A5,RECAP_final!$I:$I,0,RECAP_final!$Q:$Q,"Ano")</f>
        <v>#DIV/0!</v>
      </c>
      <c r="M5" s="167" t="e">
        <f>AVERAGEIFS(RECAP_final!$AW:$AW,RECAP_final!$E:$E,$A5,RECAP_final!$I:$I,0,RECAP_final!$Q:$Q,"Ano")</f>
        <v>#DIV/0!</v>
      </c>
      <c r="N5" s="169" t="e">
        <f>AVERAGEIFS(RECAP_final!$AW:$AW,RECAP_final!$E:$E,$A5,RECAP_final!$I:$I,0,RECAP_final!$Q:$Q,"Ano")</f>
        <v>#DIV/0!</v>
      </c>
      <c r="O5" s="170" t="e">
        <f>AVERAGEIFS(RECAP_final!$AX:$AX,RECAP_final!$E:$E,$A5,RECAP_final!$I:$I,0,RECAP_final!$Q:$Q,"Ano")</f>
        <v>#DIV/0!</v>
      </c>
      <c r="P5" s="171" t="e">
        <f>AVERAGEIFS(RECAP_final!$AZ:$AZ,RECAP_final!$E:$E,$A5,RECAP_final!$I:$I,0,RECAP_final!$Q:$Q,"Ano")</f>
        <v>#DIV/0!</v>
      </c>
      <c r="Q5" s="171" t="str">
        <f>IFERROR(AVERAGEIFS(RECAP_final!$AZ:$AZ,RECAP_final!$E:$E,$A5,RECAP_final!$I:$I,0,RECAP_final!$Q:$Q,"Ne"),"")</f>
        <v/>
      </c>
      <c r="R5" s="87">
        <f>COUNTIFS(RECAP_final!$E:$E,$A5,RECAP_final!$Q:$Q,"Ne",RECAP_final!$I:$I,0)</f>
        <v>0</v>
      </c>
      <c r="S5" s="167" t="str">
        <f>IFERROR(AVERAGEIFS(RECAP_final!$F:$F,RECAP_final!$E:$E,$A5,RECAP_final!$I:$I,0,RECAP_final!$Q:$Q,"ne"),"")</f>
        <v/>
      </c>
      <c r="T5" s="167" t="str">
        <f>IFERROR(AVERAGEIFS(RECAP_final!$AL:$AL,RECAP_final!$E:$E,$A5,RECAP_final!$I:$I,0,RECAP_final!$Q:$Q,"Ne"),"")</f>
        <v/>
      </c>
      <c r="U5" s="168" t="str">
        <f>IFERROR(AVERAGEIFS(RECAP_final!$AM:$AM,RECAP_final!$E:$E,$A5,RECAP_final!$I:$I,0,RECAP_final!$Q:$Q,"Ne"),"")</f>
        <v/>
      </c>
      <c r="V5" s="168" t="str">
        <f>IFERROR(AVERAGEIFS(RECAP_final!$AR:$AR,RECAP_final!$E:$E,$A5,RECAP_final!$I:$I,0,RECAP_final!$Q:$Q,"Ne"),"")</f>
        <v/>
      </c>
      <c r="W5" s="168" t="str">
        <f>IFERROR(AVERAGEIFS(RECAP_final!$AS:$AS,RECAP_final!$E:$E,$A5,RECAP_final!$I:$I,0,RECAP_final!$Q:$Q,"Ne"),"")</f>
        <v/>
      </c>
      <c r="X5" s="168" t="str">
        <f>IFERROR(AVERAGEIFS(RECAP_final!$AT:$AT,RECAP_final!$E:$E,$A5,RECAP_final!$I:$I,0,RECAP_final!$Q:$Q,"Ne"),"")</f>
        <v/>
      </c>
      <c r="Y5" s="168" t="str">
        <f>IFERROR(AVERAGEIFS(RECAP_final!$AU:$AU,RECAP_final!$E:$E,$A5,RECAP_final!$I:$I,0,RECAP_final!$Q:$Q,"Ne"),"")</f>
        <v/>
      </c>
      <c r="Z5" s="167" t="str">
        <f>IFERROR(AVERAGEIFS(RECAP_final!$AV:$AV,RECAP_final!$E:$E,$A5,RECAP_final!$I:$I,0,RECAP_final!$Q:$Q,"Ne"),"")</f>
        <v/>
      </c>
      <c r="AA5" s="169" t="str">
        <f>IFERROR(AVERAGEIFS(RECAP_final!$AW:$AW,RECAP_final!$E:$E,$A5,RECAP_final!$I:$I,0,RECAP_final!$Q:$Q,"Ne"),"")</f>
        <v/>
      </c>
      <c r="AB5" s="170" t="str">
        <f>IFERROR(AVERAGEIFS(RECAP_final!$AX:$AX,RECAP_final!$E:$E,$A5,RECAP_final!$I:$I,0,RECAP_final!$Q:$Q,"Ne"),"")</f>
        <v/>
      </c>
      <c r="AC5" s="168" t="e">
        <f>AVERAGEIFS(RECAP_final!$BA:$BA,RECAP_final!$E:$E,$A5,RECAP_final!$I:$I,0,RECAP_final!$Q:$Q,"Ano")</f>
        <v>#DIV/0!</v>
      </c>
      <c r="AD5" s="168" t="str">
        <f>IFERROR(AVERAGEIFS(RECAP_final!$BA:$BA,RECAP_final!$E:$E,$A5,RECAP_final!$I:$I,0,RECAP_final!$Q:$Q,"Ne"),"")</f>
        <v/>
      </c>
      <c r="AE5" s="172" t="s">
        <v>27</v>
      </c>
      <c r="AF5" s="173" t="str">
        <f>VLOOKUP($AE5,RECAP_final!$B:$H,6,0)</f>
        <v>11.07</v>
      </c>
      <c r="AG5" s="158" t="str">
        <f>VLOOKUP($AE5,RECAP_final!$B:$H,7,0)</f>
        <v>Production of non-alcoholic beverages</v>
      </c>
      <c r="AH5" s="158" t="s">
        <v>136</v>
      </c>
      <c r="AI5" s="158"/>
      <c r="AJ5" s="158"/>
      <c r="AK5" s="158" t="s">
        <v>60</v>
      </c>
      <c r="AL5" s="173" t="s">
        <v>53</v>
      </c>
      <c r="AN5" s="174" t="s">
        <v>60</v>
      </c>
      <c r="AO5" s="175">
        <f>COUNTIFS(AK:AK,AN5)</f>
        <v>9</v>
      </c>
      <c r="AP5" s="176">
        <f>COUNTIFS(AK:AK,AN5,AL:AL,"Ano")</f>
        <v>7</v>
      </c>
      <c r="AQ5" s="177">
        <f>+AP5/$AP$9</f>
        <v>0.41176470588235292</v>
      </c>
      <c r="AS5" s="174" t="s">
        <v>136</v>
      </c>
      <c r="AT5" s="176">
        <f>COUNTIFS(AH:AH,AS5)</f>
        <v>7</v>
      </c>
      <c r="AU5" s="177">
        <f>+AT5/$AT$9</f>
        <v>0.58333333333333337</v>
      </c>
    </row>
    <row r="6" spans="1:47" x14ac:dyDescent="0.3">
      <c r="A6" s="164">
        <f t="shared" ref="A6:A31" si="0">+A5+1</f>
        <v>1994</v>
      </c>
      <c r="B6" s="165">
        <f>COUNTIFS(RECAP_final!E:E,Tabs!A6)</f>
        <v>2</v>
      </c>
      <c r="C6" s="165">
        <f>COUNTIFS(RECAP_final!E:E,Tabs!A6,RECAP_final!I:I,1)</f>
        <v>0</v>
      </c>
      <c r="D6" s="166">
        <f t="shared" ref="D6:D31" si="1">B6-C6</f>
        <v>2</v>
      </c>
      <c r="E6" s="87">
        <f>COUNTIFS(RECAP_final!$E:$E,$A6,RECAP_final!$Q:$Q,"Ano",RECAP_final!$I:$I,0)</f>
        <v>0</v>
      </c>
      <c r="F6" s="167" t="e">
        <f>AVERAGEIFS(RECAP_final!$F:$F,RECAP_final!$E:$E,$A6,RECAP_final!$I:$I,0,RECAP_final!$Q:$Q,"Ano")</f>
        <v>#DIV/0!</v>
      </c>
      <c r="G6" s="167" t="e">
        <f>AVERAGEIFS(RECAP_final!$AL:$AL,RECAP_final!$E:$E,$A6,RECAP_final!$I:$I,0,RECAP_final!$Q:$Q,"Ano")</f>
        <v>#DIV/0!</v>
      </c>
      <c r="H6" s="168" t="e">
        <f>AVERAGEIFS(RECAP_final!$AM:$AM,RECAP_final!$E:$E,$A6,RECAP_final!$I:$I,0,RECAP_final!$Q:$Q,"Ano")</f>
        <v>#DIV/0!</v>
      </c>
      <c r="I6" s="168" t="e">
        <f>AVERAGEIFS(RECAP_final!$AR:$AR,RECAP_final!$E:$E,$A6,RECAP_final!$I:$I,0,RECAP_final!$Q:$Q,"Ano")</f>
        <v>#DIV/0!</v>
      </c>
      <c r="J6" s="168" t="e">
        <f>AVERAGEIFS(RECAP_final!$AS:$AS,RECAP_final!$E:$E,$A6,RECAP_final!$I:$I,0,RECAP_final!$Q:$Q,"Ano")</f>
        <v>#DIV/0!</v>
      </c>
      <c r="K6" s="168" t="e">
        <f>AVERAGEIFS(RECAP_final!$AT:$AT,RECAP_final!$E:$E,$A6,RECAP_final!$I:$I,0,RECAP_final!$Q:$Q,"Ano")</f>
        <v>#DIV/0!</v>
      </c>
      <c r="L6" s="168" t="e">
        <f>AVERAGEIFS(RECAP_final!$AU:$AU,RECAP_final!$E:$E,$A6,RECAP_final!$I:$I,0,RECAP_final!$Q:$Q,"Ano")</f>
        <v>#DIV/0!</v>
      </c>
      <c r="M6" s="167" t="e">
        <f>AVERAGEIFS(RECAP_final!$AW:$AW,RECAP_final!$E:$E,$A6,RECAP_final!$I:$I,0,RECAP_final!$Q:$Q,"Ano")</f>
        <v>#DIV/0!</v>
      </c>
      <c r="N6" s="169" t="e">
        <f>AVERAGEIFS(RECAP_final!$AW:$AW,RECAP_final!$E:$E,$A6,RECAP_final!$I:$I,0,RECAP_final!$Q:$Q,"Ano")</f>
        <v>#DIV/0!</v>
      </c>
      <c r="O6" s="170" t="e">
        <f>AVERAGEIFS(RECAP_final!$AX:$AX,RECAP_final!$E:$E,$A6,RECAP_final!$I:$I,0,RECAP_final!$Q:$Q,"Ano")</f>
        <v>#DIV/0!</v>
      </c>
      <c r="P6" s="171" t="e">
        <f>AVERAGEIFS(RECAP_final!$AZ:$AZ,RECAP_final!$E:$E,$A6,RECAP_final!$I:$I,0,RECAP_final!$Q:$Q,"Ano")</f>
        <v>#DIV/0!</v>
      </c>
      <c r="Q6" s="171" t="str">
        <f>IFERROR(AVERAGEIFS(RECAP_final!$AZ:$AZ,RECAP_final!$E:$E,$A6,RECAP_final!$I:$I,0,RECAP_final!$Q:$Q,"Ne"),"")</f>
        <v/>
      </c>
      <c r="R6" s="87">
        <f>COUNTIFS(RECAP_final!$E:$E,$A6,RECAP_final!$Q:$Q,"Ne",RECAP_final!$I:$I,0)</f>
        <v>0</v>
      </c>
      <c r="S6" s="167" t="str">
        <f>IFERROR(AVERAGEIFS(RECAP_final!$F:$F,RECAP_final!$E:$E,$A6,RECAP_final!$I:$I,0,RECAP_final!$Q:$Q,"ne"),"")</f>
        <v/>
      </c>
      <c r="T6" s="167" t="str">
        <f>IFERROR(AVERAGEIFS(RECAP_final!$AL:$AL,RECAP_final!$E:$E,$A6,RECAP_final!$I:$I,0,RECAP_final!$Q:$Q,"Ne"),"")</f>
        <v/>
      </c>
      <c r="U6" s="168" t="str">
        <f>IFERROR(AVERAGEIFS(RECAP_final!$AM:$AM,RECAP_final!$E:$E,$A6,RECAP_final!$I:$I,0,RECAP_final!$Q:$Q,"Ne"),"")</f>
        <v/>
      </c>
      <c r="V6" s="168" t="str">
        <f>IFERROR(AVERAGEIFS(RECAP_final!$AR:$AR,RECAP_final!$E:$E,$A6,RECAP_final!$I:$I,0,RECAP_final!$Q:$Q,"Ne"),"")</f>
        <v/>
      </c>
      <c r="W6" s="168" t="str">
        <f>IFERROR(AVERAGEIFS(RECAP_final!$AS:$AS,RECAP_final!$E:$E,$A6,RECAP_final!$I:$I,0,RECAP_final!$Q:$Q,"Ne"),"")</f>
        <v/>
      </c>
      <c r="X6" s="168" t="str">
        <f>IFERROR(AVERAGEIFS(RECAP_final!$AT:$AT,RECAP_final!$E:$E,$A6,RECAP_final!$I:$I,0,RECAP_final!$Q:$Q,"Ne"),"")</f>
        <v/>
      </c>
      <c r="Y6" s="168" t="str">
        <f>IFERROR(AVERAGEIFS(RECAP_final!$AU:$AU,RECAP_final!$E:$E,$A6,RECAP_final!$I:$I,0,RECAP_final!$Q:$Q,"Ne"),"")</f>
        <v/>
      </c>
      <c r="Z6" s="167" t="str">
        <f>IFERROR(AVERAGEIFS(RECAP_final!$AV:$AV,RECAP_final!$E:$E,$A6,RECAP_final!$I:$I,0,RECAP_final!$Q:$Q,"Ne"),"")</f>
        <v/>
      </c>
      <c r="AA6" s="169" t="str">
        <f>IFERROR(AVERAGEIFS(RECAP_final!$AW:$AW,RECAP_final!$E:$E,$A6,RECAP_final!$I:$I,0,RECAP_final!$Q:$Q,"Ne"),"")</f>
        <v/>
      </c>
      <c r="AB6" s="170" t="str">
        <f>IFERROR(AVERAGEIFS(RECAP_final!$AX:$AX,RECAP_final!$E:$E,$A6,RECAP_final!$I:$I,0,RECAP_final!$Q:$Q,"Ne"),"")</f>
        <v/>
      </c>
      <c r="AC6" s="168" t="e">
        <f>AVERAGEIFS(RECAP_final!$BA:$BA,RECAP_final!$E:$E,$A6,RECAP_final!$I:$I,0,RECAP_final!$Q:$Q,"Ano")</f>
        <v>#DIV/0!</v>
      </c>
      <c r="AD6" s="168" t="str">
        <f>IFERROR(AVERAGEIFS(RECAP_final!$BA:$BA,RECAP_final!$E:$E,$A6,RECAP_final!$I:$I,0,RECAP_final!$Q:$Q,"Ne"),"")</f>
        <v/>
      </c>
      <c r="AE6" s="172" t="s">
        <v>29</v>
      </c>
      <c r="AF6" s="173" t="str">
        <f>VLOOKUP($AE6,RECAP_final!$B:$H,6,0)</f>
        <v>58.29</v>
      </c>
      <c r="AG6" s="158" t="str">
        <f>VLOOKUP($AE6,RECAP_final!$B:$H,7,0)</f>
        <v>Other software releases</v>
      </c>
      <c r="AH6" s="158" t="s">
        <v>137</v>
      </c>
      <c r="AI6" s="158"/>
      <c r="AJ6" s="158"/>
      <c r="AK6" s="158" t="s">
        <v>61</v>
      </c>
      <c r="AL6" s="173" t="s">
        <v>53</v>
      </c>
      <c r="AN6" s="178" t="s">
        <v>61</v>
      </c>
      <c r="AO6" s="179">
        <f>COUNTIFS(AK:AK,AN6)</f>
        <v>3</v>
      </c>
      <c r="AP6" s="158">
        <f>COUNTIFS(AK:AK,AN6,AL:AL,"Ano")</f>
        <v>3</v>
      </c>
      <c r="AQ6" s="180">
        <f>+AP6/$AP$9</f>
        <v>0.17647058823529413</v>
      </c>
      <c r="AS6" s="178" t="s">
        <v>139</v>
      </c>
      <c r="AT6" s="158">
        <f>COUNTIFS(AH:AH,AS6)</f>
        <v>0</v>
      </c>
      <c r="AU6" s="177">
        <f>+AT6/$AT$9</f>
        <v>0</v>
      </c>
    </row>
    <row r="7" spans="1:47" x14ac:dyDescent="0.3">
      <c r="A7" s="164">
        <f t="shared" si="0"/>
        <v>1995</v>
      </c>
      <c r="B7" s="165">
        <f>COUNTIFS(RECAP_final!E:E,Tabs!A7)</f>
        <v>3</v>
      </c>
      <c r="C7" s="165">
        <f>COUNTIFS(RECAP_final!E:E,Tabs!A7,RECAP_final!I:I,1)</f>
        <v>1</v>
      </c>
      <c r="D7" s="166">
        <f t="shared" si="1"/>
        <v>2</v>
      </c>
      <c r="E7" s="87">
        <f>COUNTIFS(RECAP_final!$E:$E,$A7,RECAP_final!$Q:$Q,"Ano",RECAP_final!$I:$I,0)</f>
        <v>0</v>
      </c>
      <c r="F7" s="167" t="e">
        <f>AVERAGEIFS(RECAP_final!$F:$F,RECAP_final!$E:$E,$A7,RECAP_final!$I:$I,0,RECAP_final!$Q:$Q,"Ano")</f>
        <v>#DIV/0!</v>
      </c>
      <c r="G7" s="167" t="e">
        <f>AVERAGEIFS(RECAP_final!$AL:$AL,RECAP_final!$E:$E,$A7,RECAP_final!$I:$I,0,RECAP_final!$Q:$Q,"Ano")</f>
        <v>#DIV/0!</v>
      </c>
      <c r="H7" s="168" t="e">
        <f>AVERAGEIFS(RECAP_final!$AM:$AM,RECAP_final!$E:$E,$A7,RECAP_final!$I:$I,0,RECAP_final!$Q:$Q,"Ano")</f>
        <v>#DIV/0!</v>
      </c>
      <c r="I7" s="168" t="e">
        <f>AVERAGEIFS(RECAP_final!$AR:$AR,RECAP_final!$E:$E,$A7,RECAP_final!$I:$I,0,RECAP_final!$Q:$Q,"Ano")</f>
        <v>#DIV/0!</v>
      </c>
      <c r="J7" s="168" t="e">
        <f>AVERAGEIFS(RECAP_final!$AS:$AS,RECAP_final!$E:$E,$A7,RECAP_final!$I:$I,0,RECAP_final!$Q:$Q,"Ano")</f>
        <v>#DIV/0!</v>
      </c>
      <c r="K7" s="168" t="e">
        <f>AVERAGEIFS(RECAP_final!$AT:$AT,RECAP_final!$E:$E,$A7,RECAP_final!$I:$I,0,RECAP_final!$Q:$Q,"Ano")</f>
        <v>#DIV/0!</v>
      </c>
      <c r="L7" s="168" t="e">
        <f>AVERAGEIFS(RECAP_final!$AU:$AU,RECAP_final!$E:$E,$A7,RECAP_final!$I:$I,0,RECAP_final!$Q:$Q,"Ano")</f>
        <v>#DIV/0!</v>
      </c>
      <c r="M7" s="167" t="e">
        <f>AVERAGEIFS(RECAP_final!$AW:$AW,RECAP_final!$E:$E,$A7,RECAP_final!$I:$I,0,RECAP_final!$Q:$Q,"Ano")</f>
        <v>#DIV/0!</v>
      </c>
      <c r="N7" s="169" t="e">
        <f>AVERAGEIFS(RECAP_final!$AW:$AW,RECAP_final!$E:$E,$A7,RECAP_final!$I:$I,0,RECAP_final!$Q:$Q,"Ano")</f>
        <v>#DIV/0!</v>
      </c>
      <c r="O7" s="170" t="e">
        <f>AVERAGEIFS(RECAP_final!$AX:$AX,RECAP_final!$E:$E,$A7,RECAP_final!$I:$I,0,RECAP_final!$Q:$Q,"Ano")</f>
        <v>#DIV/0!</v>
      </c>
      <c r="P7" s="171" t="e">
        <f>AVERAGEIFS(RECAP_final!$AZ:$AZ,RECAP_final!$E:$E,$A7,RECAP_final!$I:$I,0,RECAP_final!$Q:$Q,"Ano")</f>
        <v>#DIV/0!</v>
      </c>
      <c r="Q7" s="171" t="str">
        <f>IFERROR(AVERAGEIFS(RECAP_final!$AZ:$AZ,RECAP_final!$E:$E,$A7,RECAP_final!$I:$I,0,RECAP_final!$Q:$Q,"Ne"),"")</f>
        <v/>
      </c>
      <c r="R7" s="87">
        <f>COUNTIFS(RECAP_final!$E:$E,$A7,RECAP_final!$Q:$Q,"Ne",RECAP_final!$I:$I,0)</f>
        <v>0</v>
      </c>
      <c r="S7" s="167" t="str">
        <f>IFERROR(AVERAGEIFS(RECAP_final!$F:$F,RECAP_final!$E:$E,$A7,RECAP_final!$I:$I,0,RECAP_final!$Q:$Q,"ne"),"")</f>
        <v/>
      </c>
      <c r="T7" s="167" t="str">
        <f>IFERROR(AVERAGEIFS(RECAP_final!$AL:$AL,RECAP_final!$E:$E,$A7,RECAP_final!$I:$I,0,RECAP_final!$Q:$Q,"Ne"),"")</f>
        <v/>
      </c>
      <c r="U7" s="168" t="str">
        <f>IFERROR(AVERAGEIFS(RECAP_final!$AM:$AM,RECAP_final!$E:$E,$A7,RECAP_final!$I:$I,0,RECAP_final!$Q:$Q,"Ne"),"")</f>
        <v/>
      </c>
      <c r="V7" s="168" t="str">
        <f>IFERROR(AVERAGEIFS(RECAP_final!$AR:$AR,RECAP_final!$E:$E,$A7,RECAP_final!$I:$I,0,RECAP_final!$Q:$Q,"Ne"),"")</f>
        <v/>
      </c>
      <c r="W7" s="168" t="str">
        <f>IFERROR(AVERAGEIFS(RECAP_final!$AS:$AS,RECAP_final!$E:$E,$A7,RECAP_final!$I:$I,0,RECAP_final!$Q:$Q,"Ne"),"")</f>
        <v/>
      </c>
      <c r="X7" s="168" t="str">
        <f>IFERROR(AVERAGEIFS(RECAP_final!$AT:$AT,RECAP_final!$E:$E,$A7,RECAP_final!$I:$I,0,RECAP_final!$Q:$Q,"Ne"),"")</f>
        <v/>
      </c>
      <c r="Y7" s="168" t="str">
        <f>IFERROR(AVERAGEIFS(RECAP_final!$AU:$AU,RECAP_final!$E:$E,$A7,RECAP_final!$I:$I,0,RECAP_final!$Q:$Q,"Ne"),"")</f>
        <v/>
      </c>
      <c r="Z7" s="167" t="str">
        <f>IFERROR(AVERAGEIFS(RECAP_final!$AV:$AV,RECAP_final!$E:$E,$A7,RECAP_final!$I:$I,0,RECAP_final!$Q:$Q,"Ne"),"")</f>
        <v/>
      </c>
      <c r="AA7" s="169" t="str">
        <f>IFERROR(AVERAGEIFS(RECAP_final!$AW:$AW,RECAP_final!$E:$E,$A7,RECAP_final!$I:$I,0,RECAP_final!$Q:$Q,"Ne"),"")</f>
        <v/>
      </c>
      <c r="AB7" s="170" t="str">
        <f>IFERROR(AVERAGEIFS(RECAP_final!$AX:$AX,RECAP_final!$E:$E,$A7,RECAP_final!$I:$I,0,RECAP_final!$Q:$Q,"Ne"),"")</f>
        <v/>
      </c>
      <c r="AC7" s="168" t="e">
        <f>AVERAGEIFS(RECAP_final!$BA:$BA,RECAP_final!$E:$E,$A7,RECAP_final!$I:$I,0,RECAP_final!$Q:$Q,"Ano")</f>
        <v>#DIV/0!</v>
      </c>
      <c r="AD7" s="168" t="str">
        <f>IFERROR(AVERAGEIFS(RECAP_final!$BA:$BA,RECAP_final!$E:$E,$A7,RECAP_final!$I:$I,0,RECAP_final!$Q:$Q,"Ne"),"")</f>
        <v/>
      </c>
      <c r="AE7" s="172" t="s">
        <v>31</v>
      </c>
      <c r="AF7" s="173" t="str">
        <f>VLOOKUP($AE7,RECAP_final!$B:$H,6,0)</f>
        <v>35.11</v>
      </c>
      <c r="AG7" s="158" t="str">
        <f>VLOOKUP($AE7,RECAP_final!$B:$H,7,0)</f>
        <v>Electricity production</v>
      </c>
      <c r="AH7" s="158" t="s">
        <v>136</v>
      </c>
      <c r="AI7" s="158"/>
      <c r="AJ7" s="158"/>
      <c r="AK7" s="158" t="s">
        <v>60</v>
      </c>
      <c r="AL7" s="173" t="s">
        <v>53</v>
      </c>
      <c r="AN7" s="178" t="s">
        <v>62</v>
      </c>
      <c r="AO7" s="179">
        <f>COUNTIFS(AK:AK,AN7)</f>
        <v>8</v>
      </c>
      <c r="AP7" s="158">
        <f>COUNTIFS(AK:AK,AN7,AL:AL,"Ano")</f>
        <v>6</v>
      </c>
      <c r="AQ7" s="180">
        <f>+AP7/$AP$9</f>
        <v>0.35294117647058826</v>
      </c>
      <c r="AS7" s="178" t="s">
        <v>138</v>
      </c>
      <c r="AT7" s="158">
        <f>COUNTIFS(AH:AH,AS7)</f>
        <v>5</v>
      </c>
      <c r="AU7" s="177">
        <f>+AT7/$AT$9</f>
        <v>0.41666666666666669</v>
      </c>
    </row>
    <row r="8" spans="1:47" ht="15" thickBot="1" x14ac:dyDescent="0.35">
      <c r="A8" s="164">
        <f t="shared" si="0"/>
        <v>1996</v>
      </c>
      <c r="B8" s="165">
        <f>COUNTIFS(RECAP_final!E:E,Tabs!A8)</f>
        <v>3</v>
      </c>
      <c r="C8" s="165">
        <f>COUNTIFS(RECAP_final!E:E,Tabs!A8,RECAP_final!I:I,1)</f>
        <v>2</v>
      </c>
      <c r="D8" s="166">
        <f t="shared" si="1"/>
        <v>1</v>
      </c>
      <c r="E8" s="87">
        <f>COUNTIFS(RECAP_final!$E:$E,$A8,RECAP_final!$Q:$Q,"Ano",RECAP_final!$I:$I,0)</f>
        <v>0</v>
      </c>
      <c r="F8" s="167" t="e">
        <f>AVERAGEIFS(RECAP_final!$F:$F,RECAP_final!$E:$E,$A8,RECAP_final!$I:$I,0,RECAP_final!$Q:$Q,"Ano")</f>
        <v>#DIV/0!</v>
      </c>
      <c r="G8" s="167" t="e">
        <f>AVERAGEIFS(RECAP_final!$AL:$AL,RECAP_final!$E:$E,$A8,RECAP_final!$I:$I,0,RECAP_final!$Q:$Q,"Ano")</f>
        <v>#DIV/0!</v>
      </c>
      <c r="H8" s="168" t="e">
        <f>AVERAGEIFS(RECAP_final!$AM:$AM,RECAP_final!$E:$E,$A8,RECAP_final!$I:$I,0,RECAP_final!$Q:$Q,"Ano")</f>
        <v>#DIV/0!</v>
      </c>
      <c r="I8" s="168" t="e">
        <f>AVERAGEIFS(RECAP_final!$AR:$AR,RECAP_final!$E:$E,$A8,RECAP_final!$I:$I,0,RECAP_final!$Q:$Q,"Ano")</f>
        <v>#DIV/0!</v>
      </c>
      <c r="J8" s="168" t="e">
        <f>AVERAGEIFS(RECAP_final!$AS:$AS,RECAP_final!$E:$E,$A8,RECAP_final!$I:$I,0,RECAP_final!$Q:$Q,"Ano")</f>
        <v>#DIV/0!</v>
      </c>
      <c r="K8" s="168" t="e">
        <f>AVERAGEIFS(RECAP_final!$AT:$AT,RECAP_final!$E:$E,$A8,RECAP_final!$I:$I,0,RECAP_final!$Q:$Q,"Ano")</f>
        <v>#DIV/0!</v>
      </c>
      <c r="L8" s="168" t="e">
        <f>AVERAGEIFS(RECAP_final!$AU:$AU,RECAP_final!$E:$E,$A8,RECAP_final!$I:$I,0,RECAP_final!$Q:$Q,"Ano")</f>
        <v>#DIV/0!</v>
      </c>
      <c r="M8" s="167" t="e">
        <f>AVERAGEIFS(RECAP_final!$AW:$AW,RECAP_final!$E:$E,$A8,RECAP_final!$I:$I,0,RECAP_final!$Q:$Q,"Ano")</f>
        <v>#DIV/0!</v>
      </c>
      <c r="N8" s="169" t="e">
        <f>AVERAGEIFS(RECAP_final!$AW:$AW,RECAP_final!$E:$E,$A8,RECAP_final!$I:$I,0,RECAP_final!$Q:$Q,"Ano")</f>
        <v>#DIV/0!</v>
      </c>
      <c r="O8" s="170" t="e">
        <f>AVERAGEIFS(RECAP_final!$AX:$AX,RECAP_final!$E:$E,$A8,RECAP_final!$I:$I,0,RECAP_final!$Q:$Q,"Ano")</f>
        <v>#DIV/0!</v>
      </c>
      <c r="P8" s="171" t="e">
        <f>AVERAGEIFS(RECAP_final!$AZ:$AZ,RECAP_final!$E:$E,$A8,RECAP_final!$I:$I,0,RECAP_final!$Q:$Q,"Ano")</f>
        <v>#DIV/0!</v>
      </c>
      <c r="Q8" s="171" t="str">
        <f>IFERROR(AVERAGEIFS(RECAP_final!$AZ:$AZ,RECAP_final!$E:$E,$A8,RECAP_final!$I:$I,0,RECAP_final!$Q:$Q,"Ne"),"")</f>
        <v/>
      </c>
      <c r="R8" s="87">
        <f>COUNTIFS(RECAP_final!$E:$E,$A8,RECAP_final!$Q:$Q,"Ne",RECAP_final!$I:$I,0)</f>
        <v>0</v>
      </c>
      <c r="S8" s="167" t="str">
        <f>IFERROR(AVERAGEIFS(RECAP_final!$F:$F,RECAP_final!$E:$E,$A8,RECAP_final!$I:$I,0,RECAP_final!$Q:$Q,"ne"),"")</f>
        <v/>
      </c>
      <c r="T8" s="167" t="str">
        <f>IFERROR(AVERAGEIFS(RECAP_final!$AL:$AL,RECAP_final!$E:$E,$A8,RECAP_final!$I:$I,0,RECAP_final!$Q:$Q,"Ne"),"")</f>
        <v/>
      </c>
      <c r="U8" s="168" t="str">
        <f>IFERROR(AVERAGEIFS(RECAP_final!$AM:$AM,RECAP_final!$E:$E,$A8,RECAP_final!$I:$I,0,RECAP_final!$Q:$Q,"Ne"),"")</f>
        <v/>
      </c>
      <c r="V8" s="168" t="str">
        <f>IFERROR(AVERAGEIFS(RECAP_final!$AR:$AR,RECAP_final!$E:$E,$A8,RECAP_final!$I:$I,0,RECAP_final!$Q:$Q,"Ne"),"")</f>
        <v/>
      </c>
      <c r="W8" s="168" t="str">
        <f>IFERROR(AVERAGEIFS(RECAP_final!$AS:$AS,RECAP_final!$E:$E,$A8,RECAP_final!$I:$I,0,RECAP_final!$Q:$Q,"Ne"),"")</f>
        <v/>
      </c>
      <c r="X8" s="168" t="str">
        <f>IFERROR(AVERAGEIFS(RECAP_final!$AT:$AT,RECAP_final!$E:$E,$A8,RECAP_final!$I:$I,0,RECAP_final!$Q:$Q,"Ne"),"")</f>
        <v/>
      </c>
      <c r="Y8" s="168" t="str">
        <f>IFERROR(AVERAGEIFS(RECAP_final!$AU:$AU,RECAP_final!$E:$E,$A8,RECAP_final!$I:$I,0,RECAP_final!$Q:$Q,"Ne"),"")</f>
        <v/>
      </c>
      <c r="Z8" s="167" t="str">
        <f>IFERROR(AVERAGEIFS(RECAP_final!$AV:$AV,RECAP_final!$E:$E,$A8,RECAP_final!$I:$I,0,RECAP_final!$Q:$Q,"Ne"),"")</f>
        <v/>
      </c>
      <c r="AA8" s="169" t="str">
        <f>IFERROR(AVERAGEIFS(RECAP_final!$AW:$AW,RECAP_final!$E:$E,$A8,RECAP_final!$I:$I,0,RECAP_final!$Q:$Q,"Ne"),"")</f>
        <v/>
      </c>
      <c r="AB8" s="170" t="str">
        <f>IFERROR(AVERAGEIFS(RECAP_final!$AX:$AX,RECAP_final!$E:$E,$A8,RECAP_final!$I:$I,0,RECAP_final!$Q:$Q,"Ne"),"")</f>
        <v/>
      </c>
      <c r="AC8" s="168" t="e">
        <f>AVERAGEIFS(RECAP_final!$BA:$BA,RECAP_final!$E:$E,$A8,RECAP_final!$I:$I,0,RECAP_final!$Q:$Q,"Ano")</f>
        <v>#DIV/0!</v>
      </c>
      <c r="AD8" s="168" t="str">
        <f>IFERROR(AVERAGEIFS(RECAP_final!$BA:$BA,RECAP_final!$E:$E,$A8,RECAP_final!$I:$I,0,RECAP_final!$Q:$Q,"Ne"),"")</f>
        <v/>
      </c>
      <c r="AE8" s="172" t="s">
        <v>33</v>
      </c>
      <c r="AF8" s="173" t="str">
        <f>VLOOKUP($AE8,RECAP_final!$B:$H,6,0)</f>
        <v>64.19</v>
      </c>
      <c r="AG8" s="158" t="str">
        <f>VLOOKUP($AE8,RECAP_final!$B:$H,7,0)</f>
        <v>Other monetary intermediation</v>
      </c>
      <c r="AH8" s="158" t="s">
        <v>137</v>
      </c>
      <c r="AI8" s="158"/>
      <c r="AJ8" s="158"/>
      <c r="AK8" s="158" t="s">
        <v>60</v>
      </c>
      <c r="AL8" s="173" t="s">
        <v>53</v>
      </c>
      <c r="AN8" s="181" t="s">
        <v>63</v>
      </c>
      <c r="AO8" s="182">
        <f>COUNTIFS(AK:AK,AN8)</f>
        <v>1</v>
      </c>
      <c r="AP8" s="183">
        <f>COUNTIFS(AK:AK,AN8,AL:AL,"Ano")</f>
        <v>1</v>
      </c>
      <c r="AQ8" s="184">
        <f>+AP8/$AP$9</f>
        <v>5.8823529411764705E-2</v>
      </c>
      <c r="AS8" s="181" t="s">
        <v>140</v>
      </c>
      <c r="AT8" s="183">
        <f>COUNTIFS(AH:AH,AS8)</f>
        <v>0</v>
      </c>
      <c r="AU8" s="177">
        <f>+AT8/$AT$9</f>
        <v>0</v>
      </c>
    </row>
    <row r="9" spans="1:47" ht="15" thickBot="1" x14ac:dyDescent="0.35">
      <c r="A9" s="164">
        <f t="shared" si="0"/>
        <v>1997</v>
      </c>
      <c r="B9" s="165">
        <f>COUNTIFS(RECAP_final!E:E,Tabs!A9)</f>
        <v>3</v>
      </c>
      <c r="C9" s="165">
        <f>COUNTIFS(RECAP_final!E:E,Tabs!A9,RECAP_final!I:I,1)</f>
        <v>1</v>
      </c>
      <c r="D9" s="166">
        <f t="shared" si="1"/>
        <v>2</v>
      </c>
      <c r="E9" s="87">
        <f>COUNTIFS(RECAP_final!$E:$E,$A9,RECAP_final!$Q:$Q,"Ano",RECAP_final!$I:$I,0)</f>
        <v>0</v>
      </c>
      <c r="F9" s="167" t="e">
        <f>AVERAGEIFS(RECAP_final!$F:$F,RECAP_final!$E:$E,$A9,RECAP_final!$I:$I,0,RECAP_final!$Q:$Q,"Ano")</f>
        <v>#DIV/0!</v>
      </c>
      <c r="G9" s="167" t="e">
        <f>AVERAGEIFS(RECAP_final!$AL:$AL,RECAP_final!$E:$E,$A9,RECAP_final!$I:$I,0,RECAP_final!$Q:$Q,"Ano")</f>
        <v>#DIV/0!</v>
      </c>
      <c r="H9" s="168" t="e">
        <f>AVERAGEIFS(RECAP_final!$AM:$AM,RECAP_final!$E:$E,$A9,RECAP_final!$I:$I,0,RECAP_final!$Q:$Q,"Ano")</f>
        <v>#DIV/0!</v>
      </c>
      <c r="I9" s="168" t="e">
        <f>AVERAGEIFS(RECAP_final!$AR:$AR,RECAP_final!$E:$E,$A9,RECAP_final!$I:$I,0,RECAP_final!$Q:$Q,"Ano")</f>
        <v>#DIV/0!</v>
      </c>
      <c r="J9" s="168" t="e">
        <f>AVERAGEIFS(RECAP_final!$AS:$AS,RECAP_final!$E:$E,$A9,RECAP_final!$I:$I,0,RECAP_final!$Q:$Q,"Ano")</f>
        <v>#DIV/0!</v>
      </c>
      <c r="K9" s="168" t="e">
        <f>AVERAGEIFS(RECAP_final!$AT:$AT,RECAP_final!$E:$E,$A9,RECAP_final!$I:$I,0,RECAP_final!$Q:$Q,"Ano")</f>
        <v>#DIV/0!</v>
      </c>
      <c r="L9" s="168" t="e">
        <f>AVERAGEIFS(RECAP_final!$AU:$AU,RECAP_final!$E:$E,$A9,RECAP_final!$I:$I,0,RECAP_final!$Q:$Q,"Ano")</f>
        <v>#DIV/0!</v>
      </c>
      <c r="M9" s="167" t="e">
        <f>AVERAGEIFS(RECAP_final!$AW:$AW,RECAP_final!$E:$E,$A9,RECAP_final!$I:$I,0,RECAP_final!$Q:$Q,"Ano")</f>
        <v>#DIV/0!</v>
      </c>
      <c r="N9" s="169" t="e">
        <f>AVERAGEIFS(RECAP_final!$AW:$AW,RECAP_final!$E:$E,$A9,RECAP_final!$I:$I,0,RECAP_final!$Q:$Q,"Ano")</f>
        <v>#DIV/0!</v>
      </c>
      <c r="O9" s="170" t="e">
        <f>AVERAGEIFS(RECAP_final!$AX:$AX,RECAP_final!$E:$E,$A9,RECAP_final!$I:$I,0,RECAP_final!$Q:$Q,"Ano")</f>
        <v>#DIV/0!</v>
      </c>
      <c r="P9" s="171" t="e">
        <f>AVERAGEIFS(RECAP_final!$AZ:$AZ,RECAP_final!$E:$E,$A9,RECAP_final!$I:$I,0,RECAP_final!$Q:$Q,"Ano")</f>
        <v>#DIV/0!</v>
      </c>
      <c r="Q9" s="171" t="str">
        <f>IFERROR(AVERAGEIFS(RECAP_final!$AZ:$AZ,RECAP_final!$E:$E,$A9,RECAP_final!$I:$I,0,RECAP_final!$Q:$Q,"Ne"),"")</f>
        <v/>
      </c>
      <c r="R9" s="87">
        <f>COUNTIFS(RECAP_final!$E:$E,$A9,RECAP_final!$Q:$Q,"Ne",RECAP_final!$I:$I,0)</f>
        <v>0</v>
      </c>
      <c r="S9" s="167" t="str">
        <f>IFERROR(AVERAGEIFS(RECAP_final!$F:$F,RECAP_final!$E:$E,$A9,RECAP_final!$I:$I,0,RECAP_final!$Q:$Q,"ne"),"")</f>
        <v/>
      </c>
      <c r="T9" s="167" t="str">
        <f>IFERROR(AVERAGEIFS(RECAP_final!$AL:$AL,RECAP_final!$E:$E,$A9,RECAP_final!$I:$I,0,RECAP_final!$Q:$Q,"Ne"),"")</f>
        <v/>
      </c>
      <c r="U9" s="168" t="str">
        <f>IFERROR(AVERAGEIFS(RECAP_final!$AM:$AM,RECAP_final!$E:$E,$A9,RECAP_final!$I:$I,0,RECAP_final!$Q:$Q,"Ne"),"")</f>
        <v/>
      </c>
      <c r="V9" s="168" t="str">
        <f>IFERROR(AVERAGEIFS(RECAP_final!$AR:$AR,RECAP_final!$E:$E,$A9,RECAP_final!$I:$I,0,RECAP_final!$Q:$Q,"Ne"),"")</f>
        <v/>
      </c>
      <c r="W9" s="168" t="str">
        <f>IFERROR(AVERAGEIFS(RECAP_final!$AS:$AS,RECAP_final!$E:$E,$A9,RECAP_final!$I:$I,0,RECAP_final!$Q:$Q,"Ne"),"")</f>
        <v/>
      </c>
      <c r="X9" s="168" t="str">
        <f>IFERROR(AVERAGEIFS(RECAP_final!$AT:$AT,RECAP_final!$E:$E,$A9,RECAP_final!$I:$I,0,RECAP_final!$Q:$Q,"Ne"),"")</f>
        <v/>
      </c>
      <c r="Y9" s="168" t="str">
        <f>IFERROR(AVERAGEIFS(RECAP_final!$AU:$AU,RECAP_final!$E:$E,$A9,RECAP_final!$I:$I,0,RECAP_final!$Q:$Q,"Ne"),"")</f>
        <v/>
      </c>
      <c r="Z9" s="167" t="str">
        <f>IFERROR(AVERAGEIFS(RECAP_final!$AV:$AV,RECAP_final!$E:$E,$A9,RECAP_final!$I:$I,0,RECAP_final!$Q:$Q,"Ne"),"")</f>
        <v/>
      </c>
      <c r="AA9" s="169" t="str">
        <f>IFERROR(AVERAGEIFS(RECAP_final!$AW:$AW,RECAP_final!$E:$E,$A9,RECAP_final!$I:$I,0,RECAP_final!$Q:$Q,"Ne"),"")</f>
        <v/>
      </c>
      <c r="AB9" s="170" t="str">
        <f>IFERROR(AVERAGEIFS(RECAP_final!$AX:$AX,RECAP_final!$E:$E,$A9,RECAP_final!$I:$I,0,RECAP_final!$Q:$Q,"Ne"),"")</f>
        <v/>
      </c>
      <c r="AC9" s="168" t="e">
        <f>AVERAGEIFS(RECAP_final!$BA:$BA,RECAP_final!$E:$E,$A9,RECAP_final!$I:$I,0,RECAP_final!$Q:$Q,"Ano")</f>
        <v>#DIV/0!</v>
      </c>
      <c r="AD9" s="168" t="str">
        <f>IFERROR(AVERAGEIFS(RECAP_final!$BA:$BA,RECAP_final!$E:$E,$A9,RECAP_final!$I:$I,0,RECAP_final!$Q:$Q,"Ne"),"")</f>
        <v/>
      </c>
      <c r="AE9" s="172" t="s">
        <v>35</v>
      </c>
      <c r="AF9" s="173" t="str">
        <f>VLOOKUP($AE9,RECAP_final!$B:$H,6,0)</f>
        <v>27.90</v>
      </c>
      <c r="AG9" s="158" t="str">
        <f>VLOOKUP($AE9,RECAP_final!$B:$H,7,0)</f>
        <v>Production of electrical equipment</v>
      </c>
      <c r="AH9" s="158" t="s">
        <v>136</v>
      </c>
      <c r="AI9" s="158"/>
      <c r="AJ9" s="158"/>
      <c r="AK9" s="158" t="s">
        <v>61</v>
      </c>
      <c r="AL9" s="173" t="s">
        <v>53</v>
      </c>
      <c r="AN9" s="159" t="s">
        <v>59</v>
      </c>
      <c r="AO9" s="185">
        <f>SUM(AO5:AO8)</f>
        <v>21</v>
      </c>
      <c r="AP9" s="186">
        <f>SUM(AP5:AP8)</f>
        <v>17</v>
      </c>
      <c r="AQ9" s="187">
        <f>SUM(AQ5:AQ8)</f>
        <v>1</v>
      </c>
      <c r="AS9" s="159" t="s">
        <v>59</v>
      </c>
      <c r="AT9" s="186">
        <f>SUM(AT5:AT8)</f>
        <v>12</v>
      </c>
      <c r="AU9" s="187">
        <f>SUM(AU5:AU8)</f>
        <v>1</v>
      </c>
    </row>
    <row r="10" spans="1:47" x14ac:dyDescent="0.3">
      <c r="A10" s="164">
        <f t="shared" si="0"/>
        <v>1998</v>
      </c>
      <c r="B10" s="165">
        <f>COUNTIFS(RECAP_final!E:E,Tabs!A10)</f>
        <v>3</v>
      </c>
      <c r="C10" s="165">
        <f>COUNTIFS(RECAP_final!E:E,Tabs!A10,RECAP_final!I:I,1)</f>
        <v>1</v>
      </c>
      <c r="D10" s="166">
        <f t="shared" si="1"/>
        <v>2</v>
      </c>
      <c r="E10" s="87">
        <f>COUNTIFS(RECAP_final!$E:$E,$A10,RECAP_final!$Q:$Q,"Ano",RECAP_final!$I:$I,0)</f>
        <v>0</v>
      </c>
      <c r="F10" s="167" t="e">
        <f>AVERAGEIFS(RECAP_final!$F:$F,RECAP_final!$E:$E,$A10,RECAP_final!$I:$I,0,RECAP_final!$Q:$Q,"Ano")</f>
        <v>#DIV/0!</v>
      </c>
      <c r="G10" s="167" t="e">
        <f>AVERAGEIFS(RECAP_final!$AL:$AL,RECAP_final!$E:$E,$A10,RECAP_final!$I:$I,0,RECAP_final!$Q:$Q,"Ano")</f>
        <v>#DIV/0!</v>
      </c>
      <c r="H10" s="168" t="e">
        <f>AVERAGEIFS(RECAP_final!$AM:$AM,RECAP_final!$E:$E,$A10,RECAP_final!$I:$I,0,RECAP_final!$Q:$Q,"Ano")</f>
        <v>#DIV/0!</v>
      </c>
      <c r="I10" s="168" t="e">
        <f>AVERAGEIFS(RECAP_final!$AR:$AR,RECAP_final!$E:$E,$A10,RECAP_final!$I:$I,0,RECAP_final!$Q:$Q,"Ano")</f>
        <v>#DIV/0!</v>
      </c>
      <c r="J10" s="168" t="e">
        <f>AVERAGEIFS(RECAP_final!$AS:$AS,RECAP_final!$E:$E,$A10,RECAP_final!$I:$I,0,RECAP_final!$Q:$Q,"Ano")</f>
        <v>#DIV/0!</v>
      </c>
      <c r="K10" s="168" t="e">
        <f>AVERAGEIFS(RECAP_final!$AT:$AT,RECAP_final!$E:$E,$A10,RECAP_final!$I:$I,0,RECAP_final!$Q:$Q,"Ano")</f>
        <v>#DIV/0!</v>
      </c>
      <c r="L10" s="168" t="e">
        <f>AVERAGEIFS(RECAP_final!$AU:$AU,RECAP_final!$E:$E,$A10,RECAP_final!$I:$I,0,RECAP_final!$Q:$Q,"Ano")</f>
        <v>#DIV/0!</v>
      </c>
      <c r="M10" s="167" t="e">
        <f>AVERAGEIFS(RECAP_final!$AW:$AW,RECAP_final!$E:$E,$A10,RECAP_final!$I:$I,0,RECAP_final!$Q:$Q,"Ano")</f>
        <v>#DIV/0!</v>
      </c>
      <c r="N10" s="169" t="e">
        <f>AVERAGEIFS(RECAP_final!$AW:$AW,RECAP_final!$E:$E,$A10,RECAP_final!$I:$I,0,RECAP_final!$Q:$Q,"Ano")</f>
        <v>#DIV/0!</v>
      </c>
      <c r="O10" s="170" t="e">
        <f>AVERAGEIFS(RECAP_final!$AX:$AX,RECAP_final!$E:$E,$A10,RECAP_final!$I:$I,0,RECAP_final!$Q:$Q,"Ano")</f>
        <v>#DIV/0!</v>
      </c>
      <c r="P10" s="171" t="e">
        <f>AVERAGEIFS(RECAP_final!$AZ:$AZ,RECAP_final!$E:$E,$A10,RECAP_final!$I:$I,0,RECAP_final!$Q:$Q,"Ano")</f>
        <v>#DIV/0!</v>
      </c>
      <c r="Q10" s="171" t="str">
        <f>IFERROR(AVERAGEIFS(RECAP_final!$AZ:$AZ,RECAP_final!$E:$E,$A10,RECAP_final!$I:$I,0,RECAP_final!$Q:$Q,"Ne"),"")</f>
        <v/>
      </c>
      <c r="R10" s="87">
        <f>COUNTIFS(RECAP_final!$E:$E,$A10,RECAP_final!$Q:$Q,"Ne",RECAP_final!$I:$I,0)</f>
        <v>0</v>
      </c>
      <c r="S10" s="167" t="str">
        <f>IFERROR(AVERAGEIFS(RECAP_final!$F:$F,RECAP_final!$E:$E,$A10,RECAP_final!$I:$I,0,RECAP_final!$Q:$Q,"ne"),"")</f>
        <v/>
      </c>
      <c r="T10" s="167" t="str">
        <f>IFERROR(AVERAGEIFS(RECAP_final!$AL:$AL,RECAP_final!$E:$E,$A10,RECAP_final!$I:$I,0,RECAP_final!$Q:$Q,"Ne"),"")</f>
        <v/>
      </c>
      <c r="U10" s="168" t="str">
        <f>IFERROR(AVERAGEIFS(RECAP_final!$AM:$AM,RECAP_final!$E:$E,$A10,RECAP_final!$I:$I,0,RECAP_final!$Q:$Q,"Ne"),"")</f>
        <v/>
      </c>
      <c r="V10" s="168" t="str">
        <f>IFERROR(AVERAGEIFS(RECAP_final!$AR:$AR,RECAP_final!$E:$E,$A10,RECAP_final!$I:$I,0,RECAP_final!$Q:$Q,"Ne"),"")</f>
        <v/>
      </c>
      <c r="W10" s="168" t="str">
        <f>IFERROR(AVERAGEIFS(RECAP_final!$AS:$AS,RECAP_final!$E:$E,$A10,RECAP_final!$I:$I,0,RECAP_final!$Q:$Q,"Ne"),"")</f>
        <v/>
      </c>
      <c r="X10" s="168" t="str">
        <f>IFERROR(AVERAGEIFS(RECAP_final!$AT:$AT,RECAP_final!$E:$E,$A10,RECAP_final!$I:$I,0,RECAP_final!$Q:$Q,"Ne"),"")</f>
        <v/>
      </c>
      <c r="Y10" s="168" t="str">
        <f>IFERROR(AVERAGEIFS(RECAP_final!$AU:$AU,RECAP_final!$E:$E,$A10,RECAP_final!$I:$I,0,RECAP_final!$Q:$Q,"Ne"),"")</f>
        <v/>
      </c>
      <c r="Z10" s="167" t="str">
        <f>IFERROR(AVERAGEIFS(RECAP_final!$AV:$AV,RECAP_final!$E:$E,$A10,RECAP_final!$I:$I,0,RECAP_final!$Q:$Q,"Ne"),"")</f>
        <v/>
      </c>
      <c r="AA10" s="169" t="str">
        <f>IFERROR(AVERAGEIFS(RECAP_final!$AW:$AW,RECAP_final!$E:$E,$A10,RECAP_final!$I:$I,0,RECAP_final!$Q:$Q,"Ne"),"")</f>
        <v/>
      </c>
      <c r="AB10" s="170" t="str">
        <f>IFERROR(AVERAGEIFS(RECAP_final!$AX:$AX,RECAP_final!$E:$E,$A10,RECAP_final!$I:$I,0,RECAP_final!$Q:$Q,"Ne"),"")</f>
        <v/>
      </c>
      <c r="AC10" s="168" t="e">
        <f>AVERAGEIFS(RECAP_final!$BA:$BA,RECAP_final!$E:$E,$A10,RECAP_final!$I:$I,0,RECAP_final!$Q:$Q,"Ano")</f>
        <v>#DIV/0!</v>
      </c>
      <c r="AD10" s="168" t="str">
        <f>IFERROR(AVERAGEIFS(RECAP_final!$BA:$BA,RECAP_final!$E:$E,$A10,RECAP_final!$I:$I,0,RECAP_final!$Q:$Q,"Ne"),"")</f>
        <v/>
      </c>
      <c r="AE10" s="172" t="s">
        <v>37</v>
      </c>
      <c r="AF10" s="173" t="str">
        <f>VLOOKUP($AE10,RECAP_final!$B:$H,6,0)</f>
        <v>11.01</v>
      </c>
      <c r="AG10" s="158" t="str">
        <f>VLOOKUP($AE10,RECAP_final!$B:$H,7,0)</f>
        <v>Distillation, rectification and mixing of spirits</v>
      </c>
      <c r="AH10" s="158" t="s">
        <v>136</v>
      </c>
      <c r="AI10" s="158"/>
      <c r="AJ10" s="158"/>
      <c r="AK10" s="158" t="s">
        <v>62</v>
      </c>
      <c r="AL10" s="173" t="s">
        <v>53</v>
      </c>
    </row>
    <row r="11" spans="1:47" x14ac:dyDescent="0.3">
      <c r="A11" s="164">
        <f t="shared" si="0"/>
        <v>1999</v>
      </c>
      <c r="B11" s="165">
        <f>COUNTIFS(RECAP_final!E:E,Tabs!A11)</f>
        <v>3</v>
      </c>
      <c r="C11" s="165">
        <f>COUNTIFS(RECAP_final!E:E,Tabs!A11,RECAP_final!I:I,1)</f>
        <v>0</v>
      </c>
      <c r="D11" s="166">
        <f t="shared" si="1"/>
        <v>3</v>
      </c>
      <c r="E11" s="87">
        <f>COUNTIFS(RECAP_final!$E:$E,$A11,RECAP_final!$Q:$Q,"Ano",RECAP_final!$I:$I,0)</f>
        <v>0</v>
      </c>
      <c r="F11" s="167" t="e">
        <f>AVERAGEIFS(RECAP_final!$F:$F,RECAP_final!$E:$E,$A11,RECAP_final!$I:$I,0,RECAP_final!$Q:$Q,"Ano")</f>
        <v>#DIV/0!</v>
      </c>
      <c r="G11" s="167" t="e">
        <f>AVERAGEIFS(RECAP_final!$AL:$AL,RECAP_final!$E:$E,$A11,RECAP_final!$I:$I,0,RECAP_final!$Q:$Q,"Ano")</f>
        <v>#DIV/0!</v>
      </c>
      <c r="H11" s="168" t="e">
        <f>AVERAGEIFS(RECAP_final!$AM:$AM,RECAP_final!$E:$E,$A11,RECAP_final!$I:$I,0,RECAP_final!$Q:$Q,"Ano")</f>
        <v>#DIV/0!</v>
      </c>
      <c r="I11" s="168" t="e">
        <f>AVERAGEIFS(RECAP_final!$AR:$AR,RECAP_final!$E:$E,$A11,RECAP_final!$I:$I,0,RECAP_final!$Q:$Q,"Ano")</f>
        <v>#DIV/0!</v>
      </c>
      <c r="J11" s="168" t="e">
        <f>AVERAGEIFS(RECAP_final!$AS:$AS,RECAP_final!$E:$E,$A11,RECAP_final!$I:$I,0,RECAP_final!$Q:$Q,"Ano")</f>
        <v>#DIV/0!</v>
      </c>
      <c r="K11" s="168" t="e">
        <f>AVERAGEIFS(RECAP_final!$AT:$AT,RECAP_final!$E:$E,$A11,RECAP_final!$I:$I,0,RECAP_final!$Q:$Q,"Ano")</f>
        <v>#DIV/0!</v>
      </c>
      <c r="L11" s="168" t="e">
        <f>AVERAGEIFS(RECAP_final!$AU:$AU,RECAP_final!$E:$E,$A11,RECAP_final!$I:$I,0,RECAP_final!$Q:$Q,"Ano")</f>
        <v>#DIV/0!</v>
      </c>
      <c r="M11" s="167" t="e">
        <f>AVERAGEIFS(RECAP_final!$AW:$AW,RECAP_final!$E:$E,$A11,RECAP_final!$I:$I,0,RECAP_final!$Q:$Q,"Ano")</f>
        <v>#DIV/0!</v>
      </c>
      <c r="N11" s="169" t="e">
        <f>AVERAGEIFS(RECAP_final!$AW:$AW,RECAP_final!$E:$E,$A11,RECAP_final!$I:$I,0,RECAP_final!$Q:$Q,"Ano")</f>
        <v>#DIV/0!</v>
      </c>
      <c r="O11" s="170" t="e">
        <f>AVERAGEIFS(RECAP_final!$AX:$AX,RECAP_final!$E:$E,$A11,RECAP_final!$I:$I,0,RECAP_final!$Q:$Q,"Ano")</f>
        <v>#DIV/0!</v>
      </c>
      <c r="P11" s="171" t="e">
        <f>AVERAGEIFS(RECAP_final!$AZ:$AZ,RECAP_final!$E:$E,$A11,RECAP_final!$I:$I,0,RECAP_final!$Q:$Q,"Ano")</f>
        <v>#DIV/0!</v>
      </c>
      <c r="Q11" s="171" t="str">
        <f>IFERROR(AVERAGEIFS(RECAP_final!$AZ:$AZ,RECAP_final!$E:$E,$A11,RECAP_final!$I:$I,0,RECAP_final!$Q:$Q,"Ne"),"")</f>
        <v/>
      </c>
      <c r="R11" s="87">
        <f>COUNTIFS(RECAP_final!$E:$E,$A11,RECAP_final!$Q:$Q,"Ne",RECAP_final!$I:$I,0)</f>
        <v>0</v>
      </c>
      <c r="S11" s="167" t="str">
        <f>IFERROR(AVERAGEIFS(RECAP_final!$F:$F,RECAP_final!$E:$E,$A11,RECAP_final!$I:$I,0,RECAP_final!$Q:$Q,"ne"),"")</f>
        <v/>
      </c>
      <c r="T11" s="167" t="str">
        <f>IFERROR(AVERAGEIFS(RECAP_final!$AL:$AL,RECAP_final!$E:$E,$A11,RECAP_final!$I:$I,0,RECAP_final!$Q:$Q,"Ne"),"")</f>
        <v/>
      </c>
      <c r="U11" s="168" t="str">
        <f>IFERROR(AVERAGEIFS(RECAP_final!$AM:$AM,RECAP_final!$E:$E,$A11,RECAP_final!$I:$I,0,RECAP_final!$Q:$Q,"Ne"),"")</f>
        <v/>
      </c>
      <c r="V11" s="168" t="str">
        <f>IFERROR(AVERAGEIFS(RECAP_final!$AR:$AR,RECAP_final!$E:$E,$A11,RECAP_final!$I:$I,0,RECAP_final!$Q:$Q,"Ne"),"")</f>
        <v/>
      </c>
      <c r="W11" s="168" t="str">
        <f>IFERROR(AVERAGEIFS(RECAP_final!$AS:$AS,RECAP_final!$E:$E,$A11,RECAP_final!$I:$I,0,RECAP_final!$Q:$Q,"Ne"),"")</f>
        <v/>
      </c>
      <c r="X11" s="168" t="str">
        <f>IFERROR(AVERAGEIFS(RECAP_final!$AT:$AT,RECAP_final!$E:$E,$A11,RECAP_final!$I:$I,0,RECAP_final!$Q:$Q,"Ne"),"")</f>
        <v/>
      </c>
      <c r="Y11" s="168" t="str">
        <f>IFERROR(AVERAGEIFS(RECAP_final!$AU:$AU,RECAP_final!$E:$E,$A11,RECAP_final!$I:$I,0,RECAP_final!$Q:$Q,"Ne"),"")</f>
        <v/>
      </c>
      <c r="Z11" s="167" t="str">
        <f>IFERROR(AVERAGEIFS(RECAP_final!$AV:$AV,RECAP_final!$E:$E,$A11,RECAP_final!$I:$I,0,RECAP_final!$Q:$Q,"Ne"),"")</f>
        <v/>
      </c>
      <c r="AA11" s="169" t="str">
        <f>IFERROR(AVERAGEIFS(RECAP_final!$AW:$AW,RECAP_final!$E:$E,$A11,RECAP_final!$I:$I,0,RECAP_final!$Q:$Q,"Ne"),"")</f>
        <v/>
      </c>
      <c r="AB11" s="170" t="str">
        <f>IFERROR(AVERAGEIFS(RECAP_final!$AX:$AX,RECAP_final!$E:$E,$A11,RECAP_final!$I:$I,0,RECAP_final!$Q:$Q,"Ne"),"")</f>
        <v/>
      </c>
      <c r="AC11" s="168" t="e">
        <f>AVERAGEIFS(RECAP_final!$BA:$BA,RECAP_final!$E:$E,$A11,RECAP_final!$I:$I,0,RECAP_final!$Q:$Q,"Ano")</f>
        <v>#DIV/0!</v>
      </c>
      <c r="AD11" s="168" t="str">
        <f>IFERROR(AVERAGEIFS(RECAP_final!$BA:$BA,RECAP_final!$E:$E,$A11,RECAP_final!$I:$I,0,RECAP_final!$Q:$Q,"Ne"),"")</f>
        <v/>
      </c>
      <c r="AE11" s="172" t="s">
        <v>39</v>
      </c>
      <c r="AF11" s="173" t="str">
        <f>VLOOKUP($AE11,RECAP_final!$B:$H,6,0)</f>
        <v>61.20</v>
      </c>
      <c r="AG11" s="158" t="str">
        <f>VLOOKUP($AE11,RECAP_final!$B:$H,7,0)</f>
        <v>Telecommunication networks</v>
      </c>
      <c r="AH11" s="158" t="s">
        <v>137</v>
      </c>
      <c r="AI11" s="158"/>
      <c r="AJ11" s="158"/>
      <c r="AK11" s="158" t="s">
        <v>60</v>
      </c>
      <c r="AL11" s="173" t="s">
        <v>53</v>
      </c>
    </row>
    <row r="12" spans="1:47" x14ac:dyDescent="0.3">
      <c r="A12" s="164">
        <f t="shared" si="0"/>
        <v>2000</v>
      </c>
      <c r="B12" s="165">
        <f>COUNTIFS(RECAP_final!E:E,Tabs!A12)</f>
        <v>3</v>
      </c>
      <c r="C12" s="165">
        <f>COUNTIFS(RECAP_final!E:E,Tabs!A12,RECAP_final!I:I,1)</f>
        <v>0</v>
      </c>
      <c r="D12" s="166">
        <f t="shared" si="1"/>
        <v>3</v>
      </c>
      <c r="E12" s="87">
        <f>COUNTIFS(RECAP_final!$E:$E,$A12,RECAP_final!$Q:$Q,"Ano",RECAP_final!$I:$I,0)</f>
        <v>0</v>
      </c>
      <c r="F12" s="167" t="e">
        <f>AVERAGEIFS(RECAP_final!$F:$F,RECAP_final!$E:$E,$A12,RECAP_final!$I:$I,0,RECAP_final!$Q:$Q,"Ano")</f>
        <v>#DIV/0!</v>
      </c>
      <c r="G12" s="167" t="e">
        <f>AVERAGEIFS(RECAP_final!$AL:$AL,RECAP_final!$E:$E,$A12,RECAP_final!$I:$I,0,RECAP_final!$Q:$Q,"Ano")</f>
        <v>#DIV/0!</v>
      </c>
      <c r="H12" s="168" t="e">
        <f>AVERAGEIFS(RECAP_final!$AM:$AM,RECAP_final!$E:$E,$A12,RECAP_final!$I:$I,0,RECAP_final!$Q:$Q,"Ano")</f>
        <v>#DIV/0!</v>
      </c>
      <c r="I12" s="168" t="e">
        <f>AVERAGEIFS(RECAP_final!$AR:$AR,RECAP_final!$E:$E,$A12,RECAP_final!$I:$I,0,RECAP_final!$Q:$Q,"Ano")</f>
        <v>#DIV/0!</v>
      </c>
      <c r="J12" s="168" t="e">
        <f>AVERAGEIFS(RECAP_final!$AS:$AS,RECAP_final!$E:$E,$A12,RECAP_final!$I:$I,0,RECAP_final!$Q:$Q,"Ano")</f>
        <v>#DIV/0!</v>
      </c>
      <c r="K12" s="168" t="e">
        <f>AVERAGEIFS(RECAP_final!$AT:$AT,RECAP_final!$E:$E,$A12,RECAP_final!$I:$I,0,RECAP_final!$Q:$Q,"Ano")</f>
        <v>#DIV/0!</v>
      </c>
      <c r="L12" s="168" t="e">
        <f>AVERAGEIFS(RECAP_final!$AU:$AU,RECAP_final!$E:$E,$A12,RECAP_final!$I:$I,0,RECAP_final!$Q:$Q,"Ano")</f>
        <v>#DIV/0!</v>
      </c>
      <c r="M12" s="167" t="e">
        <f>AVERAGEIFS(RECAP_final!$AW:$AW,RECAP_final!$E:$E,$A12,RECAP_final!$I:$I,0,RECAP_final!$Q:$Q,"Ano")</f>
        <v>#DIV/0!</v>
      </c>
      <c r="N12" s="169" t="e">
        <f>AVERAGEIFS(RECAP_final!$AW:$AW,RECAP_final!$E:$E,$A12,RECAP_final!$I:$I,0,RECAP_final!$Q:$Q,"Ano")</f>
        <v>#DIV/0!</v>
      </c>
      <c r="O12" s="170" t="e">
        <f>AVERAGEIFS(RECAP_final!$AX:$AX,RECAP_final!$E:$E,$A12,RECAP_final!$I:$I,0,RECAP_final!$Q:$Q,"Ano")</f>
        <v>#DIV/0!</v>
      </c>
      <c r="P12" s="171" t="e">
        <f>AVERAGEIFS(RECAP_final!$AZ:$AZ,RECAP_final!$E:$E,$A12,RECAP_final!$I:$I,0,RECAP_final!$Q:$Q,"Ano")</f>
        <v>#DIV/0!</v>
      </c>
      <c r="Q12" s="171" t="str">
        <f>IFERROR(AVERAGEIFS(RECAP_final!$AZ:$AZ,RECAP_final!$E:$E,$A12,RECAP_final!$I:$I,0,RECAP_final!$Q:$Q,"Ne"),"")</f>
        <v/>
      </c>
      <c r="R12" s="87">
        <f>COUNTIFS(RECAP_final!$E:$E,$A12,RECAP_final!$Q:$Q,"Ne",RECAP_final!$I:$I,0)</f>
        <v>0</v>
      </c>
      <c r="S12" s="167" t="str">
        <f>IFERROR(AVERAGEIFS(RECAP_final!$F:$F,RECAP_final!$E:$E,$A12,RECAP_final!$I:$I,0,RECAP_final!$Q:$Q,"ne"),"")</f>
        <v/>
      </c>
      <c r="T12" s="167" t="str">
        <f>IFERROR(AVERAGEIFS(RECAP_final!$AL:$AL,RECAP_final!$E:$E,$A12,RECAP_final!$I:$I,0,RECAP_final!$Q:$Q,"Ne"),"")</f>
        <v/>
      </c>
      <c r="U12" s="168" t="str">
        <f>IFERROR(AVERAGEIFS(RECAP_final!$AM:$AM,RECAP_final!$E:$E,$A12,RECAP_final!$I:$I,0,RECAP_final!$Q:$Q,"Ne"),"")</f>
        <v/>
      </c>
      <c r="V12" s="168" t="str">
        <f>IFERROR(AVERAGEIFS(RECAP_final!$AR:$AR,RECAP_final!$E:$E,$A12,RECAP_final!$I:$I,0,RECAP_final!$Q:$Q,"Ne"),"")</f>
        <v/>
      </c>
      <c r="W12" s="168" t="str">
        <f>IFERROR(AVERAGEIFS(RECAP_final!$AS:$AS,RECAP_final!$E:$E,$A12,RECAP_final!$I:$I,0,RECAP_final!$Q:$Q,"Ne"),"")</f>
        <v/>
      </c>
      <c r="X12" s="168" t="str">
        <f>IFERROR(AVERAGEIFS(RECAP_final!$AT:$AT,RECAP_final!$E:$E,$A12,RECAP_final!$I:$I,0,RECAP_final!$Q:$Q,"Ne"),"")</f>
        <v/>
      </c>
      <c r="Y12" s="168" t="str">
        <f>IFERROR(AVERAGEIFS(RECAP_final!$AU:$AU,RECAP_final!$E:$E,$A12,RECAP_final!$I:$I,0,RECAP_final!$Q:$Q,"Ne"),"")</f>
        <v/>
      </c>
      <c r="Z12" s="167" t="str">
        <f>IFERROR(AVERAGEIFS(RECAP_final!$AV:$AV,RECAP_final!$E:$E,$A12,RECAP_final!$I:$I,0,RECAP_final!$Q:$Q,"Ne"),"")</f>
        <v/>
      </c>
      <c r="AA12" s="169" t="str">
        <f>IFERROR(AVERAGEIFS(RECAP_final!$AW:$AW,RECAP_final!$E:$E,$A12,RECAP_final!$I:$I,0,RECAP_final!$Q:$Q,"Ne"),"")</f>
        <v/>
      </c>
      <c r="AB12" s="170" t="str">
        <f>IFERROR(AVERAGEIFS(RECAP_final!$AX:$AX,RECAP_final!$E:$E,$A12,RECAP_final!$I:$I,0,RECAP_final!$Q:$Q,"Ne"),"")</f>
        <v/>
      </c>
      <c r="AC12" s="168" t="e">
        <f>AVERAGEIFS(RECAP_final!$BA:$BA,RECAP_final!$E:$E,$A12,RECAP_final!$I:$I,0,RECAP_final!$Q:$Q,"Ano")</f>
        <v>#DIV/0!</v>
      </c>
      <c r="AD12" s="168" t="str">
        <f>IFERROR(AVERAGEIFS(RECAP_final!$BA:$BA,RECAP_final!$E:$E,$A12,RECAP_final!$I:$I,0,RECAP_final!$Q:$Q,"Ne"),"")</f>
        <v/>
      </c>
      <c r="AE12" s="188" t="s">
        <v>41</v>
      </c>
      <c r="AF12" s="189" t="str">
        <f>VLOOKUP($AE12,RECAP_final!$B:$H,6,0)</f>
        <v>13.20</v>
      </c>
      <c r="AG12" s="188" t="str">
        <f>VLOOKUP($AE12,RECAP_final!$B:$H,7,0)</f>
        <v>Textile weaving</v>
      </c>
      <c r="AH12" s="158" t="s">
        <v>136</v>
      </c>
      <c r="AI12" s="158"/>
      <c r="AJ12" s="158"/>
      <c r="AK12" s="158" t="s">
        <v>60</v>
      </c>
      <c r="AL12" s="173" t="s">
        <v>53</v>
      </c>
    </row>
    <row r="13" spans="1:47" x14ac:dyDescent="0.3">
      <c r="A13" s="164">
        <f t="shared" si="0"/>
        <v>2001</v>
      </c>
      <c r="B13" s="165">
        <f>COUNTIFS(RECAP_final!E:E,Tabs!A13)</f>
        <v>3</v>
      </c>
      <c r="C13" s="165">
        <f>COUNTIFS(RECAP_final!E:E,Tabs!A13,RECAP_final!I:I,1)</f>
        <v>0</v>
      </c>
      <c r="D13" s="166">
        <f t="shared" si="1"/>
        <v>3</v>
      </c>
      <c r="E13" s="87">
        <f>COUNTIFS(RECAP_final!$E:$E,$A13,RECAP_final!$Q:$Q,"Ano",RECAP_final!$I:$I,0)</f>
        <v>0</v>
      </c>
      <c r="F13" s="167" t="e">
        <f>AVERAGEIFS(RECAP_final!$F:$F,RECAP_final!$E:$E,$A13,RECAP_final!$I:$I,0,RECAP_final!$Q:$Q,"Ano")</f>
        <v>#DIV/0!</v>
      </c>
      <c r="G13" s="167" t="e">
        <f>AVERAGEIFS(RECAP_final!$AL:$AL,RECAP_final!$E:$E,$A13,RECAP_final!$I:$I,0,RECAP_final!$Q:$Q,"Ano")</f>
        <v>#DIV/0!</v>
      </c>
      <c r="H13" s="168" t="e">
        <f>AVERAGEIFS(RECAP_final!$AM:$AM,RECAP_final!$E:$E,$A13,RECAP_final!$I:$I,0,RECAP_final!$Q:$Q,"Ano")</f>
        <v>#DIV/0!</v>
      </c>
      <c r="I13" s="168" t="e">
        <f>AVERAGEIFS(RECAP_final!$AR:$AR,RECAP_final!$E:$E,$A13,RECAP_final!$I:$I,0,RECAP_final!$Q:$Q,"Ano")</f>
        <v>#DIV/0!</v>
      </c>
      <c r="J13" s="168" t="e">
        <f>AVERAGEIFS(RECAP_final!$AS:$AS,RECAP_final!$E:$E,$A13,RECAP_final!$I:$I,0,RECAP_final!$Q:$Q,"Ano")</f>
        <v>#DIV/0!</v>
      </c>
      <c r="K13" s="168" t="e">
        <f>AVERAGEIFS(RECAP_final!$AT:$AT,RECAP_final!$E:$E,$A13,RECAP_final!$I:$I,0,RECAP_final!$Q:$Q,"Ano")</f>
        <v>#DIV/0!</v>
      </c>
      <c r="L13" s="168" t="e">
        <f>AVERAGEIFS(RECAP_final!$AU:$AU,RECAP_final!$E:$E,$A13,RECAP_final!$I:$I,0,RECAP_final!$Q:$Q,"Ano")</f>
        <v>#DIV/0!</v>
      </c>
      <c r="M13" s="167" t="e">
        <f>AVERAGEIFS(RECAP_final!$AW:$AW,RECAP_final!$E:$E,$A13,RECAP_final!$I:$I,0,RECAP_final!$Q:$Q,"Ano")</f>
        <v>#DIV/0!</v>
      </c>
      <c r="N13" s="169" t="e">
        <f>AVERAGEIFS(RECAP_final!$AW:$AW,RECAP_final!$E:$E,$A13,RECAP_final!$I:$I,0,RECAP_final!$Q:$Q,"Ano")</f>
        <v>#DIV/0!</v>
      </c>
      <c r="O13" s="170" t="e">
        <f>AVERAGEIFS(RECAP_final!$AX:$AX,RECAP_final!$E:$E,$A13,RECAP_final!$I:$I,0,RECAP_final!$Q:$Q,"Ano")</f>
        <v>#DIV/0!</v>
      </c>
      <c r="P13" s="171" t="e">
        <f>AVERAGEIFS(RECAP_final!$AZ:$AZ,RECAP_final!$E:$E,$A13,RECAP_final!$I:$I,0,RECAP_final!$Q:$Q,"Ano")</f>
        <v>#DIV/0!</v>
      </c>
      <c r="Q13" s="171" t="str">
        <f>IFERROR(AVERAGEIFS(RECAP_final!$AZ:$AZ,RECAP_final!$E:$E,$A13,RECAP_final!$I:$I,0,RECAP_final!$Q:$Q,"Ne"),"")</f>
        <v/>
      </c>
      <c r="R13" s="87">
        <f>COUNTIFS(RECAP_final!$E:$E,$A13,RECAP_final!$Q:$Q,"Ne",RECAP_final!$I:$I,0)</f>
        <v>0</v>
      </c>
      <c r="S13" s="167" t="str">
        <f>IFERROR(AVERAGEIFS(RECAP_final!$F:$F,RECAP_final!$E:$E,$A13,RECAP_final!$I:$I,0,RECAP_final!$Q:$Q,"ne"),"")</f>
        <v/>
      </c>
      <c r="T13" s="167" t="str">
        <f>IFERROR(AVERAGEIFS(RECAP_final!$AL:$AL,RECAP_final!$E:$E,$A13,RECAP_final!$I:$I,0,RECAP_final!$Q:$Q,"Ne"),"")</f>
        <v/>
      </c>
      <c r="U13" s="168" t="str">
        <f>IFERROR(AVERAGEIFS(RECAP_final!$AM:$AM,RECAP_final!$E:$E,$A13,RECAP_final!$I:$I,0,RECAP_final!$Q:$Q,"Ne"),"")</f>
        <v/>
      </c>
      <c r="V13" s="168" t="str">
        <f>IFERROR(AVERAGEIFS(RECAP_final!$AR:$AR,RECAP_final!$E:$E,$A13,RECAP_final!$I:$I,0,RECAP_final!$Q:$Q,"Ne"),"")</f>
        <v/>
      </c>
      <c r="W13" s="168" t="str">
        <f>IFERROR(AVERAGEIFS(RECAP_final!$AS:$AS,RECAP_final!$E:$E,$A13,RECAP_final!$I:$I,0,RECAP_final!$Q:$Q,"Ne"),"")</f>
        <v/>
      </c>
      <c r="X13" s="168" t="str">
        <f>IFERROR(AVERAGEIFS(RECAP_final!$AT:$AT,RECAP_final!$E:$E,$A13,RECAP_final!$I:$I,0,RECAP_final!$Q:$Q,"Ne"),"")</f>
        <v/>
      </c>
      <c r="Y13" s="168" t="str">
        <f>IFERROR(AVERAGEIFS(RECAP_final!$AU:$AU,RECAP_final!$E:$E,$A13,RECAP_final!$I:$I,0,RECAP_final!$Q:$Q,"Ne"),"")</f>
        <v/>
      </c>
      <c r="Z13" s="167" t="str">
        <f>IFERROR(AVERAGEIFS(RECAP_final!$AV:$AV,RECAP_final!$E:$E,$A13,RECAP_final!$I:$I,0,RECAP_final!$Q:$Q,"Ne"),"")</f>
        <v/>
      </c>
      <c r="AA13" s="169" t="str">
        <f>IFERROR(AVERAGEIFS(RECAP_final!$AW:$AW,RECAP_final!$E:$E,$A13,RECAP_final!$I:$I,0,RECAP_final!$Q:$Q,"Ne"),"")</f>
        <v/>
      </c>
      <c r="AB13" s="170" t="str">
        <f>IFERROR(AVERAGEIFS(RECAP_final!$AX:$AX,RECAP_final!$E:$E,$A13,RECAP_final!$I:$I,0,RECAP_final!$Q:$Q,"Ne"),"")</f>
        <v/>
      </c>
      <c r="AC13" s="168" t="e">
        <f>AVERAGEIFS(RECAP_final!$BA:$BA,RECAP_final!$E:$E,$A13,RECAP_final!$I:$I,0,RECAP_final!$Q:$Q,"Ano")</f>
        <v>#DIV/0!</v>
      </c>
      <c r="AD13" s="168" t="str">
        <f>IFERROR(AVERAGEIFS(RECAP_final!$BA:$BA,RECAP_final!$E:$E,$A13,RECAP_final!$I:$I,0,RECAP_final!$Q:$Q,"Ne"),"")</f>
        <v/>
      </c>
      <c r="AE13" s="172" t="s">
        <v>43</v>
      </c>
      <c r="AF13" s="173" t="str">
        <f>VLOOKUP($AE13,RECAP_final!$B:$H,6,0)</f>
        <v>12.00</v>
      </c>
      <c r="AG13" s="158" t="str">
        <f>VLOOKUP($AE13,RECAP_final!$B:$H,7,0)</f>
        <v>Production of tobacco products</v>
      </c>
      <c r="AH13" s="158" t="s">
        <v>136</v>
      </c>
      <c r="AI13" s="158"/>
      <c r="AJ13" s="158"/>
      <c r="AK13" s="158" t="s">
        <v>61</v>
      </c>
      <c r="AL13" s="173" t="s">
        <v>53</v>
      </c>
    </row>
    <row r="14" spans="1:47" x14ac:dyDescent="0.3">
      <c r="A14" s="164">
        <f t="shared" si="0"/>
        <v>2002</v>
      </c>
      <c r="B14" s="165">
        <f>COUNTIFS(RECAP_final!E:E,Tabs!A14)</f>
        <v>4</v>
      </c>
      <c r="C14" s="165">
        <f>COUNTIFS(RECAP_final!E:E,Tabs!A14,RECAP_final!I:I,1)</f>
        <v>0</v>
      </c>
      <c r="D14" s="166">
        <f t="shared" si="1"/>
        <v>4</v>
      </c>
      <c r="E14" s="87">
        <f>COUNTIFS(RECAP_final!$E:$E,$A14,RECAP_final!$Q:$Q,"Ano",RECAP_final!$I:$I,0)</f>
        <v>0</v>
      </c>
      <c r="F14" s="167" t="e">
        <f>AVERAGEIFS(RECAP_final!$F:$F,RECAP_final!$E:$E,$A14,RECAP_final!$I:$I,0,RECAP_final!$Q:$Q,"Ano")</f>
        <v>#DIV/0!</v>
      </c>
      <c r="G14" s="167" t="e">
        <f>AVERAGEIFS(RECAP_final!$AL:$AL,RECAP_final!$E:$E,$A14,RECAP_final!$I:$I,0,RECAP_final!$Q:$Q,"Ano")</f>
        <v>#DIV/0!</v>
      </c>
      <c r="H14" s="168" t="e">
        <f>AVERAGEIFS(RECAP_final!$AM:$AM,RECAP_final!$E:$E,$A14,RECAP_final!$I:$I,0,RECAP_final!$Q:$Q,"Ano")</f>
        <v>#DIV/0!</v>
      </c>
      <c r="I14" s="168" t="e">
        <f>AVERAGEIFS(RECAP_final!$AR:$AR,RECAP_final!$E:$E,$A14,RECAP_final!$I:$I,0,RECAP_final!$Q:$Q,"Ano")</f>
        <v>#DIV/0!</v>
      </c>
      <c r="J14" s="168" t="e">
        <f>AVERAGEIFS(RECAP_final!$AS:$AS,RECAP_final!$E:$E,$A14,RECAP_final!$I:$I,0,RECAP_final!$Q:$Q,"Ano")</f>
        <v>#DIV/0!</v>
      </c>
      <c r="K14" s="168" t="e">
        <f>AVERAGEIFS(RECAP_final!$AT:$AT,RECAP_final!$E:$E,$A14,RECAP_final!$I:$I,0,RECAP_final!$Q:$Q,"Ano")</f>
        <v>#DIV/0!</v>
      </c>
      <c r="L14" s="168" t="e">
        <f>AVERAGEIFS(RECAP_final!$AU:$AU,RECAP_final!$E:$E,$A14,RECAP_final!$I:$I,0,RECAP_final!$Q:$Q,"Ano")</f>
        <v>#DIV/0!</v>
      </c>
      <c r="M14" s="167" t="e">
        <f>AVERAGEIFS(RECAP_final!$AW:$AW,RECAP_final!$E:$E,$A14,RECAP_final!$I:$I,0,RECAP_final!$Q:$Q,"Ano")</f>
        <v>#DIV/0!</v>
      </c>
      <c r="N14" s="169" t="e">
        <f>AVERAGEIFS(RECAP_final!$AW:$AW,RECAP_final!$E:$E,$A14,RECAP_final!$I:$I,0,RECAP_final!$Q:$Q,"Ano")</f>
        <v>#DIV/0!</v>
      </c>
      <c r="O14" s="170" t="e">
        <f>AVERAGEIFS(RECAP_final!$AX:$AX,RECAP_final!$E:$E,$A14,RECAP_final!$I:$I,0,RECAP_final!$Q:$Q,"Ano")</f>
        <v>#DIV/0!</v>
      </c>
      <c r="P14" s="171" t="e">
        <f>AVERAGEIFS(RECAP_final!$AZ:$AZ,RECAP_final!$E:$E,$A14,RECAP_final!$I:$I,0,RECAP_final!$Q:$Q,"Ano")</f>
        <v>#DIV/0!</v>
      </c>
      <c r="Q14" s="171" t="str">
        <f>IFERROR(AVERAGEIFS(RECAP_final!$AZ:$AZ,RECAP_final!$E:$E,$A14,RECAP_final!$I:$I,0,RECAP_final!$Q:$Q,"Ne"),"")</f>
        <v/>
      </c>
      <c r="R14" s="87">
        <f>COUNTIFS(RECAP_final!$E:$E,$A14,RECAP_final!$Q:$Q,"Ne",RECAP_final!$I:$I,0)</f>
        <v>0</v>
      </c>
      <c r="S14" s="167" t="str">
        <f>IFERROR(AVERAGEIFS(RECAP_final!$F:$F,RECAP_final!$E:$E,$A14,RECAP_final!$I:$I,0,RECAP_final!$Q:$Q,"ne"),"")</f>
        <v/>
      </c>
      <c r="T14" s="167" t="str">
        <f>IFERROR(AVERAGEIFS(RECAP_final!$AL:$AL,RECAP_final!$E:$E,$A14,RECAP_final!$I:$I,0,RECAP_final!$Q:$Q,"Ne"),"")</f>
        <v/>
      </c>
      <c r="U14" s="168" t="str">
        <f>IFERROR(AVERAGEIFS(RECAP_final!$AM:$AM,RECAP_final!$E:$E,$A14,RECAP_final!$I:$I,0,RECAP_final!$Q:$Q,"Ne"),"")</f>
        <v/>
      </c>
      <c r="V14" s="168" t="str">
        <f>IFERROR(AVERAGEIFS(RECAP_final!$AR:$AR,RECAP_final!$E:$E,$A14,RECAP_final!$I:$I,0,RECAP_final!$Q:$Q,"Ne"),"")</f>
        <v/>
      </c>
      <c r="W14" s="168" t="str">
        <f>IFERROR(AVERAGEIFS(RECAP_final!$AS:$AS,RECAP_final!$E:$E,$A14,RECAP_final!$I:$I,0,RECAP_final!$Q:$Q,"Ne"),"")</f>
        <v/>
      </c>
      <c r="X14" s="168" t="str">
        <f>IFERROR(AVERAGEIFS(RECAP_final!$AT:$AT,RECAP_final!$E:$E,$A14,RECAP_final!$I:$I,0,RECAP_final!$Q:$Q,"Ne"),"")</f>
        <v/>
      </c>
      <c r="Y14" s="168" t="str">
        <f>IFERROR(AVERAGEIFS(RECAP_final!$AU:$AU,RECAP_final!$E:$E,$A14,RECAP_final!$I:$I,0,RECAP_final!$Q:$Q,"Ne"),"")</f>
        <v/>
      </c>
      <c r="Z14" s="167" t="str">
        <f>IFERROR(AVERAGEIFS(RECAP_final!$AV:$AV,RECAP_final!$E:$E,$A14,RECAP_final!$I:$I,0,RECAP_final!$Q:$Q,"Ne"),"")</f>
        <v/>
      </c>
      <c r="AA14" s="169" t="str">
        <f>IFERROR(AVERAGEIFS(RECAP_final!$AW:$AW,RECAP_final!$E:$E,$A14,RECAP_final!$I:$I,0,RECAP_final!$Q:$Q,"Ne"),"")</f>
        <v/>
      </c>
      <c r="AB14" s="170" t="str">
        <f>IFERROR(AVERAGEIFS(RECAP_final!$AX:$AX,RECAP_final!$E:$E,$A14,RECAP_final!$I:$I,0,RECAP_final!$Q:$Q,"Ne"),"")</f>
        <v/>
      </c>
      <c r="AC14" s="168" t="e">
        <f>AVERAGEIFS(RECAP_final!$BA:$BA,RECAP_final!$E:$E,$A14,RECAP_final!$I:$I,0,RECAP_final!$Q:$Q,"Ano")</f>
        <v>#DIV/0!</v>
      </c>
      <c r="AD14" s="168" t="str">
        <f>IFERROR(AVERAGEIFS(RECAP_final!$BA:$BA,RECAP_final!$E:$E,$A14,RECAP_final!$I:$I,0,RECAP_final!$Q:$Q,"Ne"),"")</f>
        <v/>
      </c>
      <c r="AE14" s="190" t="s">
        <v>65</v>
      </c>
      <c r="AF14" s="173" t="s">
        <v>66</v>
      </c>
      <c r="AG14" s="158" t="s">
        <v>134</v>
      </c>
      <c r="AH14" s="158" t="s">
        <v>136</v>
      </c>
      <c r="AI14" s="191">
        <v>43983</v>
      </c>
      <c r="AJ14" s="192" t="s">
        <v>141</v>
      </c>
      <c r="AK14" s="158" t="s">
        <v>60</v>
      </c>
      <c r="AL14" s="173" t="s">
        <v>53</v>
      </c>
    </row>
    <row r="15" spans="1:47" x14ac:dyDescent="0.3">
      <c r="A15" s="164">
        <f t="shared" si="0"/>
        <v>2003</v>
      </c>
      <c r="B15" s="165">
        <f>COUNTIFS(RECAP_final!E:E,Tabs!A15)</f>
        <v>4</v>
      </c>
      <c r="C15" s="165">
        <f>COUNTIFS(RECAP_final!E:E,Tabs!A15,RECAP_final!I:I,1)</f>
        <v>0</v>
      </c>
      <c r="D15" s="166">
        <f t="shared" si="1"/>
        <v>4</v>
      </c>
      <c r="E15" s="87">
        <f>COUNTIFS(RECAP_final!$E:$E,$A15,RECAP_final!$Q:$Q,"Ano",RECAP_final!$I:$I,0)</f>
        <v>0</v>
      </c>
      <c r="F15" s="167" t="e">
        <f>AVERAGEIFS(RECAP_final!$F:$F,RECAP_final!$E:$E,$A15,RECAP_final!$I:$I,0,RECAP_final!$Q:$Q,"Ano")</f>
        <v>#DIV/0!</v>
      </c>
      <c r="G15" s="167" t="e">
        <f>AVERAGEIFS(RECAP_final!$AL:$AL,RECAP_final!$E:$E,$A15,RECAP_final!$I:$I,0,RECAP_final!$Q:$Q,"Ano")</f>
        <v>#DIV/0!</v>
      </c>
      <c r="H15" s="168" t="e">
        <f>AVERAGEIFS(RECAP_final!$AM:$AM,RECAP_final!$E:$E,$A15,RECAP_final!$I:$I,0,RECAP_final!$Q:$Q,"Ano")</f>
        <v>#DIV/0!</v>
      </c>
      <c r="I15" s="168" t="e">
        <f>AVERAGEIFS(RECAP_final!$AR:$AR,RECAP_final!$E:$E,$A15,RECAP_final!$I:$I,0,RECAP_final!$Q:$Q,"Ano")</f>
        <v>#DIV/0!</v>
      </c>
      <c r="J15" s="168" t="e">
        <f>AVERAGEIFS(RECAP_final!$AS:$AS,RECAP_final!$E:$E,$A15,RECAP_final!$I:$I,0,RECAP_final!$Q:$Q,"Ano")</f>
        <v>#DIV/0!</v>
      </c>
      <c r="K15" s="168" t="e">
        <f>AVERAGEIFS(RECAP_final!$AT:$AT,RECAP_final!$E:$E,$A15,RECAP_final!$I:$I,0,RECAP_final!$Q:$Q,"Ano")</f>
        <v>#DIV/0!</v>
      </c>
      <c r="L15" s="168" t="e">
        <f>AVERAGEIFS(RECAP_final!$AU:$AU,RECAP_final!$E:$E,$A15,RECAP_final!$I:$I,0,RECAP_final!$Q:$Q,"Ano")</f>
        <v>#DIV/0!</v>
      </c>
      <c r="M15" s="167" t="e">
        <f>AVERAGEIFS(RECAP_final!$AW:$AW,RECAP_final!$E:$E,$A15,RECAP_final!$I:$I,0,RECAP_final!$Q:$Q,"Ano")</f>
        <v>#DIV/0!</v>
      </c>
      <c r="N15" s="169" t="e">
        <f>AVERAGEIFS(RECAP_final!$AW:$AW,RECAP_final!$E:$E,$A15,RECAP_final!$I:$I,0,RECAP_final!$Q:$Q,"Ano")</f>
        <v>#DIV/0!</v>
      </c>
      <c r="O15" s="170" t="e">
        <f>AVERAGEIFS(RECAP_final!$AX:$AX,RECAP_final!$E:$E,$A15,RECAP_final!$I:$I,0,RECAP_final!$Q:$Q,"Ano")</f>
        <v>#DIV/0!</v>
      </c>
      <c r="P15" s="171" t="e">
        <f>AVERAGEIFS(RECAP_final!$AZ:$AZ,RECAP_final!$E:$E,$A15,RECAP_final!$I:$I,0,RECAP_final!$Q:$Q,"Ano")</f>
        <v>#DIV/0!</v>
      </c>
      <c r="Q15" s="171" t="str">
        <f>IFERROR(AVERAGEIFS(RECAP_final!$AZ:$AZ,RECAP_final!$E:$E,$A15,RECAP_final!$I:$I,0,RECAP_final!$Q:$Q,"Ne"),"")</f>
        <v/>
      </c>
      <c r="R15" s="87">
        <f>COUNTIFS(RECAP_final!$E:$E,$A15,RECAP_final!$Q:$Q,"Ne",RECAP_final!$I:$I,0)</f>
        <v>0</v>
      </c>
      <c r="S15" s="167" t="str">
        <f>IFERROR(AVERAGEIFS(RECAP_final!$F:$F,RECAP_final!$E:$E,$A15,RECAP_final!$I:$I,0,RECAP_final!$Q:$Q,"ne"),"")</f>
        <v/>
      </c>
      <c r="T15" s="167" t="str">
        <f>IFERROR(AVERAGEIFS(RECAP_final!$AL:$AL,RECAP_final!$E:$E,$A15,RECAP_final!$I:$I,0,RECAP_final!$Q:$Q,"Ne"),"")</f>
        <v/>
      </c>
      <c r="U15" s="168" t="str">
        <f>IFERROR(AVERAGEIFS(RECAP_final!$AM:$AM,RECAP_final!$E:$E,$A15,RECAP_final!$I:$I,0,RECAP_final!$Q:$Q,"Ne"),"")</f>
        <v/>
      </c>
      <c r="V15" s="168" t="str">
        <f>IFERROR(AVERAGEIFS(RECAP_final!$AR:$AR,RECAP_final!$E:$E,$A15,RECAP_final!$I:$I,0,RECAP_final!$Q:$Q,"Ne"),"")</f>
        <v/>
      </c>
      <c r="W15" s="168" t="str">
        <f>IFERROR(AVERAGEIFS(RECAP_final!$AS:$AS,RECAP_final!$E:$E,$A15,RECAP_final!$I:$I,0,RECAP_final!$Q:$Q,"Ne"),"")</f>
        <v/>
      </c>
      <c r="X15" s="168" t="str">
        <f>IFERROR(AVERAGEIFS(RECAP_final!$AT:$AT,RECAP_final!$E:$E,$A15,RECAP_final!$I:$I,0,RECAP_final!$Q:$Q,"Ne"),"")</f>
        <v/>
      </c>
      <c r="Y15" s="168" t="str">
        <f>IFERROR(AVERAGEIFS(RECAP_final!$AU:$AU,RECAP_final!$E:$E,$A15,RECAP_final!$I:$I,0,RECAP_final!$Q:$Q,"Ne"),"")</f>
        <v/>
      </c>
      <c r="Z15" s="167" t="str">
        <f>IFERROR(AVERAGEIFS(RECAP_final!$AV:$AV,RECAP_final!$E:$E,$A15,RECAP_final!$I:$I,0,RECAP_final!$Q:$Q,"Ne"),"")</f>
        <v/>
      </c>
      <c r="AA15" s="169" t="str">
        <f>IFERROR(AVERAGEIFS(RECAP_final!$AW:$AW,RECAP_final!$E:$E,$A15,RECAP_final!$I:$I,0,RECAP_final!$Q:$Q,"Ne"),"")</f>
        <v/>
      </c>
      <c r="AB15" s="170" t="str">
        <f>IFERROR(AVERAGEIFS(RECAP_final!$AX:$AX,RECAP_final!$E:$E,$A15,RECAP_final!$I:$I,0,RECAP_final!$Q:$Q,"Ne"),"")</f>
        <v/>
      </c>
      <c r="AC15" s="168" t="e">
        <f>AVERAGEIFS(RECAP_final!$BA:$BA,RECAP_final!$E:$E,$A15,RECAP_final!$I:$I,0,RECAP_final!$Q:$Q,"Ano")</f>
        <v>#DIV/0!</v>
      </c>
      <c r="AD15" s="168" t="str">
        <f>IFERROR(AVERAGEIFS(RECAP_final!$BA:$BA,RECAP_final!$E:$E,$A15,RECAP_final!$I:$I,0,RECAP_final!$Q:$Q,"Ne"),"")</f>
        <v/>
      </c>
      <c r="AE15" s="190" t="s">
        <v>67</v>
      </c>
      <c r="AF15" s="173" t="s">
        <v>68</v>
      </c>
      <c r="AG15" s="158" t="s">
        <v>135</v>
      </c>
      <c r="AH15" s="158" t="s">
        <v>138</v>
      </c>
      <c r="AI15" s="191">
        <v>44130</v>
      </c>
      <c r="AJ15" s="192" t="s">
        <v>141</v>
      </c>
      <c r="AK15" s="158" t="s">
        <v>63</v>
      </c>
      <c r="AL15" s="173" t="s">
        <v>53</v>
      </c>
    </row>
    <row r="16" spans="1:47" x14ac:dyDescent="0.3">
      <c r="A16" s="164">
        <f t="shared" si="0"/>
        <v>2004</v>
      </c>
      <c r="B16" s="165">
        <f>COUNTIFS(RECAP_final!E:E,Tabs!A16)</f>
        <v>4</v>
      </c>
      <c r="C16" s="165">
        <f>COUNTIFS(RECAP_final!E:E,Tabs!A16,RECAP_final!I:I,1)</f>
        <v>0</v>
      </c>
      <c r="D16" s="166">
        <f t="shared" si="1"/>
        <v>4</v>
      </c>
      <c r="E16" s="87">
        <f>COUNTIFS(RECAP_final!$E:$E,$A16,RECAP_final!$Q:$Q,"Ano",RECAP_final!$I:$I,0)</f>
        <v>0</v>
      </c>
      <c r="F16" s="167" t="e">
        <f>AVERAGEIFS(RECAP_final!$F:$F,RECAP_final!$E:$E,$A16,RECAP_final!$I:$I,0,RECAP_final!$Q:$Q,"Ano")</f>
        <v>#DIV/0!</v>
      </c>
      <c r="G16" s="167" t="e">
        <f>AVERAGEIFS(RECAP_final!$AL:$AL,RECAP_final!$E:$E,$A16,RECAP_final!$I:$I,0,RECAP_final!$Q:$Q,"Ano")</f>
        <v>#DIV/0!</v>
      </c>
      <c r="H16" s="168" t="e">
        <f>AVERAGEIFS(RECAP_final!$AM:$AM,RECAP_final!$E:$E,$A16,RECAP_final!$I:$I,0,RECAP_final!$Q:$Q,"Ano")</f>
        <v>#DIV/0!</v>
      </c>
      <c r="I16" s="168" t="e">
        <f>AVERAGEIFS(RECAP_final!$AR:$AR,RECAP_final!$E:$E,$A16,RECAP_final!$I:$I,0,RECAP_final!$Q:$Q,"Ano")</f>
        <v>#DIV/0!</v>
      </c>
      <c r="J16" s="168" t="e">
        <f>AVERAGEIFS(RECAP_final!$AS:$AS,RECAP_final!$E:$E,$A16,RECAP_final!$I:$I,0,RECAP_final!$Q:$Q,"Ano")</f>
        <v>#DIV/0!</v>
      </c>
      <c r="K16" s="168" t="e">
        <f>AVERAGEIFS(RECAP_final!$AT:$AT,RECAP_final!$E:$E,$A16,RECAP_final!$I:$I,0,RECAP_final!$Q:$Q,"Ano")</f>
        <v>#DIV/0!</v>
      </c>
      <c r="L16" s="168" t="e">
        <f>AVERAGEIFS(RECAP_final!$AU:$AU,RECAP_final!$E:$E,$A16,RECAP_final!$I:$I,0,RECAP_final!$Q:$Q,"Ano")</f>
        <v>#DIV/0!</v>
      </c>
      <c r="M16" s="167" t="e">
        <f>AVERAGEIFS(RECAP_final!$AW:$AW,RECAP_final!$E:$E,$A16,RECAP_final!$I:$I,0,RECAP_final!$Q:$Q,"Ano")</f>
        <v>#DIV/0!</v>
      </c>
      <c r="N16" s="169" t="e">
        <f>AVERAGEIFS(RECAP_final!$AW:$AW,RECAP_final!$E:$E,$A16,RECAP_final!$I:$I,0,RECAP_final!$Q:$Q,"Ano")</f>
        <v>#DIV/0!</v>
      </c>
      <c r="O16" s="170" t="e">
        <f>AVERAGEIFS(RECAP_final!$AX:$AX,RECAP_final!$E:$E,$A16,RECAP_final!$I:$I,0,RECAP_final!$Q:$Q,"Ano")</f>
        <v>#DIV/0!</v>
      </c>
      <c r="P16" s="171" t="e">
        <f>AVERAGEIFS(RECAP_final!$AZ:$AZ,RECAP_final!$E:$E,$A16,RECAP_final!$I:$I,0,RECAP_final!$Q:$Q,"Ano")</f>
        <v>#DIV/0!</v>
      </c>
      <c r="Q16" s="171" t="str">
        <f>IFERROR(AVERAGEIFS(RECAP_final!$AZ:$AZ,RECAP_final!$E:$E,$A16,RECAP_final!$I:$I,0,RECAP_final!$Q:$Q,"Ne"),"")</f>
        <v/>
      </c>
      <c r="R16" s="87">
        <f>COUNTIFS(RECAP_final!$E:$E,$A16,RECAP_final!$Q:$Q,"Ne",RECAP_final!$I:$I,0)</f>
        <v>0</v>
      </c>
      <c r="S16" s="167" t="str">
        <f>IFERROR(AVERAGEIFS(RECAP_final!$F:$F,RECAP_final!$E:$E,$A16,RECAP_final!$I:$I,0,RECAP_final!$Q:$Q,"ne"),"")</f>
        <v/>
      </c>
      <c r="T16" s="167" t="str">
        <f>IFERROR(AVERAGEIFS(RECAP_final!$AL:$AL,RECAP_final!$E:$E,$A16,RECAP_final!$I:$I,0,RECAP_final!$Q:$Q,"Ne"),"")</f>
        <v/>
      </c>
      <c r="U16" s="168" t="str">
        <f>IFERROR(AVERAGEIFS(RECAP_final!$AM:$AM,RECAP_final!$E:$E,$A16,RECAP_final!$I:$I,0,RECAP_final!$Q:$Q,"Ne"),"")</f>
        <v/>
      </c>
      <c r="V16" s="168" t="str">
        <f>IFERROR(AVERAGEIFS(RECAP_final!$AR:$AR,RECAP_final!$E:$E,$A16,RECAP_final!$I:$I,0,RECAP_final!$Q:$Q,"Ne"),"")</f>
        <v/>
      </c>
      <c r="W16" s="168" t="str">
        <f>IFERROR(AVERAGEIFS(RECAP_final!$AS:$AS,RECAP_final!$E:$E,$A16,RECAP_final!$I:$I,0,RECAP_final!$Q:$Q,"Ne"),"")</f>
        <v/>
      </c>
      <c r="X16" s="168" t="str">
        <f>IFERROR(AVERAGEIFS(RECAP_final!$AT:$AT,RECAP_final!$E:$E,$A16,RECAP_final!$I:$I,0,RECAP_final!$Q:$Q,"Ne"),"")</f>
        <v/>
      </c>
      <c r="Y16" s="168" t="str">
        <f>IFERROR(AVERAGEIFS(RECAP_final!$AU:$AU,RECAP_final!$E:$E,$A16,RECAP_final!$I:$I,0,RECAP_final!$Q:$Q,"Ne"),"")</f>
        <v/>
      </c>
      <c r="Z16" s="167" t="str">
        <f>IFERROR(AVERAGEIFS(RECAP_final!$AV:$AV,RECAP_final!$E:$E,$A16,RECAP_final!$I:$I,0,RECAP_final!$Q:$Q,"Ne"),"")</f>
        <v/>
      </c>
      <c r="AA16" s="169" t="str">
        <f>IFERROR(AVERAGEIFS(RECAP_final!$AW:$AW,RECAP_final!$E:$E,$A16,RECAP_final!$I:$I,0,RECAP_final!$Q:$Q,"Ne"),"")</f>
        <v/>
      </c>
      <c r="AB16" s="170" t="str">
        <f>IFERROR(AVERAGEIFS(RECAP_final!$AX:$AX,RECAP_final!$E:$E,$A16,RECAP_final!$I:$I,0,RECAP_final!$Q:$Q,"Ne"),"")</f>
        <v/>
      </c>
      <c r="AC16" s="168" t="e">
        <f>AVERAGEIFS(RECAP_final!$BA:$BA,RECAP_final!$E:$E,$A16,RECAP_final!$I:$I,0,RECAP_final!$Q:$Q,"Ano")</f>
        <v>#DIV/0!</v>
      </c>
      <c r="AD16" s="168" t="str">
        <f>IFERROR(AVERAGEIFS(RECAP_final!$BA:$BA,RECAP_final!$E:$E,$A16,RECAP_final!$I:$I,0,RECAP_final!$Q:$Q,"Ne"),"")</f>
        <v/>
      </c>
      <c r="AE16" s="172" t="s">
        <v>69</v>
      </c>
      <c r="AF16" s="173" t="s">
        <v>51</v>
      </c>
      <c r="AG16" s="158" t="s">
        <v>128</v>
      </c>
      <c r="AH16" s="158" t="s">
        <v>64</v>
      </c>
      <c r="AI16" s="191">
        <v>43242</v>
      </c>
      <c r="AJ16" s="193" t="s">
        <v>70</v>
      </c>
      <c r="AK16" s="158" t="s">
        <v>62</v>
      </c>
      <c r="AL16" s="173" t="s">
        <v>53</v>
      </c>
    </row>
    <row r="17" spans="1:38" x14ac:dyDescent="0.3">
      <c r="A17" s="164">
        <f t="shared" si="0"/>
        <v>2005</v>
      </c>
      <c r="B17" s="165">
        <f>COUNTIFS(RECAP_final!E:E,Tabs!A17)</f>
        <v>4</v>
      </c>
      <c r="C17" s="165">
        <f>COUNTIFS(RECAP_final!E:E,Tabs!A17,RECAP_final!I:I,1)</f>
        <v>0</v>
      </c>
      <c r="D17" s="166">
        <f t="shared" si="1"/>
        <v>4</v>
      </c>
      <c r="E17" s="87">
        <f>COUNTIFS(RECAP_final!$E:$E,$A17,RECAP_final!$Q:$Q,"Ano",RECAP_final!$I:$I,0)</f>
        <v>0</v>
      </c>
      <c r="F17" s="167" t="e">
        <f>AVERAGEIFS(RECAP_final!$F:$F,RECAP_final!$E:$E,$A17,RECAP_final!$I:$I,0,RECAP_final!$Q:$Q,"Ano")</f>
        <v>#DIV/0!</v>
      </c>
      <c r="G17" s="167" t="e">
        <f>AVERAGEIFS(RECAP_final!$AL:$AL,RECAP_final!$E:$E,$A17,RECAP_final!$I:$I,0,RECAP_final!$Q:$Q,"Ano")</f>
        <v>#DIV/0!</v>
      </c>
      <c r="H17" s="168" t="e">
        <f>AVERAGEIFS(RECAP_final!$AM:$AM,RECAP_final!$E:$E,$A17,RECAP_final!$I:$I,0,RECAP_final!$Q:$Q,"Ano")</f>
        <v>#DIV/0!</v>
      </c>
      <c r="I17" s="168" t="e">
        <f>AVERAGEIFS(RECAP_final!$AR:$AR,RECAP_final!$E:$E,$A17,RECAP_final!$I:$I,0,RECAP_final!$Q:$Q,"Ano")</f>
        <v>#DIV/0!</v>
      </c>
      <c r="J17" s="168" t="e">
        <f>AVERAGEIFS(RECAP_final!$AS:$AS,RECAP_final!$E:$E,$A17,RECAP_final!$I:$I,0,RECAP_final!$Q:$Q,"Ano")</f>
        <v>#DIV/0!</v>
      </c>
      <c r="K17" s="168" t="e">
        <f>AVERAGEIFS(RECAP_final!$AT:$AT,RECAP_final!$E:$E,$A17,RECAP_final!$I:$I,0,RECAP_final!$Q:$Q,"Ano")</f>
        <v>#DIV/0!</v>
      </c>
      <c r="L17" s="168" t="e">
        <f>AVERAGEIFS(RECAP_final!$AU:$AU,RECAP_final!$E:$E,$A17,RECAP_final!$I:$I,0,RECAP_final!$Q:$Q,"Ano")</f>
        <v>#DIV/0!</v>
      </c>
      <c r="M17" s="167" t="e">
        <f>AVERAGEIFS(RECAP_final!$AW:$AW,RECAP_final!$E:$E,$A17,RECAP_final!$I:$I,0,RECAP_final!$Q:$Q,"Ano")</f>
        <v>#DIV/0!</v>
      </c>
      <c r="N17" s="169" t="e">
        <f>AVERAGEIFS(RECAP_final!$AW:$AW,RECAP_final!$E:$E,$A17,RECAP_final!$I:$I,0,RECAP_final!$Q:$Q,"Ano")</f>
        <v>#DIV/0!</v>
      </c>
      <c r="O17" s="170" t="e">
        <f>AVERAGEIFS(RECAP_final!$AX:$AX,RECAP_final!$E:$E,$A17,RECAP_final!$I:$I,0,RECAP_final!$Q:$Q,"Ano")</f>
        <v>#DIV/0!</v>
      </c>
      <c r="P17" s="171" t="e">
        <f>AVERAGEIFS(RECAP_final!$AZ:$AZ,RECAP_final!$E:$E,$A17,RECAP_final!$I:$I,0,RECAP_final!$Q:$Q,"Ano")</f>
        <v>#DIV/0!</v>
      </c>
      <c r="Q17" s="171" t="str">
        <f>IFERROR(AVERAGEIFS(RECAP_final!$AZ:$AZ,RECAP_final!$E:$E,$A17,RECAP_final!$I:$I,0,RECAP_final!$Q:$Q,"Ne"),"")</f>
        <v/>
      </c>
      <c r="R17" s="87">
        <f>COUNTIFS(RECAP_final!$E:$E,$A17,RECAP_final!$Q:$Q,"Ne",RECAP_final!$I:$I,0)</f>
        <v>0</v>
      </c>
      <c r="S17" s="167" t="str">
        <f>IFERROR(AVERAGEIFS(RECAP_final!$F:$F,RECAP_final!$E:$E,$A17,RECAP_final!$I:$I,0,RECAP_final!$Q:$Q,"ne"),"")</f>
        <v/>
      </c>
      <c r="T17" s="167" t="str">
        <f>IFERROR(AVERAGEIFS(RECAP_final!$AL:$AL,RECAP_final!$E:$E,$A17,RECAP_final!$I:$I,0,RECAP_final!$Q:$Q,"Ne"),"")</f>
        <v/>
      </c>
      <c r="U17" s="168" t="str">
        <f>IFERROR(AVERAGEIFS(RECAP_final!$AM:$AM,RECAP_final!$E:$E,$A17,RECAP_final!$I:$I,0,RECAP_final!$Q:$Q,"Ne"),"")</f>
        <v/>
      </c>
      <c r="V17" s="168" t="str">
        <f>IFERROR(AVERAGEIFS(RECAP_final!$AR:$AR,RECAP_final!$E:$E,$A17,RECAP_final!$I:$I,0,RECAP_final!$Q:$Q,"Ne"),"")</f>
        <v/>
      </c>
      <c r="W17" s="168" t="str">
        <f>IFERROR(AVERAGEIFS(RECAP_final!$AS:$AS,RECAP_final!$E:$E,$A17,RECAP_final!$I:$I,0,RECAP_final!$Q:$Q,"Ne"),"")</f>
        <v/>
      </c>
      <c r="X17" s="168" t="str">
        <f>IFERROR(AVERAGEIFS(RECAP_final!$AT:$AT,RECAP_final!$E:$E,$A17,RECAP_final!$I:$I,0,RECAP_final!$Q:$Q,"Ne"),"")</f>
        <v/>
      </c>
      <c r="Y17" s="168" t="str">
        <f>IFERROR(AVERAGEIFS(RECAP_final!$AU:$AU,RECAP_final!$E:$E,$A17,RECAP_final!$I:$I,0,RECAP_final!$Q:$Q,"Ne"),"")</f>
        <v/>
      </c>
      <c r="Z17" s="167" t="str">
        <f>IFERROR(AVERAGEIFS(RECAP_final!$AV:$AV,RECAP_final!$E:$E,$A17,RECAP_final!$I:$I,0,RECAP_final!$Q:$Q,"Ne"),"")</f>
        <v/>
      </c>
      <c r="AA17" s="169" t="str">
        <f>IFERROR(AVERAGEIFS(RECAP_final!$AW:$AW,RECAP_final!$E:$E,$A17,RECAP_final!$I:$I,0,RECAP_final!$Q:$Q,"Ne"),"")</f>
        <v/>
      </c>
      <c r="AB17" s="170" t="str">
        <f>IFERROR(AVERAGEIFS(RECAP_final!$AX:$AX,RECAP_final!$E:$E,$A17,RECAP_final!$I:$I,0,RECAP_final!$Q:$Q,"Ne"),"")</f>
        <v/>
      </c>
      <c r="AC17" s="168" t="e">
        <f>AVERAGEIFS(RECAP_final!$BA:$BA,RECAP_final!$E:$E,$A17,RECAP_final!$I:$I,0,RECAP_final!$Q:$Q,"Ano")</f>
        <v>#DIV/0!</v>
      </c>
      <c r="AD17" s="168" t="str">
        <f>IFERROR(AVERAGEIFS(RECAP_final!$BA:$BA,RECAP_final!$E:$E,$A17,RECAP_final!$I:$I,0,RECAP_final!$Q:$Q,"Ne"),"")</f>
        <v/>
      </c>
      <c r="AE17" s="172" t="s">
        <v>45</v>
      </c>
      <c r="AF17" s="173" t="str">
        <f>VLOOKUP($AE17,RECAP_final!$B:$H,6,0)</f>
        <v>47.30</v>
      </c>
      <c r="AG17" s="158" t="str">
        <f>VLOOKUP($AE17,RECAP_final!$B:$H,7,0)</f>
        <v>Fuel retail</v>
      </c>
      <c r="AH17" s="158" t="s">
        <v>138</v>
      </c>
      <c r="AI17" s="47">
        <v>43242</v>
      </c>
      <c r="AJ17" s="193" t="s">
        <v>71</v>
      </c>
      <c r="AK17" s="158" t="s">
        <v>62</v>
      </c>
      <c r="AL17" s="173" t="s">
        <v>53</v>
      </c>
    </row>
    <row r="18" spans="1:38" x14ac:dyDescent="0.3">
      <c r="A18" s="164">
        <f t="shared" si="0"/>
        <v>2006</v>
      </c>
      <c r="B18" s="165">
        <f>COUNTIFS(RECAP_final!E:E,Tabs!A18)</f>
        <v>5</v>
      </c>
      <c r="C18" s="165">
        <f>COUNTIFS(RECAP_final!E:E,Tabs!A18,RECAP_final!I:I,1)</f>
        <v>1</v>
      </c>
      <c r="D18" s="166">
        <f t="shared" si="1"/>
        <v>4</v>
      </c>
      <c r="E18" s="87">
        <f>COUNTIFS(RECAP_final!$E:$E,$A18,RECAP_final!$Q:$Q,"Ano",RECAP_final!$I:$I,0)</f>
        <v>0</v>
      </c>
      <c r="F18" s="167" t="e">
        <f>AVERAGEIFS(RECAP_final!$F:$F,RECAP_final!$E:$E,$A18,RECAP_final!$I:$I,0,RECAP_final!$Q:$Q,"Ano")</f>
        <v>#DIV/0!</v>
      </c>
      <c r="G18" s="167" t="e">
        <f>AVERAGEIFS(RECAP_final!$AL:$AL,RECAP_final!$E:$E,$A18,RECAP_final!$I:$I,0,RECAP_final!$Q:$Q,"Ano")</f>
        <v>#DIV/0!</v>
      </c>
      <c r="H18" s="168" t="e">
        <f>AVERAGEIFS(RECAP_final!$AM:$AM,RECAP_final!$E:$E,$A18,RECAP_final!$I:$I,0,RECAP_final!$Q:$Q,"Ano")</f>
        <v>#DIV/0!</v>
      </c>
      <c r="I18" s="168" t="e">
        <f>AVERAGEIFS(RECAP_final!$AR:$AR,RECAP_final!$E:$E,$A18,RECAP_final!$I:$I,0,RECAP_final!$Q:$Q,"Ano")</f>
        <v>#DIV/0!</v>
      </c>
      <c r="J18" s="168" t="e">
        <f>AVERAGEIFS(RECAP_final!$AS:$AS,RECAP_final!$E:$E,$A18,RECAP_final!$I:$I,0,RECAP_final!$Q:$Q,"Ano")</f>
        <v>#DIV/0!</v>
      </c>
      <c r="K18" s="168" t="e">
        <f>AVERAGEIFS(RECAP_final!$AT:$AT,RECAP_final!$E:$E,$A18,RECAP_final!$I:$I,0,RECAP_final!$Q:$Q,"Ano")</f>
        <v>#DIV/0!</v>
      </c>
      <c r="L18" s="168" t="e">
        <f>AVERAGEIFS(RECAP_final!$AU:$AU,RECAP_final!$E:$E,$A18,RECAP_final!$I:$I,0,RECAP_final!$Q:$Q,"Ano")</f>
        <v>#DIV/0!</v>
      </c>
      <c r="M18" s="167" t="e">
        <f>AVERAGEIFS(RECAP_final!$AW:$AW,RECAP_final!$E:$E,$A18,RECAP_final!$I:$I,0,RECAP_final!$Q:$Q,"Ano")</f>
        <v>#DIV/0!</v>
      </c>
      <c r="N18" s="169" t="e">
        <f>AVERAGEIFS(RECAP_final!$AW:$AW,RECAP_final!$E:$E,$A18,RECAP_final!$I:$I,0,RECAP_final!$Q:$Q,"Ano")</f>
        <v>#DIV/0!</v>
      </c>
      <c r="O18" s="170" t="e">
        <f>AVERAGEIFS(RECAP_final!$AX:$AX,RECAP_final!$E:$E,$A18,RECAP_final!$I:$I,0,RECAP_final!$Q:$Q,"Ano")</f>
        <v>#DIV/0!</v>
      </c>
      <c r="P18" s="171" t="e">
        <f>AVERAGEIFS(RECAP_final!$AZ:$AZ,RECAP_final!$E:$E,$A18,RECAP_final!$I:$I,0,RECAP_final!$Q:$Q,"Ano")</f>
        <v>#DIV/0!</v>
      </c>
      <c r="Q18" s="171" t="str">
        <f>IFERROR(AVERAGEIFS(RECAP_final!$AZ:$AZ,RECAP_final!$E:$E,$A18,RECAP_final!$I:$I,0,RECAP_final!$Q:$Q,"Ne"),"")</f>
        <v/>
      </c>
      <c r="R18" s="87">
        <f>COUNTIFS(RECAP_final!$E:$E,$A18,RECAP_final!$Q:$Q,"Ne",RECAP_final!$I:$I,0)</f>
        <v>0</v>
      </c>
      <c r="S18" s="167" t="str">
        <f>IFERROR(AVERAGEIFS(RECAP_final!$F:$F,RECAP_final!$E:$E,$A18,RECAP_final!$I:$I,0,RECAP_final!$Q:$Q,"ne"),"")</f>
        <v/>
      </c>
      <c r="T18" s="167" t="str">
        <f>IFERROR(AVERAGEIFS(RECAP_final!$AL:$AL,RECAP_final!$E:$E,$A18,RECAP_final!$I:$I,0,RECAP_final!$Q:$Q,"Ne"),"")</f>
        <v/>
      </c>
      <c r="U18" s="168" t="str">
        <f>IFERROR(AVERAGEIFS(RECAP_final!$AM:$AM,RECAP_final!$E:$E,$A18,RECAP_final!$I:$I,0,RECAP_final!$Q:$Q,"Ne"),"")</f>
        <v/>
      </c>
      <c r="V18" s="168" t="str">
        <f>IFERROR(AVERAGEIFS(RECAP_final!$AR:$AR,RECAP_final!$E:$E,$A18,RECAP_final!$I:$I,0,RECAP_final!$Q:$Q,"Ne"),"")</f>
        <v/>
      </c>
      <c r="W18" s="168" t="str">
        <f>IFERROR(AVERAGEIFS(RECAP_final!$AS:$AS,RECAP_final!$E:$E,$A18,RECAP_final!$I:$I,0,RECAP_final!$Q:$Q,"Ne"),"")</f>
        <v/>
      </c>
      <c r="X18" s="168" t="str">
        <f>IFERROR(AVERAGEIFS(RECAP_final!$AT:$AT,RECAP_final!$E:$E,$A18,RECAP_final!$I:$I,0,RECAP_final!$Q:$Q,"Ne"),"")</f>
        <v/>
      </c>
      <c r="Y18" s="168" t="str">
        <f>IFERROR(AVERAGEIFS(RECAP_final!$AU:$AU,RECAP_final!$E:$E,$A18,RECAP_final!$I:$I,0,RECAP_final!$Q:$Q,"Ne"),"")</f>
        <v/>
      </c>
      <c r="Z18" s="167" t="str">
        <f>IFERROR(AVERAGEIFS(RECAP_final!$AV:$AV,RECAP_final!$E:$E,$A18,RECAP_final!$I:$I,0,RECAP_final!$Q:$Q,"Ne"),"")</f>
        <v/>
      </c>
      <c r="AA18" s="169" t="str">
        <f>IFERROR(AVERAGEIFS(RECAP_final!$AW:$AW,RECAP_final!$E:$E,$A18,RECAP_final!$I:$I,0,RECAP_final!$Q:$Q,"Ne"),"")</f>
        <v/>
      </c>
      <c r="AB18" s="170" t="str">
        <f>IFERROR(AVERAGEIFS(RECAP_final!$AX:$AX,RECAP_final!$E:$E,$A18,RECAP_final!$I:$I,0,RECAP_final!$Q:$Q,"Ne"),"")</f>
        <v/>
      </c>
      <c r="AC18" s="168" t="e">
        <f>AVERAGEIFS(RECAP_final!$BA:$BA,RECAP_final!$E:$E,$A18,RECAP_final!$I:$I,0,RECAP_final!$Q:$Q,"Ano")</f>
        <v>#DIV/0!</v>
      </c>
      <c r="AD18" s="168" t="str">
        <f>IFERROR(AVERAGEIFS(RECAP_final!$BA:$BA,RECAP_final!$E:$E,$A18,RECAP_final!$I:$I,0,RECAP_final!$Q:$Q,"Ne"),"")</f>
        <v/>
      </c>
      <c r="AE18" s="172" t="s">
        <v>48</v>
      </c>
      <c r="AF18" s="173" t="str">
        <f>VLOOKUP($AE18,RECAP_final!$B:$H,6,0)</f>
        <v>47.30</v>
      </c>
      <c r="AG18" s="158" t="str">
        <f>VLOOKUP($AE18,RECAP_final!$B:$H,7,0)</f>
        <v>Fuel retail</v>
      </c>
      <c r="AH18" s="158" t="s">
        <v>138</v>
      </c>
      <c r="AI18" s="47">
        <f>+AI17</f>
        <v>43242</v>
      </c>
      <c r="AJ18" s="193" t="s">
        <v>71</v>
      </c>
      <c r="AK18" s="158" t="s">
        <v>62</v>
      </c>
      <c r="AL18" s="173" t="s">
        <v>53</v>
      </c>
    </row>
    <row r="19" spans="1:38" x14ac:dyDescent="0.3">
      <c r="A19" s="164">
        <f t="shared" si="0"/>
        <v>2007</v>
      </c>
      <c r="B19" s="165">
        <f>COUNTIFS(RECAP_final!E:E,Tabs!A19)</f>
        <v>5</v>
      </c>
      <c r="C19" s="165">
        <f>COUNTIFS(RECAP_final!E:E,Tabs!A19,RECAP_final!I:I,1)</f>
        <v>1</v>
      </c>
      <c r="D19" s="166">
        <f t="shared" si="1"/>
        <v>4</v>
      </c>
      <c r="E19" s="87">
        <f>COUNTIFS(RECAP_final!$E:$E,$A19,RECAP_final!$Q:$Q,"Ano",RECAP_final!$I:$I,0)</f>
        <v>0</v>
      </c>
      <c r="F19" s="167" t="e">
        <f>AVERAGEIFS(RECAP_final!$F:$F,RECAP_final!$E:$E,$A19,RECAP_final!$I:$I,0,RECAP_final!$Q:$Q,"Ano")</f>
        <v>#DIV/0!</v>
      </c>
      <c r="G19" s="167" t="e">
        <f>AVERAGEIFS(RECAP_final!$AL:$AL,RECAP_final!$E:$E,$A19,RECAP_final!$I:$I,0,RECAP_final!$Q:$Q,"Ano")</f>
        <v>#DIV/0!</v>
      </c>
      <c r="H19" s="168" t="e">
        <f>AVERAGEIFS(RECAP_final!$AM:$AM,RECAP_final!$E:$E,$A19,RECAP_final!$I:$I,0,RECAP_final!$Q:$Q,"Ano")</f>
        <v>#DIV/0!</v>
      </c>
      <c r="I19" s="168" t="e">
        <f>AVERAGEIFS(RECAP_final!$AR:$AR,RECAP_final!$E:$E,$A19,RECAP_final!$I:$I,0,RECAP_final!$Q:$Q,"Ano")</f>
        <v>#DIV/0!</v>
      </c>
      <c r="J19" s="168" t="e">
        <f>AVERAGEIFS(RECAP_final!$AS:$AS,RECAP_final!$E:$E,$A19,RECAP_final!$I:$I,0,RECAP_final!$Q:$Q,"Ano")</f>
        <v>#DIV/0!</v>
      </c>
      <c r="K19" s="168" t="e">
        <f>AVERAGEIFS(RECAP_final!$AT:$AT,RECAP_final!$E:$E,$A19,RECAP_final!$I:$I,0,RECAP_final!$Q:$Q,"Ano")</f>
        <v>#DIV/0!</v>
      </c>
      <c r="L19" s="168" t="e">
        <f>AVERAGEIFS(RECAP_final!$AU:$AU,RECAP_final!$E:$E,$A19,RECAP_final!$I:$I,0,RECAP_final!$Q:$Q,"Ano")</f>
        <v>#DIV/0!</v>
      </c>
      <c r="M19" s="167" t="e">
        <f>AVERAGEIFS(RECAP_final!$AW:$AW,RECAP_final!$E:$E,$A19,RECAP_final!$I:$I,0,RECAP_final!$Q:$Q,"Ano")</f>
        <v>#DIV/0!</v>
      </c>
      <c r="N19" s="169" t="e">
        <f>AVERAGEIFS(RECAP_final!$AW:$AW,RECAP_final!$E:$E,$A19,RECAP_final!$I:$I,0,RECAP_final!$Q:$Q,"Ano")</f>
        <v>#DIV/0!</v>
      </c>
      <c r="O19" s="170" t="e">
        <f>AVERAGEIFS(RECAP_final!$AX:$AX,RECAP_final!$E:$E,$A19,RECAP_final!$I:$I,0,RECAP_final!$Q:$Q,"Ano")</f>
        <v>#DIV/0!</v>
      </c>
      <c r="P19" s="171" t="e">
        <f>AVERAGEIFS(RECAP_final!$AZ:$AZ,RECAP_final!$E:$E,$A19,RECAP_final!$I:$I,0,RECAP_final!$Q:$Q,"Ano")</f>
        <v>#DIV/0!</v>
      </c>
      <c r="Q19" s="171" t="str">
        <f>IFERROR(AVERAGEIFS(RECAP_final!$AZ:$AZ,RECAP_final!$E:$E,$A19,RECAP_final!$I:$I,0,RECAP_final!$Q:$Q,"Ne"),"")</f>
        <v/>
      </c>
      <c r="R19" s="87">
        <f>COUNTIFS(RECAP_final!$E:$E,$A19,RECAP_final!$Q:$Q,"Ne",RECAP_final!$I:$I,0)</f>
        <v>0</v>
      </c>
      <c r="S19" s="167" t="str">
        <f>IFERROR(AVERAGEIFS(RECAP_final!$F:$F,RECAP_final!$E:$E,$A19,RECAP_final!$I:$I,0,RECAP_final!$Q:$Q,"ne"),"")</f>
        <v/>
      </c>
      <c r="T19" s="167" t="str">
        <f>IFERROR(AVERAGEIFS(RECAP_final!$AL:$AL,RECAP_final!$E:$E,$A19,RECAP_final!$I:$I,0,RECAP_final!$Q:$Q,"Ne"),"")</f>
        <v/>
      </c>
      <c r="U19" s="168" t="str">
        <f>IFERROR(AVERAGEIFS(RECAP_final!$AM:$AM,RECAP_final!$E:$E,$A19,RECAP_final!$I:$I,0,RECAP_final!$Q:$Q,"Ne"),"")</f>
        <v/>
      </c>
      <c r="V19" s="168" t="str">
        <f>IFERROR(AVERAGEIFS(RECAP_final!$AR:$AR,RECAP_final!$E:$E,$A19,RECAP_final!$I:$I,0,RECAP_final!$Q:$Q,"Ne"),"")</f>
        <v/>
      </c>
      <c r="W19" s="168" t="str">
        <f>IFERROR(AVERAGEIFS(RECAP_final!$AS:$AS,RECAP_final!$E:$E,$A19,RECAP_final!$I:$I,0,RECAP_final!$Q:$Q,"Ne"),"")</f>
        <v/>
      </c>
      <c r="X19" s="168" t="str">
        <f>IFERROR(AVERAGEIFS(RECAP_final!$AT:$AT,RECAP_final!$E:$E,$A19,RECAP_final!$I:$I,0,RECAP_final!$Q:$Q,"Ne"),"")</f>
        <v/>
      </c>
      <c r="Y19" s="168" t="str">
        <f>IFERROR(AVERAGEIFS(RECAP_final!$AU:$AU,RECAP_final!$E:$E,$A19,RECAP_final!$I:$I,0,RECAP_final!$Q:$Q,"Ne"),"")</f>
        <v/>
      </c>
      <c r="Z19" s="167" t="str">
        <f>IFERROR(AVERAGEIFS(RECAP_final!$AV:$AV,RECAP_final!$E:$E,$A19,RECAP_final!$I:$I,0,RECAP_final!$Q:$Q,"Ne"),"")</f>
        <v/>
      </c>
      <c r="AA19" s="169" t="str">
        <f>IFERROR(AVERAGEIFS(RECAP_final!$AW:$AW,RECAP_final!$E:$E,$A19,RECAP_final!$I:$I,0,RECAP_final!$Q:$Q,"Ne"),"")</f>
        <v/>
      </c>
      <c r="AB19" s="170" t="str">
        <f>IFERROR(AVERAGEIFS(RECAP_final!$AX:$AX,RECAP_final!$E:$E,$A19,RECAP_final!$I:$I,0,RECAP_final!$Q:$Q,"Ne"),"")</f>
        <v/>
      </c>
      <c r="AC19" s="168" t="e">
        <f>AVERAGEIFS(RECAP_final!$BA:$BA,RECAP_final!$E:$E,$A19,RECAP_final!$I:$I,0,RECAP_final!$Q:$Q,"Ano")</f>
        <v>#DIV/0!</v>
      </c>
      <c r="AD19" s="168" t="str">
        <f>IFERROR(AVERAGEIFS(RECAP_final!$BA:$BA,RECAP_final!$E:$E,$A19,RECAP_final!$I:$I,0,RECAP_final!$Q:$Q,"Ne"),"")</f>
        <v/>
      </c>
      <c r="AE19" s="172" t="s">
        <v>47</v>
      </c>
      <c r="AF19" s="173" t="str">
        <f>VLOOKUP($AE19,RECAP_final!$B:$H,6,0)</f>
        <v>47.30</v>
      </c>
      <c r="AG19" s="158" t="str">
        <f>VLOOKUP($AE19,RECAP_final!$B:$H,7,0)</f>
        <v>Fuel retail</v>
      </c>
      <c r="AH19" s="158" t="s">
        <v>138</v>
      </c>
      <c r="AI19" s="47">
        <f>+AI18</f>
        <v>43242</v>
      </c>
      <c r="AJ19" s="193" t="s">
        <v>71</v>
      </c>
      <c r="AK19" s="158" t="s">
        <v>62</v>
      </c>
      <c r="AL19" s="173" t="s">
        <v>53</v>
      </c>
    </row>
    <row r="20" spans="1:38" x14ac:dyDescent="0.3">
      <c r="A20" s="164">
        <f t="shared" si="0"/>
        <v>2008</v>
      </c>
      <c r="B20" s="165">
        <f>COUNTIFS(RECAP_final!E:E,Tabs!A20)</f>
        <v>5</v>
      </c>
      <c r="C20" s="165">
        <f>COUNTIFS(RECAP_final!E:E,Tabs!A20,RECAP_final!I:I,1)</f>
        <v>1</v>
      </c>
      <c r="D20" s="166">
        <f t="shared" si="1"/>
        <v>4</v>
      </c>
      <c r="E20" s="87">
        <f>COUNTIFS(RECAP_final!$E:$E,$A20,RECAP_final!$Q:$Q,"Ano",RECAP_final!$I:$I,0)</f>
        <v>0</v>
      </c>
      <c r="F20" s="167" t="e">
        <f>AVERAGEIFS(RECAP_final!$F:$F,RECAP_final!$E:$E,$A20,RECAP_final!$I:$I,0,RECAP_final!$Q:$Q,"Ano")</f>
        <v>#DIV/0!</v>
      </c>
      <c r="G20" s="167" t="e">
        <f>AVERAGEIFS(RECAP_final!$AL:$AL,RECAP_final!$E:$E,$A20,RECAP_final!$I:$I,0,RECAP_final!$Q:$Q,"Ano")</f>
        <v>#DIV/0!</v>
      </c>
      <c r="H20" s="168" t="e">
        <f>AVERAGEIFS(RECAP_final!$AM:$AM,RECAP_final!$E:$E,$A20,RECAP_final!$I:$I,0,RECAP_final!$Q:$Q,"Ano")</f>
        <v>#DIV/0!</v>
      </c>
      <c r="I20" s="168" t="e">
        <f>AVERAGEIFS(RECAP_final!$AR:$AR,RECAP_final!$E:$E,$A20,RECAP_final!$I:$I,0,RECAP_final!$Q:$Q,"Ano")</f>
        <v>#DIV/0!</v>
      </c>
      <c r="J20" s="168" t="e">
        <f>AVERAGEIFS(RECAP_final!$AS:$AS,RECAP_final!$E:$E,$A20,RECAP_final!$I:$I,0,RECAP_final!$Q:$Q,"Ano")</f>
        <v>#DIV/0!</v>
      </c>
      <c r="K20" s="168" t="e">
        <f>AVERAGEIFS(RECAP_final!$AT:$AT,RECAP_final!$E:$E,$A20,RECAP_final!$I:$I,0,RECAP_final!$Q:$Q,"Ano")</f>
        <v>#DIV/0!</v>
      </c>
      <c r="L20" s="168" t="e">
        <f>AVERAGEIFS(RECAP_final!$AU:$AU,RECAP_final!$E:$E,$A20,RECAP_final!$I:$I,0,RECAP_final!$Q:$Q,"Ano")</f>
        <v>#DIV/0!</v>
      </c>
      <c r="M20" s="167" t="e">
        <f>AVERAGEIFS(RECAP_final!$AW:$AW,RECAP_final!$E:$E,$A20,RECAP_final!$I:$I,0,RECAP_final!$Q:$Q,"Ano")</f>
        <v>#DIV/0!</v>
      </c>
      <c r="N20" s="169" t="e">
        <f>AVERAGEIFS(RECAP_final!$AW:$AW,RECAP_final!$E:$E,$A20,RECAP_final!$I:$I,0,RECAP_final!$Q:$Q,"Ano")</f>
        <v>#DIV/0!</v>
      </c>
      <c r="O20" s="170" t="e">
        <f>AVERAGEIFS(RECAP_final!$AX:$AX,RECAP_final!$E:$E,$A20,RECAP_final!$I:$I,0,RECAP_final!$Q:$Q,"Ano")</f>
        <v>#DIV/0!</v>
      </c>
      <c r="P20" s="171" t="e">
        <f>AVERAGEIFS(RECAP_final!$AZ:$AZ,RECAP_final!$E:$E,$A20,RECAP_final!$I:$I,0,RECAP_final!$Q:$Q,"Ano")</f>
        <v>#DIV/0!</v>
      </c>
      <c r="Q20" s="171" t="str">
        <f>IFERROR(AVERAGEIFS(RECAP_final!$AZ:$AZ,RECAP_final!$E:$E,$A20,RECAP_final!$I:$I,0,RECAP_final!$Q:$Q,"Ne"),"")</f>
        <v/>
      </c>
      <c r="R20" s="87">
        <f>COUNTIFS(RECAP_final!$E:$E,$A20,RECAP_final!$Q:$Q,"Ne",RECAP_final!$I:$I,0)</f>
        <v>0</v>
      </c>
      <c r="S20" s="167" t="str">
        <f>IFERROR(AVERAGEIFS(RECAP_final!$F:$F,RECAP_final!$E:$E,$A20,RECAP_final!$I:$I,0,RECAP_final!$Q:$Q,"ne"),"")</f>
        <v/>
      </c>
      <c r="T20" s="167" t="str">
        <f>IFERROR(AVERAGEIFS(RECAP_final!$AL:$AL,RECAP_final!$E:$E,$A20,RECAP_final!$I:$I,0,RECAP_final!$Q:$Q,"Ne"),"")</f>
        <v/>
      </c>
      <c r="U20" s="168" t="str">
        <f>IFERROR(AVERAGEIFS(RECAP_final!$AM:$AM,RECAP_final!$E:$E,$A20,RECAP_final!$I:$I,0,RECAP_final!$Q:$Q,"Ne"),"")</f>
        <v/>
      </c>
      <c r="V20" s="168" t="str">
        <f>IFERROR(AVERAGEIFS(RECAP_final!$AR:$AR,RECAP_final!$E:$E,$A20,RECAP_final!$I:$I,0,RECAP_final!$Q:$Q,"Ne"),"")</f>
        <v/>
      </c>
      <c r="W20" s="168" t="str">
        <f>IFERROR(AVERAGEIFS(RECAP_final!$AS:$AS,RECAP_final!$E:$E,$A20,RECAP_final!$I:$I,0,RECAP_final!$Q:$Q,"Ne"),"")</f>
        <v/>
      </c>
      <c r="X20" s="168" t="str">
        <f>IFERROR(AVERAGEIFS(RECAP_final!$AT:$AT,RECAP_final!$E:$E,$A20,RECAP_final!$I:$I,0,RECAP_final!$Q:$Q,"Ne"),"")</f>
        <v/>
      </c>
      <c r="Y20" s="168" t="str">
        <f>IFERROR(AVERAGEIFS(RECAP_final!$AU:$AU,RECAP_final!$E:$E,$A20,RECAP_final!$I:$I,0,RECAP_final!$Q:$Q,"Ne"),"")</f>
        <v/>
      </c>
      <c r="Z20" s="167" t="str">
        <f>IFERROR(AVERAGEIFS(RECAP_final!$AV:$AV,RECAP_final!$E:$E,$A20,RECAP_final!$I:$I,0,RECAP_final!$Q:$Q,"Ne"),"")</f>
        <v/>
      </c>
      <c r="AA20" s="169" t="str">
        <f>IFERROR(AVERAGEIFS(RECAP_final!$AW:$AW,RECAP_final!$E:$E,$A20,RECAP_final!$I:$I,0,RECAP_final!$Q:$Q,"Ne"),"")</f>
        <v/>
      </c>
      <c r="AB20" s="170" t="str">
        <f>IFERROR(AVERAGEIFS(RECAP_final!$AX:$AX,RECAP_final!$E:$E,$A20,RECAP_final!$I:$I,0,RECAP_final!$Q:$Q,"Ne"),"")</f>
        <v/>
      </c>
      <c r="AC20" s="168" t="e">
        <f>AVERAGEIFS(RECAP_final!$BA:$BA,RECAP_final!$E:$E,$A20,RECAP_final!$I:$I,0,RECAP_final!$Q:$Q,"Ano")</f>
        <v>#DIV/0!</v>
      </c>
      <c r="AD20" s="168" t="str">
        <f>IFERROR(AVERAGEIFS(RECAP_final!$BA:$BA,RECAP_final!$E:$E,$A20,RECAP_final!$I:$I,0,RECAP_final!$Q:$Q,"Ne"),"")</f>
        <v/>
      </c>
      <c r="AE20" s="172" t="s">
        <v>49</v>
      </c>
      <c r="AF20" s="173" t="str">
        <f>VLOOKUP($AE20,RECAP_final!$B:$H,6,0)</f>
        <v>47.30</v>
      </c>
      <c r="AG20" s="158" t="str">
        <f>VLOOKUP($AE20,RECAP_final!$B:$H,7,0)</f>
        <v>Fuel retail</v>
      </c>
      <c r="AH20" s="158" t="s">
        <v>138</v>
      </c>
      <c r="AI20" s="47">
        <f>+AI19</f>
        <v>43242</v>
      </c>
      <c r="AJ20" s="193" t="s">
        <v>71</v>
      </c>
      <c r="AK20" s="158" t="s">
        <v>62</v>
      </c>
      <c r="AL20" s="173" t="s">
        <v>53</v>
      </c>
    </row>
    <row r="21" spans="1:38" x14ac:dyDescent="0.3">
      <c r="A21" s="164">
        <f t="shared" si="0"/>
        <v>2009</v>
      </c>
      <c r="B21" s="165">
        <f>COUNTIFS(RECAP_final!E:E,Tabs!A21)</f>
        <v>5</v>
      </c>
      <c r="C21" s="165">
        <f>COUNTIFS(RECAP_final!E:E,Tabs!A21,RECAP_final!I:I,1)</f>
        <v>1</v>
      </c>
      <c r="D21" s="166">
        <f t="shared" si="1"/>
        <v>4</v>
      </c>
      <c r="E21" s="87">
        <f>COUNTIFS(RECAP_final!$E:$E,$A21,RECAP_final!$Q:$Q,"Ano",RECAP_final!$I:$I,0)</f>
        <v>0</v>
      </c>
      <c r="F21" s="167" t="e">
        <f>AVERAGEIFS(RECAP_final!$F:$F,RECAP_final!$E:$E,$A21,RECAP_final!$I:$I,0,RECAP_final!$Q:$Q,"Ano")</f>
        <v>#DIV/0!</v>
      </c>
      <c r="G21" s="167" t="e">
        <f>AVERAGEIFS(RECAP_final!$AL:$AL,RECAP_final!$E:$E,$A21,RECAP_final!$I:$I,0,RECAP_final!$Q:$Q,"Ano")</f>
        <v>#DIV/0!</v>
      </c>
      <c r="H21" s="168" t="e">
        <f>AVERAGEIFS(RECAP_final!$AM:$AM,RECAP_final!$E:$E,$A21,RECAP_final!$I:$I,0,RECAP_final!$Q:$Q,"Ano")</f>
        <v>#DIV/0!</v>
      </c>
      <c r="I21" s="168" t="e">
        <f>AVERAGEIFS(RECAP_final!$AR:$AR,RECAP_final!$E:$E,$A21,RECAP_final!$I:$I,0,RECAP_final!$Q:$Q,"Ano")</f>
        <v>#DIV/0!</v>
      </c>
      <c r="J21" s="168" t="e">
        <f>AVERAGEIFS(RECAP_final!$AS:$AS,RECAP_final!$E:$E,$A21,RECAP_final!$I:$I,0,RECAP_final!$Q:$Q,"Ano")</f>
        <v>#DIV/0!</v>
      </c>
      <c r="K21" s="168" t="e">
        <f>AVERAGEIFS(RECAP_final!$AT:$AT,RECAP_final!$E:$E,$A21,RECAP_final!$I:$I,0,RECAP_final!$Q:$Q,"Ano")</f>
        <v>#DIV/0!</v>
      </c>
      <c r="L21" s="168" t="e">
        <f>AVERAGEIFS(RECAP_final!$AU:$AU,RECAP_final!$E:$E,$A21,RECAP_final!$I:$I,0,RECAP_final!$Q:$Q,"Ano")</f>
        <v>#DIV/0!</v>
      </c>
      <c r="M21" s="167" t="e">
        <f>AVERAGEIFS(RECAP_final!$AW:$AW,RECAP_final!$E:$E,$A21,RECAP_final!$I:$I,0,RECAP_final!$Q:$Q,"Ano")</f>
        <v>#DIV/0!</v>
      </c>
      <c r="N21" s="169" t="e">
        <f>AVERAGEIFS(RECAP_final!$AW:$AW,RECAP_final!$E:$E,$A21,RECAP_final!$I:$I,0,RECAP_final!$Q:$Q,"Ano")</f>
        <v>#DIV/0!</v>
      </c>
      <c r="O21" s="170" t="e">
        <f>AVERAGEIFS(RECAP_final!$AX:$AX,RECAP_final!$E:$E,$A21,RECAP_final!$I:$I,0,RECAP_final!$Q:$Q,"Ano")</f>
        <v>#DIV/0!</v>
      </c>
      <c r="P21" s="171" t="e">
        <f>AVERAGEIFS(RECAP_final!$AZ:$AZ,RECAP_final!$E:$E,$A21,RECAP_final!$I:$I,0,RECAP_final!$Q:$Q,"Ano")</f>
        <v>#DIV/0!</v>
      </c>
      <c r="Q21" s="171" t="str">
        <f>IFERROR(AVERAGEIFS(RECAP_final!$AZ:$AZ,RECAP_final!$E:$E,$A21,RECAP_final!$I:$I,0,RECAP_final!$Q:$Q,"Ne"),"")</f>
        <v/>
      </c>
      <c r="R21" s="87">
        <f>COUNTIFS(RECAP_final!$E:$E,$A21,RECAP_final!$Q:$Q,"Ne",RECAP_final!$I:$I,0)</f>
        <v>0</v>
      </c>
      <c r="S21" s="167" t="str">
        <f>IFERROR(AVERAGEIFS(RECAP_final!$F:$F,RECAP_final!$E:$E,$A21,RECAP_final!$I:$I,0,RECAP_final!$Q:$Q,"ne"),"")</f>
        <v/>
      </c>
      <c r="T21" s="167" t="str">
        <f>IFERROR(AVERAGEIFS(RECAP_final!$AL:$AL,RECAP_final!$E:$E,$A21,RECAP_final!$I:$I,0,RECAP_final!$Q:$Q,"Ne"),"")</f>
        <v/>
      </c>
      <c r="U21" s="168" t="str">
        <f>IFERROR(AVERAGEIFS(RECAP_final!$AM:$AM,RECAP_final!$E:$E,$A21,RECAP_final!$I:$I,0,RECAP_final!$Q:$Q,"Ne"),"")</f>
        <v/>
      </c>
      <c r="V21" s="168" t="str">
        <f>IFERROR(AVERAGEIFS(RECAP_final!$AR:$AR,RECAP_final!$E:$E,$A21,RECAP_final!$I:$I,0,RECAP_final!$Q:$Q,"Ne"),"")</f>
        <v/>
      </c>
      <c r="W21" s="168" t="str">
        <f>IFERROR(AVERAGEIFS(RECAP_final!$AS:$AS,RECAP_final!$E:$E,$A21,RECAP_final!$I:$I,0,RECAP_final!$Q:$Q,"Ne"),"")</f>
        <v/>
      </c>
      <c r="X21" s="168" t="str">
        <f>IFERROR(AVERAGEIFS(RECAP_final!$AT:$AT,RECAP_final!$E:$E,$A21,RECAP_final!$I:$I,0,RECAP_final!$Q:$Q,"Ne"),"")</f>
        <v/>
      </c>
      <c r="Y21" s="168" t="str">
        <f>IFERROR(AVERAGEIFS(RECAP_final!$AU:$AU,RECAP_final!$E:$E,$A21,RECAP_final!$I:$I,0,RECAP_final!$Q:$Q,"Ne"),"")</f>
        <v/>
      </c>
      <c r="Z21" s="167" t="str">
        <f>IFERROR(AVERAGEIFS(RECAP_final!$AV:$AV,RECAP_final!$E:$E,$A21,RECAP_final!$I:$I,0,RECAP_final!$Q:$Q,"Ne"),"")</f>
        <v/>
      </c>
      <c r="AA21" s="169" t="str">
        <f>IFERROR(AVERAGEIFS(RECAP_final!$AW:$AW,RECAP_final!$E:$E,$A21,RECAP_final!$I:$I,0,RECAP_final!$Q:$Q,"Ne"),"")</f>
        <v/>
      </c>
      <c r="AB21" s="170" t="str">
        <f>IFERROR(AVERAGEIFS(RECAP_final!$AX:$AX,RECAP_final!$E:$E,$A21,RECAP_final!$I:$I,0,RECAP_final!$Q:$Q,"Ne"),"")</f>
        <v/>
      </c>
      <c r="AC21" s="168" t="e">
        <f>AVERAGEIFS(RECAP_final!$BA:$BA,RECAP_final!$E:$E,$A21,RECAP_final!$I:$I,0,RECAP_final!$Q:$Q,"Ano")</f>
        <v>#DIV/0!</v>
      </c>
      <c r="AD21" s="168" t="str">
        <f>IFERROR(AVERAGEIFS(RECAP_final!$BA:$BA,RECAP_final!$E:$E,$A21,RECAP_final!$I:$I,0,RECAP_final!$Q:$Q,"Ne"),"")</f>
        <v/>
      </c>
      <c r="AE21" s="172" t="s">
        <v>52</v>
      </c>
      <c r="AF21" s="173" t="str">
        <f>VLOOKUP($AE21,RECAP_final!$B:$H,6,0)</f>
        <v>64.19</v>
      </c>
      <c r="AG21" s="158" t="str">
        <f>VLOOKUP($AE21,RECAP_final!$B:$H,7,0)</f>
        <v>Other monetary intermediation</v>
      </c>
      <c r="AH21" s="158" t="s">
        <v>137</v>
      </c>
      <c r="AI21" s="158"/>
      <c r="AJ21" s="193" t="s">
        <v>142</v>
      </c>
      <c r="AK21" s="158" t="s">
        <v>60</v>
      </c>
      <c r="AL21" s="173" t="s">
        <v>53</v>
      </c>
    </row>
    <row r="22" spans="1:38" x14ac:dyDescent="0.3">
      <c r="A22" s="164">
        <f t="shared" si="0"/>
        <v>2010</v>
      </c>
      <c r="B22" s="165">
        <f>COUNTIFS(RECAP_final!E:E,Tabs!A22)</f>
        <v>5</v>
      </c>
      <c r="C22" s="165">
        <f>COUNTIFS(RECAP_final!E:E,Tabs!A22,RECAP_final!I:I,1)</f>
        <v>1</v>
      </c>
      <c r="D22" s="166">
        <f t="shared" si="1"/>
        <v>4</v>
      </c>
      <c r="E22" s="87">
        <f>COUNTIFS(RECAP_final!$E:$E,$A22,RECAP_final!$Q:$Q,"Ano",RECAP_final!$I:$I,0)</f>
        <v>0</v>
      </c>
      <c r="F22" s="167" t="e">
        <f>AVERAGEIFS(RECAP_final!$F:$F,RECAP_final!$E:$E,$A22,RECAP_final!$I:$I,0,RECAP_final!$Q:$Q,"Ano")</f>
        <v>#DIV/0!</v>
      </c>
      <c r="G22" s="167" t="e">
        <f>AVERAGEIFS(RECAP_final!$AL:$AL,RECAP_final!$E:$E,$A22,RECAP_final!$I:$I,0,RECAP_final!$Q:$Q,"Ano")</f>
        <v>#DIV/0!</v>
      </c>
      <c r="H22" s="168" t="e">
        <f>AVERAGEIFS(RECAP_final!$AM:$AM,RECAP_final!$E:$E,$A22,RECAP_final!$I:$I,0,RECAP_final!$Q:$Q,"Ano")</f>
        <v>#DIV/0!</v>
      </c>
      <c r="I22" s="168" t="e">
        <f>AVERAGEIFS(RECAP_final!$AR:$AR,RECAP_final!$E:$E,$A22,RECAP_final!$I:$I,0,RECAP_final!$Q:$Q,"Ano")</f>
        <v>#DIV/0!</v>
      </c>
      <c r="J22" s="168" t="e">
        <f>AVERAGEIFS(RECAP_final!$AS:$AS,RECAP_final!$E:$E,$A22,RECAP_final!$I:$I,0,RECAP_final!$Q:$Q,"Ano")</f>
        <v>#DIV/0!</v>
      </c>
      <c r="K22" s="168" t="e">
        <f>AVERAGEIFS(RECAP_final!$AT:$AT,RECAP_final!$E:$E,$A22,RECAP_final!$I:$I,0,RECAP_final!$Q:$Q,"Ano")</f>
        <v>#DIV/0!</v>
      </c>
      <c r="L22" s="168" t="e">
        <f>AVERAGEIFS(RECAP_final!$AU:$AU,RECAP_final!$E:$E,$A22,RECAP_final!$I:$I,0,RECAP_final!$Q:$Q,"Ano")</f>
        <v>#DIV/0!</v>
      </c>
      <c r="M22" s="167" t="e">
        <f>AVERAGEIFS(RECAP_final!$AW:$AW,RECAP_final!$E:$E,$A22,RECAP_final!$I:$I,0,RECAP_final!$Q:$Q,"Ano")</f>
        <v>#DIV/0!</v>
      </c>
      <c r="N22" s="169" t="e">
        <f>AVERAGEIFS(RECAP_final!$AW:$AW,RECAP_final!$E:$E,$A22,RECAP_final!$I:$I,0,RECAP_final!$Q:$Q,"Ano")</f>
        <v>#DIV/0!</v>
      </c>
      <c r="O22" s="170" t="e">
        <f>AVERAGEIFS(RECAP_final!$AX:$AX,RECAP_final!$E:$E,$A22,RECAP_final!$I:$I,0,RECAP_final!$Q:$Q,"Ano")</f>
        <v>#DIV/0!</v>
      </c>
      <c r="P22" s="171" t="e">
        <f>AVERAGEIFS(RECAP_final!$AZ:$AZ,RECAP_final!$E:$E,$A22,RECAP_final!$I:$I,0,RECAP_final!$Q:$Q,"Ano")</f>
        <v>#DIV/0!</v>
      </c>
      <c r="Q22" s="171" t="str">
        <f>IFERROR(AVERAGEIFS(RECAP_final!$AZ:$AZ,RECAP_final!$E:$E,$A22,RECAP_final!$I:$I,0,RECAP_final!$Q:$Q,"Ne"),"")</f>
        <v/>
      </c>
      <c r="R22" s="87">
        <f>COUNTIFS(RECAP_final!$E:$E,$A22,RECAP_final!$Q:$Q,"Ne",RECAP_final!$I:$I,0)</f>
        <v>0</v>
      </c>
      <c r="S22" s="167" t="str">
        <f>IFERROR(AVERAGEIFS(RECAP_final!$F:$F,RECAP_final!$E:$E,$A22,RECAP_final!$I:$I,0,RECAP_final!$Q:$Q,"ne"),"")</f>
        <v/>
      </c>
      <c r="T22" s="167" t="str">
        <f>IFERROR(AVERAGEIFS(RECAP_final!$AL:$AL,RECAP_final!$E:$E,$A22,RECAP_final!$I:$I,0,RECAP_final!$Q:$Q,"Ne"),"")</f>
        <v/>
      </c>
      <c r="U22" s="168" t="str">
        <f>IFERROR(AVERAGEIFS(RECAP_final!$AM:$AM,RECAP_final!$E:$E,$A22,RECAP_final!$I:$I,0,RECAP_final!$Q:$Q,"Ne"),"")</f>
        <v/>
      </c>
      <c r="V22" s="168" t="str">
        <f>IFERROR(AVERAGEIFS(RECAP_final!$AR:$AR,RECAP_final!$E:$E,$A22,RECAP_final!$I:$I,0,RECAP_final!$Q:$Q,"Ne"),"")</f>
        <v/>
      </c>
      <c r="W22" s="168" t="str">
        <f>IFERROR(AVERAGEIFS(RECAP_final!$AS:$AS,RECAP_final!$E:$E,$A22,RECAP_final!$I:$I,0,RECAP_final!$Q:$Q,"Ne"),"")</f>
        <v/>
      </c>
      <c r="X22" s="168" t="str">
        <f>IFERROR(AVERAGEIFS(RECAP_final!$AT:$AT,RECAP_final!$E:$E,$A22,RECAP_final!$I:$I,0,RECAP_final!$Q:$Q,"Ne"),"")</f>
        <v/>
      </c>
      <c r="Y22" s="168" t="str">
        <f>IFERROR(AVERAGEIFS(RECAP_final!$AU:$AU,RECAP_final!$E:$E,$A22,RECAP_final!$I:$I,0,RECAP_final!$Q:$Q,"Ne"),"")</f>
        <v/>
      </c>
      <c r="Z22" s="167" t="str">
        <f>IFERROR(AVERAGEIFS(RECAP_final!$AV:$AV,RECAP_final!$E:$E,$A22,RECAP_final!$I:$I,0,RECAP_final!$Q:$Q,"Ne"),"")</f>
        <v/>
      </c>
      <c r="AA22" s="169" t="str">
        <f>IFERROR(AVERAGEIFS(RECAP_final!$AW:$AW,RECAP_final!$E:$E,$A22,RECAP_final!$I:$I,0,RECAP_final!$Q:$Q,"Ne"),"")</f>
        <v/>
      </c>
      <c r="AB22" s="170" t="str">
        <f>IFERROR(AVERAGEIFS(RECAP_final!$AX:$AX,RECAP_final!$E:$E,$A22,RECAP_final!$I:$I,0,RECAP_final!$Q:$Q,"Ne"),"")</f>
        <v/>
      </c>
      <c r="AC22" s="168" t="e">
        <f>AVERAGEIFS(RECAP_final!$BA:$BA,RECAP_final!$E:$E,$A22,RECAP_final!$I:$I,0,RECAP_final!$Q:$Q,"Ano")</f>
        <v>#DIV/0!</v>
      </c>
      <c r="AD22" s="168" t="str">
        <f>IFERROR(AVERAGEIFS(RECAP_final!$BA:$BA,RECAP_final!$E:$E,$A22,RECAP_final!$I:$I,0,RECAP_final!$Q:$Q,"Ne"),"")</f>
        <v/>
      </c>
      <c r="AE22" s="194" t="s">
        <v>73</v>
      </c>
      <c r="AF22" s="158"/>
      <c r="AG22" s="158"/>
      <c r="AH22" s="158"/>
      <c r="AI22" s="158"/>
      <c r="AJ22" s="193" t="s">
        <v>72</v>
      </c>
      <c r="AK22" s="158" t="s">
        <v>60</v>
      </c>
      <c r="AL22" s="173" t="s">
        <v>54</v>
      </c>
    </row>
    <row r="23" spans="1:38" x14ac:dyDescent="0.3">
      <c r="A23" s="164">
        <f t="shared" si="0"/>
        <v>2011</v>
      </c>
      <c r="B23" s="165">
        <f>COUNTIFS(RECAP_final!E:E,Tabs!A23)</f>
        <v>5</v>
      </c>
      <c r="C23" s="165">
        <f>COUNTIFS(RECAP_final!E:E,Tabs!A23,RECAP_final!I:I,1)</f>
        <v>1</v>
      </c>
      <c r="D23" s="166">
        <f t="shared" si="1"/>
        <v>4</v>
      </c>
      <c r="E23" s="87">
        <f>COUNTIFS(RECAP_final!$E:$E,$A23,RECAP_final!$Q:$Q,"Ano",RECAP_final!$I:$I,0)</f>
        <v>0</v>
      </c>
      <c r="F23" s="167" t="e">
        <f>AVERAGEIFS(RECAP_final!$F:$F,RECAP_final!$E:$E,$A23,RECAP_final!$I:$I,0,RECAP_final!$Q:$Q,"Ano")</f>
        <v>#DIV/0!</v>
      </c>
      <c r="G23" s="167" t="e">
        <f>AVERAGEIFS(RECAP_final!$AL:$AL,RECAP_final!$E:$E,$A23,RECAP_final!$I:$I,0,RECAP_final!$Q:$Q,"Ano")</f>
        <v>#DIV/0!</v>
      </c>
      <c r="H23" s="168" t="e">
        <f>AVERAGEIFS(RECAP_final!$AM:$AM,RECAP_final!$E:$E,$A23,RECAP_final!$I:$I,0,RECAP_final!$Q:$Q,"Ano")</f>
        <v>#DIV/0!</v>
      </c>
      <c r="I23" s="168" t="e">
        <f>AVERAGEIFS(RECAP_final!$AR:$AR,RECAP_final!$E:$E,$A23,RECAP_final!$I:$I,0,RECAP_final!$Q:$Q,"Ano")</f>
        <v>#DIV/0!</v>
      </c>
      <c r="J23" s="168" t="e">
        <f>AVERAGEIFS(RECAP_final!$AS:$AS,RECAP_final!$E:$E,$A23,RECAP_final!$I:$I,0,RECAP_final!$Q:$Q,"Ano")</f>
        <v>#DIV/0!</v>
      </c>
      <c r="K23" s="168" t="e">
        <f>AVERAGEIFS(RECAP_final!$AT:$AT,RECAP_final!$E:$E,$A23,RECAP_final!$I:$I,0,RECAP_final!$Q:$Q,"Ano")</f>
        <v>#DIV/0!</v>
      </c>
      <c r="L23" s="168" t="e">
        <f>AVERAGEIFS(RECAP_final!$AU:$AU,RECAP_final!$E:$E,$A23,RECAP_final!$I:$I,0,RECAP_final!$Q:$Q,"Ano")</f>
        <v>#DIV/0!</v>
      </c>
      <c r="M23" s="167" t="e">
        <f>AVERAGEIFS(RECAP_final!$AW:$AW,RECAP_final!$E:$E,$A23,RECAP_final!$I:$I,0,RECAP_final!$Q:$Q,"Ano")</f>
        <v>#DIV/0!</v>
      </c>
      <c r="N23" s="169" t="e">
        <f>AVERAGEIFS(RECAP_final!$AW:$AW,RECAP_final!$E:$E,$A23,RECAP_final!$I:$I,0,RECAP_final!$Q:$Q,"Ano")</f>
        <v>#DIV/0!</v>
      </c>
      <c r="O23" s="170" t="e">
        <f>AVERAGEIFS(RECAP_final!$AX:$AX,RECAP_final!$E:$E,$A23,RECAP_final!$I:$I,0,RECAP_final!$Q:$Q,"Ano")</f>
        <v>#DIV/0!</v>
      </c>
      <c r="P23" s="171" t="e">
        <f>AVERAGEIFS(RECAP_final!$AZ:$AZ,RECAP_final!$E:$E,$A23,RECAP_final!$I:$I,0,RECAP_final!$Q:$Q,"Ano")</f>
        <v>#DIV/0!</v>
      </c>
      <c r="Q23" s="171" t="str">
        <f>IFERROR(AVERAGEIFS(RECAP_final!$AZ:$AZ,RECAP_final!$E:$E,$A23,RECAP_final!$I:$I,0,RECAP_final!$Q:$Q,"Ne"),"")</f>
        <v/>
      </c>
      <c r="R23" s="87">
        <f>COUNTIFS(RECAP_final!$E:$E,$A23,RECAP_final!$Q:$Q,"Ne",RECAP_final!$I:$I,0)</f>
        <v>0</v>
      </c>
      <c r="S23" s="167" t="str">
        <f>IFERROR(AVERAGEIFS(RECAP_final!$F:$F,RECAP_final!$E:$E,$A23,RECAP_final!$I:$I,0,RECAP_final!$Q:$Q,"ne"),"")</f>
        <v/>
      </c>
      <c r="T23" s="167" t="str">
        <f>IFERROR(AVERAGEIFS(RECAP_final!$AL:$AL,RECAP_final!$E:$E,$A23,RECAP_final!$I:$I,0,RECAP_final!$Q:$Q,"Ne"),"")</f>
        <v/>
      </c>
      <c r="U23" s="168" t="str">
        <f>IFERROR(AVERAGEIFS(RECAP_final!$AM:$AM,RECAP_final!$E:$E,$A23,RECAP_final!$I:$I,0,RECAP_final!$Q:$Q,"Ne"),"")</f>
        <v/>
      </c>
      <c r="V23" s="168" t="str">
        <f>IFERROR(AVERAGEIFS(RECAP_final!$AR:$AR,RECAP_final!$E:$E,$A23,RECAP_final!$I:$I,0,RECAP_final!$Q:$Q,"Ne"),"")</f>
        <v/>
      </c>
      <c r="W23" s="168" t="str">
        <f>IFERROR(AVERAGEIFS(RECAP_final!$AS:$AS,RECAP_final!$E:$E,$A23,RECAP_final!$I:$I,0,RECAP_final!$Q:$Q,"Ne"),"")</f>
        <v/>
      </c>
      <c r="X23" s="168" t="str">
        <f>IFERROR(AVERAGEIFS(RECAP_final!$AT:$AT,RECAP_final!$E:$E,$A23,RECAP_final!$I:$I,0,RECAP_final!$Q:$Q,"Ne"),"")</f>
        <v/>
      </c>
      <c r="Y23" s="168" t="str">
        <f>IFERROR(AVERAGEIFS(RECAP_final!$AU:$AU,RECAP_final!$E:$E,$A23,RECAP_final!$I:$I,0,RECAP_final!$Q:$Q,"Ne"),"")</f>
        <v/>
      </c>
      <c r="Z23" s="167" t="str">
        <f>IFERROR(AVERAGEIFS(RECAP_final!$AV:$AV,RECAP_final!$E:$E,$A23,RECAP_final!$I:$I,0,RECAP_final!$Q:$Q,"Ne"),"")</f>
        <v/>
      </c>
      <c r="AA23" s="169" t="str">
        <f>IFERROR(AVERAGEIFS(RECAP_final!$AW:$AW,RECAP_final!$E:$E,$A23,RECAP_final!$I:$I,0,RECAP_final!$Q:$Q,"Ne"),"")</f>
        <v/>
      </c>
      <c r="AB23" s="170" t="str">
        <f>IFERROR(AVERAGEIFS(RECAP_final!$AX:$AX,RECAP_final!$E:$E,$A23,RECAP_final!$I:$I,0,RECAP_final!$Q:$Q,"Ne"),"")</f>
        <v/>
      </c>
      <c r="AC23" s="168" t="e">
        <f>AVERAGEIFS(RECAP_final!$BA:$BA,RECAP_final!$E:$E,$A23,RECAP_final!$I:$I,0,RECAP_final!$Q:$Q,"Ano")</f>
        <v>#DIV/0!</v>
      </c>
      <c r="AD23" s="168" t="str">
        <f>IFERROR(AVERAGEIFS(RECAP_final!$BA:$BA,RECAP_final!$E:$E,$A23,RECAP_final!$I:$I,0,RECAP_final!$Q:$Q,"Ne"),"")</f>
        <v/>
      </c>
      <c r="AE23" s="194" t="s">
        <v>74</v>
      </c>
      <c r="AF23" s="158"/>
      <c r="AG23" s="158"/>
      <c r="AH23" s="158"/>
      <c r="AI23" s="158"/>
      <c r="AJ23" s="193" t="s">
        <v>72</v>
      </c>
      <c r="AK23" s="158" t="s">
        <v>60</v>
      </c>
      <c r="AL23" s="173" t="s">
        <v>54</v>
      </c>
    </row>
    <row r="24" spans="1:38" x14ac:dyDescent="0.3">
      <c r="A24" s="164">
        <f t="shared" si="0"/>
        <v>2012</v>
      </c>
      <c r="B24" s="165">
        <f>COUNTIFS(RECAP_final!E:E,Tabs!A24)</f>
        <v>5</v>
      </c>
      <c r="C24" s="165">
        <f>COUNTIFS(RECAP_final!E:E,Tabs!A24,RECAP_final!I:I,1)</f>
        <v>1</v>
      </c>
      <c r="D24" s="166">
        <f t="shared" si="1"/>
        <v>4</v>
      </c>
      <c r="E24" s="87">
        <f>COUNTIFS(RECAP_final!$E:$E,$A24,RECAP_final!$Q:$Q,"Ano",RECAP_final!$I:$I,0)</f>
        <v>0</v>
      </c>
      <c r="F24" s="167" t="e">
        <f>AVERAGEIFS(RECAP_final!$F:$F,RECAP_final!$E:$E,$A24,RECAP_final!$I:$I,0,RECAP_final!$Q:$Q,"Ano")</f>
        <v>#DIV/0!</v>
      </c>
      <c r="G24" s="167" t="e">
        <f>AVERAGEIFS(RECAP_final!$AL:$AL,RECAP_final!$E:$E,$A24,RECAP_final!$I:$I,0,RECAP_final!$Q:$Q,"Ano")</f>
        <v>#DIV/0!</v>
      </c>
      <c r="H24" s="168" t="e">
        <f>AVERAGEIFS(RECAP_final!$AM:$AM,RECAP_final!$E:$E,$A24,RECAP_final!$I:$I,0,RECAP_final!$Q:$Q,"Ano")</f>
        <v>#DIV/0!</v>
      </c>
      <c r="I24" s="168" t="e">
        <f>AVERAGEIFS(RECAP_final!$AR:$AR,RECAP_final!$E:$E,$A24,RECAP_final!$I:$I,0,RECAP_final!$Q:$Q,"Ano")</f>
        <v>#DIV/0!</v>
      </c>
      <c r="J24" s="168" t="e">
        <f>AVERAGEIFS(RECAP_final!$AS:$AS,RECAP_final!$E:$E,$A24,RECAP_final!$I:$I,0,RECAP_final!$Q:$Q,"Ano")</f>
        <v>#DIV/0!</v>
      </c>
      <c r="K24" s="168" t="e">
        <f>AVERAGEIFS(RECAP_final!$AT:$AT,RECAP_final!$E:$E,$A24,RECAP_final!$I:$I,0,RECAP_final!$Q:$Q,"Ano")</f>
        <v>#DIV/0!</v>
      </c>
      <c r="L24" s="168" t="e">
        <f>AVERAGEIFS(RECAP_final!$AU:$AU,RECAP_final!$E:$E,$A24,RECAP_final!$I:$I,0,RECAP_final!$Q:$Q,"Ano")</f>
        <v>#DIV/0!</v>
      </c>
      <c r="M24" s="167" t="e">
        <f>AVERAGEIFS(RECAP_final!$AW:$AW,RECAP_final!$E:$E,$A24,RECAP_final!$I:$I,0,RECAP_final!$Q:$Q,"Ano")</f>
        <v>#DIV/0!</v>
      </c>
      <c r="N24" s="169" t="e">
        <f>AVERAGEIFS(RECAP_final!$AW:$AW,RECAP_final!$E:$E,$A24,RECAP_final!$I:$I,0,RECAP_final!$Q:$Q,"Ano")</f>
        <v>#DIV/0!</v>
      </c>
      <c r="O24" s="170" t="e">
        <f>AVERAGEIFS(RECAP_final!$AX:$AX,RECAP_final!$E:$E,$A24,RECAP_final!$I:$I,0,RECAP_final!$Q:$Q,"Ano")</f>
        <v>#DIV/0!</v>
      </c>
      <c r="P24" s="171" t="e">
        <f>AVERAGEIFS(RECAP_final!$AZ:$AZ,RECAP_final!$E:$E,$A24,RECAP_final!$I:$I,0,RECAP_final!$Q:$Q,"Ano")</f>
        <v>#DIV/0!</v>
      </c>
      <c r="Q24" s="171" t="str">
        <f>IFERROR(AVERAGEIFS(RECAP_final!$AZ:$AZ,RECAP_final!$E:$E,$A24,RECAP_final!$I:$I,0,RECAP_final!$Q:$Q,"Ne"),"")</f>
        <v/>
      </c>
      <c r="R24" s="87">
        <f>COUNTIFS(RECAP_final!$E:$E,$A24,RECAP_final!$Q:$Q,"Ne",RECAP_final!$I:$I,0)</f>
        <v>0</v>
      </c>
      <c r="S24" s="167" t="str">
        <f>IFERROR(AVERAGEIFS(RECAP_final!$F:$F,RECAP_final!$E:$E,$A24,RECAP_final!$I:$I,0,RECAP_final!$Q:$Q,"ne"),"")</f>
        <v/>
      </c>
      <c r="T24" s="167" t="str">
        <f>IFERROR(AVERAGEIFS(RECAP_final!$AL:$AL,RECAP_final!$E:$E,$A24,RECAP_final!$I:$I,0,RECAP_final!$Q:$Q,"Ne"),"")</f>
        <v/>
      </c>
      <c r="U24" s="168" t="str">
        <f>IFERROR(AVERAGEIFS(RECAP_final!$AM:$AM,RECAP_final!$E:$E,$A24,RECAP_final!$I:$I,0,RECAP_final!$Q:$Q,"Ne"),"")</f>
        <v/>
      </c>
      <c r="V24" s="168" t="str">
        <f>IFERROR(AVERAGEIFS(RECAP_final!$AR:$AR,RECAP_final!$E:$E,$A24,RECAP_final!$I:$I,0,RECAP_final!$Q:$Q,"Ne"),"")</f>
        <v/>
      </c>
      <c r="W24" s="168" t="str">
        <f>IFERROR(AVERAGEIFS(RECAP_final!$AS:$AS,RECAP_final!$E:$E,$A24,RECAP_final!$I:$I,0,RECAP_final!$Q:$Q,"Ne"),"")</f>
        <v/>
      </c>
      <c r="X24" s="168" t="str">
        <f>IFERROR(AVERAGEIFS(RECAP_final!$AT:$AT,RECAP_final!$E:$E,$A24,RECAP_final!$I:$I,0,RECAP_final!$Q:$Q,"Ne"),"")</f>
        <v/>
      </c>
      <c r="Y24" s="168" t="str">
        <f>IFERROR(AVERAGEIFS(RECAP_final!$AU:$AU,RECAP_final!$E:$E,$A24,RECAP_final!$I:$I,0,RECAP_final!$Q:$Q,"Ne"),"")</f>
        <v/>
      </c>
      <c r="Z24" s="167" t="str">
        <f>IFERROR(AVERAGEIFS(RECAP_final!$AV:$AV,RECAP_final!$E:$E,$A24,RECAP_final!$I:$I,0,RECAP_final!$Q:$Q,"Ne"),"")</f>
        <v/>
      </c>
      <c r="AA24" s="169" t="str">
        <f>IFERROR(AVERAGEIFS(RECAP_final!$AW:$AW,RECAP_final!$E:$E,$A24,RECAP_final!$I:$I,0,RECAP_final!$Q:$Q,"Ne"),"")</f>
        <v/>
      </c>
      <c r="AB24" s="170" t="str">
        <f>IFERROR(AVERAGEIFS(RECAP_final!$AX:$AX,RECAP_final!$E:$E,$A24,RECAP_final!$I:$I,0,RECAP_final!$Q:$Q,"Ne"),"")</f>
        <v/>
      </c>
      <c r="AC24" s="168" t="e">
        <f>AVERAGEIFS(RECAP_final!$BA:$BA,RECAP_final!$E:$E,$A24,RECAP_final!$I:$I,0,RECAP_final!$Q:$Q,"Ano")</f>
        <v>#DIV/0!</v>
      </c>
      <c r="AD24" s="168" t="str">
        <f>IFERROR(AVERAGEIFS(RECAP_final!$BA:$BA,RECAP_final!$E:$E,$A24,RECAP_final!$I:$I,0,RECAP_final!$Q:$Q,"Ne"),"")</f>
        <v/>
      </c>
      <c r="AE24" s="194" t="s">
        <v>75</v>
      </c>
      <c r="AF24" s="158"/>
      <c r="AG24" s="158"/>
      <c r="AH24" s="158"/>
      <c r="AI24" s="158"/>
      <c r="AJ24" s="193" t="s">
        <v>72</v>
      </c>
      <c r="AK24" s="158" t="s">
        <v>62</v>
      </c>
      <c r="AL24" s="173" t="s">
        <v>54</v>
      </c>
    </row>
    <row r="25" spans="1:38" x14ac:dyDescent="0.3">
      <c r="A25" s="164">
        <f t="shared" si="0"/>
        <v>2013</v>
      </c>
      <c r="B25" s="165">
        <f>COUNTIFS(RECAP_final!E:E,Tabs!A25)</f>
        <v>6</v>
      </c>
      <c r="C25" s="165">
        <f>COUNTIFS(RECAP_final!E:E,Tabs!A25,RECAP_final!I:I,1)</f>
        <v>1</v>
      </c>
      <c r="D25" s="166">
        <f t="shared" si="1"/>
        <v>5</v>
      </c>
      <c r="E25" s="87">
        <f>COUNTIFS(RECAP_final!$E:$E,$A25,RECAP_final!$Q:$Q,"Ano",RECAP_final!$I:$I,0)</f>
        <v>0</v>
      </c>
      <c r="F25" s="167" t="e">
        <f>AVERAGEIFS(RECAP_final!$F:$F,RECAP_final!$E:$E,$A25,RECAP_final!$I:$I,0,RECAP_final!$Q:$Q,"Ano")</f>
        <v>#DIV/0!</v>
      </c>
      <c r="G25" s="167" t="e">
        <f>AVERAGEIFS(RECAP_final!$AL:$AL,RECAP_final!$E:$E,$A25,RECAP_final!$I:$I,0,RECAP_final!$Q:$Q,"Ano")</f>
        <v>#DIV/0!</v>
      </c>
      <c r="H25" s="168" t="e">
        <f>AVERAGEIFS(RECAP_final!$AM:$AM,RECAP_final!$E:$E,$A25,RECAP_final!$I:$I,0,RECAP_final!$Q:$Q,"Ano")</f>
        <v>#DIV/0!</v>
      </c>
      <c r="I25" s="168" t="e">
        <f>AVERAGEIFS(RECAP_final!$AR:$AR,RECAP_final!$E:$E,$A25,RECAP_final!$I:$I,0,RECAP_final!$Q:$Q,"Ano")</f>
        <v>#DIV/0!</v>
      </c>
      <c r="J25" s="168" t="e">
        <f>AVERAGEIFS(RECAP_final!$AS:$AS,RECAP_final!$E:$E,$A25,RECAP_final!$I:$I,0,RECAP_final!$Q:$Q,"Ano")</f>
        <v>#DIV/0!</v>
      </c>
      <c r="K25" s="168" t="e">
        <f>AVERAGEIFS(RECAP_final!$AT:$AT,RECAP_final!$E:$E,$A25,RECAP_final!$I:$I,0,RECAP_final!$Q:$Q,"Ano")</f>
        <v>#DIV/0!</v>
      </c>
      <c r="L25" s="168" t="e">
        <f>AVERAGEIFS(RECAP_final!$AU:$AU,RECAP_final!$E:$E,$A25,RECAP_final!$I:$I,0,RECAP_final!$Q:$Q,"Ano")</f>
        <v>#DIV/0!</v>
      </c>
      <c r="M25" s="167" t="e">
        <f>AVERAGEIFS(RECAP_final!$AW:$AW,RECAP_final!$E:$E,$A25,RECAP_final!$I:$I,0,RECAP_final!$Q:$Q,"Ano")</f>
        <v>#DIV/0!</v>
      </c>
      <c r="N25" s="169" t="e">
        <f>AVERAGEIFS(RECAP_final!$AW:$AW,RECAP_final!$E:$E,$A25,RECAP_final!$I:$I,0,RECAP_final!$Q:$Q,"Ano")</f>
        <v>#DIV/0!</v>
      </c>
      <c r="O25" s="170" t="e">
        <f>AVERAGEIFS(RECAP_final!$AX:$AX,RECAP_final!$E:$E,$A25,RECAP_final!$I:$I,0,RECAP_final!$Q:$Q,"Ano")</f>
        <v>#DIV/0!</v>
      </c>
      <c r="P25" s="171" t="e">
        <f>AVERAGEIFS(RECAP_final!$AZ:$AZ,RECAP_final!$E:$E,$A25,RECAP_final!$I:$I,0,RECAP_final!$Q:$Q,"Ano")</f>
        <v>#DIV/0!</v>
      </c>
      <c r="Q25" s="171" t="str">
        <f>IFERROR(AVERAGEIFS(RECAP_final!$AZ:$AZ,RECAP_final!$E:$E,$A25,RECAP_final!$I:$I,0,RECAP_final!$Q:$Q,"Ne"),"")</f>
        <v/>
      </c>
      <c r="R25" s="87">
        <f>COUNTIFS(RECAP_final!$E:$E,$A25,RECAP_final!$Q:$Q,"Ne",RECAP_final!$I:$I,0)</f>
        <v>0</v>
      </c>
      <c r="S25" s="167" t="str">
        <f>IFERROR(AVERAGEIFS(RECAP_final!$F:$F,RECAP_final!$E:$E,$A25,RECAP_final!$I:$I,0,RECAP_final!$Q:$Q,"ne"),"")</f>
        <v/>
      </c>
      <c r="T25" s="167" t="str">
        <f>IFERROR(AVERAGEIFS(RECAP_final!$AL:$AL,RECAP_final!$E:$E,$A25,RECAP_final!$I:$I,0,RECAP_final!$Q:$Q,"Ne"),"")</f>
        <v/>
      </c>
      <c r="U25" s="168" t="str">
        <f>IFERROR(AVERAGEIFS(RECAP_final!$AM:$AM,RECAP_final!$E:$E,$A25,RECAP_final!$I:$I,0,RECAP_final!$Q:$Q,"Ne"),"")</f>
        <v/>
      </c>
      <c r="V25" s="168" t="str">
        <f>IFERROR(AVERAGEIFS(RECAP_final!$AR:$AR,RECAP_final!$E:$E,$A25,RECAP_final!$I:$I,0,RECAP_final!$Q:$Q,"Ne"),"")</f>
        <v/>
      </c>
      <c r="W25" s="168" t="str">
        <f>IFERROR(AVERAGEIFS(RECAP_final!$AS:$AS,RECAP_final!$E:$E,$A25,RECAP_final!$I:$I,0,RECAP_final!$Q:$Q,"Ne"),"")</f>
        <v/>
      </c>
      <c r="X25" s="168" t="str">
        <f>IFERROR(AVERAGEIFS(RECAP_final!$AT:$AT,RECAP_final!$E:$E,$A25,RECAP_final!$I:$I,0,RECAP_final!$Q:$Q,"Ne"),"")</f>
        <v/>
      </c>
      <c r="Y25" s="168" t="str">
        <f>IFERROR(AVERAGEIFS(RECAP_final!$AU:$AU,RECAP_final!$E:$E,$A25,RECAP_final!$I:$I,0,RECAP_final!$Q:$Q,"Ne"),"")</f>
        <v/>
      </c>
      <c r="Z25" s="167" t="str">
        <f>IFERROR(AVERAGEIFS(RECAP_final!$AV:$AV,RECAP_final!$E:$E,$A25,RECAP_final!$I:$I,0,RECAP_final!$Q:$Q,"Ne"),"")</f>
        <v/>
      </c>
      <c r="AA25" s="169" t="str">
        <f>IFERROR(AVERAGEIFS(RECAP_final!$AW:$AW,RECAP_final!$E:$E,$A25,RECAP_final!$I:$I,0,RECAP_final!$Q:$Q,"Ne"),"")</f>
        <v/>
      </c>
      <c r="AB25" s="170" t="str">
        <f>IFERROR(AVERAGEIFS(RECAP_final!$AX:$AX,RECAP_final!$E:$E,$A25,RECAP_final!$I:$I,0,RECAP_final!$Q:$Q,"Ne"),"")</f>
        <v/>
      </c>
      <c r="AC25" s="168" t="e">
        <f>AVERAGEIFS(RECAP_final!$BA:$BA,RECAP_final!$E:$E,$A25,RECAP_final!$I:$I,0,RECAP_final!$Q:$Q,"Ano")</f>
        <v>#DIV/0!</v>
      </c>
      <c r="AD25" s="168" t="str">
        <f>IFERROR(AVERAGEIFS(RECAP_final!$BA:$BA,RECAP_final!$E:$E,$A25,RECAP_final!$I:$I,0,RECAP_final!$Q:$Q,"Ne"),"")</f>
        <v/>
      </c>
      <c r="AE25" s="194" t="s">
        <v>76</v>
      </c>
      <c r="AF25" s="158"/>
      <c r="AG25" s="158"/>
      <c r="AH25" s="158"/>
      <c r="AI25" s="158"/>
      <c r="AJ25" s="193" t="s">
        <v>72</v>
      </c>
      <c r="AK25" s="158" t="s">
        <v>62</v>
      </c>
      <c r="AL25" s="173" t="s">
        <v>54</v>
      </c>
    </row>
    <row r="26" spans="1:38" x14ac:dyDescent="0.3">
      <c r="A26" s="164">
        <f t="shared" si="0"/>
        <v>2014</v>
      </c>
      <c r="B26" s="165">
        <f>COUNTIFS(RECAP_final!E:E,Tabs!A26)</f>
        <v>6</v>
      </c>
      <c r="C26" s="165">
        <f>COUNTIFS(RECAP_final!E:E,Tabs!A26,RECAP_final!I:I,1)</f>
        <v>1</v>
      </c>
      <c r="D26" s="166">
        <f t="shared" si="1"/>
        <v>5</v>
      </c>
      <c r="E26" s="87">
        <f>COUNTIFS(RECAP_final!$E:$E,$A26,RECAP_final!$Q:$Q,"Ano",RECAP_final!$I:$I,0)</f>
        <v>0</v>
      </c>
      <c r="F26" s="167" t="e">
        <f>AVERAGEIFS(RECAP_final!$F:$F,RECAP_final!$E:$E,$A26,RECAP_final!$I:$I,0,RECAP_final!$Q:$Q,"Ano")</f>
        <v>#DIV/0!</v>
      </c>
      <c r="G26" s="167" t="e">
        <f>AVERAGEIFS(RECAP_final!$AL:$AL,RECAP_final!$E:$E,$A26,RECAP_final!$I:$I,0,RECAP_final!$Q:$Q,"Ano")</f>
        <v>#DIV/0!</v>
      </c>
      <c r="H26" s="168" t="e">
        <f>AVERAGEIFS(RECAP_final!$AM:$AM,RECAP_final!$E:$E,$A26,RECAP_final!$I:$I,0,RECAP_final!$Q:$Q,"Ano")</f>
        <v>#DIV/0!</v>
      </c>
      <c r="I26" s="168" t="e">
        <f>AVERAGEIFS(RECAP_final!$AR:$AR,RECAP_final!$E:$E,$A26,RECAP_final!$I:$I,0,RECAP_final!$Q:$Q,"Ano")</f>
        <v>#DIV/0!</v>
      </c>
      <c r="J26" s="168" t="e">
        <f>AVERAGEIFS(RECAP_final!$AS:$AS,RECAP_final!$E:$E,$A26,RECAP_final!$I:$I,0,RECAP_final!$Q:$Q,"Ano")</f>
        <v>#DIV/0!</v>
      </c>
      <c r="K26" s="168" t="e">
        <f>AVERAGEIFS(RECAP_final!$AT:$AT,RECAP_final!$E:$E,$A26,RECAP_final!$I:$I,0,RECAP_final!$Q:$Q,"Ano")</f>
        <v>#DIV/0!</v>
      </c>
      <c r="L26" s="168" t="e">
        <f>AVERAGEIFS(RECAP_final!$AU:$AU,RECAP_final!$E:$E,$A26,RECAP_final!$I:$I,0,RECAP_final!$Q:$Q,"Ano")</f>
        <v>#DIV/0!</v>
      </c>
      <c r="M26" s="167" t="e">
        <f>AVERAGEIFS(RECAP_final!$AW:$AW,RECAP_final!$E:$E,$A26,RECAP_final!$I:$I,0,RECAP_final!$Q:$Q,"Ano")</f>
        <v>#DIV/0!</v>
      </c>
      <c r="N26" s="169" t="e">
        <f>AVERAGEIFS(RECAP_final!$AW:$AW,RECAP_final!$E:$E,$A26,RECAP_final!$I:$I,0,RECAP_final!$Q:$Q,"Ano")</f>
        <v>#DIV/0!</v>
      </c>
      <c r="O26" s="170" t="e">
        <f>AVERAGEIFS(RECAP_final!$AX:$AX,RECAP_final!$E:$E,$A26,RECAP_final!$I:$I,0,RECAP_final!$Q:$Q,"Ano")</f>
        <v>#DIV/0!</v>
      </c>
      <c r="P26" s="171" t="e">
        <f>AVERAGEIFS(RECAP_final!$AZ:$AZ,RECAP_final!$E:$E,$A26,RECAP_final!$I:$I,0,RECAP_final!$Q:$Q,"Ano")</f>
        <v>#DIV/0!</v>
      </c>
      <c r="Q26" s="171" t="str">
        <f>IFERROR(AVERAGEIFS(RECAP_final!$AZ:$AZ,RECAP_final!$E:$E,$A26,RECAP_final!$I:$I,0,RECAP_final!$Q:$Q,"Ne"),"")</f>
        <v/>
      </c>
      <c r="R26" s="87">
        <f>COUNTIFS(RECAP_final!$E:$E,$A26,RECAP_final!$Q:$Q,"Ne",RECAP_final!$I:$I,0)</f>
        <v>0</v>
      </c>
      <c r="S26" s="167" t="str">
        <f>IFERROR(AVERAGEIFS(RECAP_final!$F:$F,RECAP_final!$E:$E,$A26,RECAP_final!$I:$I,0,RECAP_final!$Q:$Q,"ne"),"")</f>
        <v/>
      </c>
      <c r="T26" s="167" t="str">
        <f>IFERROR(AVERAGEIFS(RECAP_final!$AL:$AL,RECAP_final!$E:$E,$A26,RECAP_final!$I:$I,0,RECAP_final!$Q:$Q,"Ne"),"")</f>
        <v/>
      </c>
      <c r="U26" s="168" t="str">
        <f>IFERROR(AVERAGEIFS(RECAP_final!$AM:$AM,RECAP_final!$E:$E,$A26,RECAP_final!$I:$I,0,RECAP_final!$Q:$Q,"Ne"),"")</f>
        <v/>
      </c>
      <c r="V26" s="168" t="str">
        <f>IFERROR(AVERAGEIFS(RECAP_final!$AR:$AR,RECAP_final!$E:$E,$A26,RECAP_final!$I:$I,0,RECAP_final!$Q:$Q,"Ne"),"")</f>
        <v/>
      </c>
      <c r="W26" s="168" t="str">
        <f>IFERROR(AVERAGEIFS(RECAP_final!$AS:$AS,RECAP_final!$E:$E,$A26,RECAP_final!$I:$I,0,RECAP_final!$Q:$Q,"Ne"),"")</f>
        <v/>
      </c>
      <c r="X26" s="168" t="str">
        <f>IFERROR(AVERAGEIFS(RECAP_final!$AT:$AT,RECAP_final!$E:$E,$A26,RECAP_final!$I:$I,0,RECAP_final!$Q:$Q,"Ne"),"")</f>
        <v/>
      </c>
      <c r="Y26" s="168" t="str">
        <f>IFERROR(AVERAGEIFS(RECAP_final!$AU:$AU,RECAP_final!$E:$E,$A26,RECAP_final!$I:$I,0,RECAP_final!$Q:$Q,"Ne"),"")</f>
        <v/>
      </c>
      <c r="Z26" s="167" t="str">
        <f>IFERROR(AVERAGEIFS(RECAP_final!$AV:$AV,RECAP_final!$E:$E,$A26,RECAP_final!$I:$I,0,RECAP_final!$Q:$Q,"Ne"),"")</f>
        <v/>
      </c>
      <c r="AA26" s="169" t="str">
        <f>IFERROR(AVERAGEIFS(RECAP_final!$AW:$AW,RECAP_final!$E:$E,$A26,RECAP_final!$I:$I,0,RECAP_final!$Q:$Q,"Ne"),"")</f>
        <v/>
      </c>
      <c r="AB26" s="170" t="str">
        <f>IFERROR(AVERAGEIFS(RECAP_final!$AX:$AX,RECAP_final!$E:$E,$A26,RECAP_final!$I:$I,0,RECAP_final!$Q:$Q,"Ne"),"")</f>
        <v/>
      </c>
      <c r="AC26" s="168" t="e">
        <f>AVERAGEIFS(RECAP_final!$BA:$BA,RECAP_final!$E:$E,$A26,RECAP_final!$I:$I,0,RECAP_final!$Q:$Q,"Ano")</f>
        <v>#DIV/0!</v>
      </c>
      <c r="AD26" s="168" t="str">
        <f>IFERROR(AVERAGEIFS(RECAP_final!$BA:$BA,RECAP_final!$E:$E,$A26,RECAP_final!$I:$I,0,RECAP_final!$Q:$Q,"Ne"),"")</f>
        <v/>
      </c>
    </row>
    <row r="27" spans="1:38" x14ac:dyDescent="0.3">
      <c r="A27" s="164">
        <f t="shared" si="0"/>
        <v>2015</v>
      </c>
      <c r="B27" s="165">
        <f>COUNTIFS(RECAP_final!E:E,Tabs!A27)</f>
        <v>7</v>
      </c>
      <c r="C27" s="165">
        <f>COUNTIFS(RECAP_final!E:E,Tabs!A27,RECAP_final!I:I,1)</f>
        <v>1</v>
      </c>
      <c r="D27" s="166">
        <f t="shared" si="1"/>
        <v>6</v>
      </c>
      <c r="E27" s="87">
        <f>COUNTIFS(RECAP_final!$E:$E,$A27,RECAP_final!$Q:$Q,"Ano",RECAP_final!$I:$I,0)</f>
        <v>0</v>
      </c>
      <c r="F27" s="167" t="e">
        <f>AVERAGEIFS(RECAP_final!$F:$F,RECAP_final!$E:$E,$A27,RECAP_final!$I:$I,0,RECAP_final!$Q:$Q,"Ano")</f>
        <v>#DIV/0!</v>
      </c>
      <c r="G27" s="167" t="e">
        <f>AVERAGEIFS(RECAP_final!$AL:$AL,RECAP_final!$E:$E,$A27,RECAP_final!$I:$I,0,RECAP_final!$Q:$Q,"Ano")</f>
        <v>#DIV/0!</v>
      </c>
      <c r="H27" s="168" t="e">
        <f>AVERAGEIFS(RECAP_final!$AM:$AM,RECAP_final!$E:$E,$A27,RECAP_final!$I:$I,0,RECAP_final!$Q:$Q,"Ano")</f>
        <v>#DIV/0!</v>
      </c>
      <c r="I27" s="168" t="e">
        <f>AVERAGEIFS(RECAP_final!$AR:$AR,RECAP_final!$E:$E,$A27,RECAP_final!$I:$I,0,RECAP_final!$Q:$Q,"Ano")</f>
        <v>#DIV/0!</v>
      </c>
      <c r="J27" s="168" t="e">
        <f>AVERAGEIFS(RECAP_final!$AS:$AS,RECAP_final!$E:$E,$A27,RECAP_final!$I:$I,0,RECAP_final!$Q:$Q,"Ano")</f>
        <v>#DIV/0!</v>
      </c>
      <c r="K27" s="168" t="e">
        <f>AVERAGEIFS(RECAP_final!$AT:$AT,RECAP_final!$E:$E,$A27,RECAP_final!$I:$I,0,RECAP_final!$Q:$Q,"Ano")</f>
        <v>#DIV/0!</v>
      </c>
      <c r="L27" s="168" t="e">
        <f>AVERAGEIFS(RECAP_final!$AU:$AU,RECAP_final!$E:$E,$A27,RECAP_final!$I:$I,0,RECAP_final!$Q:$Q,"Ano")</f>
        <v>#DIV/0!</v>
      </c>
      <c r="M27" s="167" t="e">
        <f>AVERAGEIFS(RECAP_final!$AW:$AW,RECAP_final!$E:$E,$A27,RECAP_final!$I:$I,0,RECAP_final!$Q:$Q,"Ano")</f>
        <v>#DIV/0!</v>
      </c>
      <c r="N27" s="169" t="e">
        <f>AVERAGEIFS(RECAP_final!$AW:$AW,RECAP_final!$E:$E,$A27,RECAP_final!$I:$I,0,RECAP_final!$Q:$Q,"Ano")</f>
        <v>#DIV/0!</v>
      </c>
      <c r="O27" s="170" t="e">
        <f>AVERAGEIFS(RECAP_final!$AX:$AX,RECAP_final!$E:$E,$A27,RECAP_final!$I:$I,0,RECAP_final!$Q:$Q,"Ano")</f>
        <v>#DIV/0!</v>
      </c>
      <c r="P27" s="171" t="e">
        <f>AVERAGEIFS(RECAP_final!$AZ:$AZ,RECAP_final!$E:$E,$A27,RECAP_final!$I:$I,0,RECAP_final!$Q:$Q,"Ano")</f>
        <v>#DIV/0!</v>
      </c>
      <c r="Q27" s="171" t="str">
        <f>IFERROR(AVERAGEIFS(RECAP_final!$AZ:$AZ,RECAP_final!$E:$E,$A27,RECAP_final!$I:$I,0,RECAP_final!$Q:$Q,"Ne"),"")</f>
        <v/>
      </c>
      <c r="R27" s="87">
        <f>COUNTIFS(RECAP_final!$E:$E,$A27,RECAP_final!$Q:$Q,"Ne",RECAP_final!$I:$I,0)</f>
        <v>0</v>
      </c>
      <c r="S27" s="167" t="str">
        <f>IFERROR(AVERAGEIFS(RECAP_final!$F:$F,RECAP_final!$E:$E,$A27,RECAP_final!$I:$I,0,RECAP_final!$Q:$Q,"ne"),"")</f>
        <v/>
      </c>
      <c r="T27" s="167" t="str">
        <f>IFERROR(AVERAGEIFS(RECAP_final!$AL:$AL,RECAP_final!$E:$E,$A27,RECAP_final!$I:$I,0,RECAP_final!$Q:$Q,"Ne"),"")</f>
        <v/>
      </c>
      <c r="U27" s="168" t="str">
        <f>IFERROR(AVERAGEIFS(RECAP_final!$AM:$AM,RECAP_final!$E:$E,$A27,RECAP_final!$I:$I,0,RECAP_final!$Q:$Q,"Ne"),"")</f>
        <v/>
      </c>
      <c r="V27" s="168" t="str">
        <f>IFERROR(AVERAGEIFS(RECAP_final!$AR:$AR,RECAP_final!$E:$E,$A27,RECAP_final!$I:$I,0,RECAP_final!$Q:$Q,"Ne"),"")</f>
        <v/>
      </c>
      <c r="W27" s="168" t="str">
        <f>IFERROR(AVERAGEIFS(RECAP_final!$AS:$AS,RECAP_final!$E:$E,$A27,RECAP_final!$I:$I,0,RECAP_final!$Q:$Q,"Ne"),"")</f>
        <v/>
      </c>
      <c r="X27" s="168" t="str">
        <f>IFERROR(AVERAGEIFS(RECAP_final!$AT:$AT,RECAP_final!$E:$E,$A27,RECAP_final!$I:$I,0,RECAP_final!$Q:$Q,"Ne"),"")</f>
        <v/>
      </c>
      <c r="Y27" s="168" t="str">
        <f>IFERROR(AVERAGEIFS(RECAP_final!$AU:$AU,RECAP_final!$E:$E,$A27,RECAP_final!$I:$I,0,RECAP_final!$Q:$Q,"Ne"),"")</f>
        <v/>
      </c>
      <c r="Z27" s="167" t="str">
        <f>IFERROR(AVERAGEIFS(RECAP_final!$AV:$AV,RECAP_final!$E:$E,$A27,RECAP_final!$I:$I,0,RECAP_final!$Q:$Q,"Ne"),"")</f>
        <v/>
      </c>
      <c r="AA27" s="169" t="str">
        <f>IFERROR(AVERAGEIFS(RECAP_final!$AW:$AW,RECAP_final!$E:$E,$A27,RECAP_final!$I:$I,0,RECAP_final!$Q:$Q,"Ne"),"")</f>
        <v/>
      </c>
      <c r="AB27" s="170" t="str">
        <f>IFERROR(AVERAGEIFS(RECAP_final!$AX:$AX,RECAP_final!$E:$E,$A27,RECAP_final!$I:$I,0,RECAP_final!$Q:$Q,"Ne"),"")</f>
        <v/>
      </c>
      <c r="AC27" s="168" t="e">
        <f>AVERAGEIFS(RECAP_final!$BA:$BA,RECAP_final!$E:$E,$A27,RECAP_final!$I:$I,0,RECAP_final!$Q:$Q,"Ano")</f>
        <v>#DIV/0!</v>
      </c>
      <c r="AD27" s="168" t="str">
        <f>IFERROR(AVERAGEIFS(RECAP_final!$BA:$BA,RECAP_final!$E:$E,$A27,RECAP_final!$I:$I,0,RECAP_final!$Q:$Q,"Ne"),"")</f>
        <v/>
      </c>
    </row>
    <row r="28" spans="1:38" x14ac:dyDescent="0.3">
      <c r="A28" s="164">
        <f t="shared" si="0"/>
        <v>2016</v>
      </c>
      <c r="B28" s="165">
        <f>COUNTIFS(RECAP_final!E:E,Tabs!A28)</f>
        <v>8</v>
      </c>
      <c r="C28" s="165">
        <f>COUNTIFS(RECAP_final!E:E,Tabs!A28,RECAP_final!I:I,1)</f>
        <v>1</v>
      </c>
      <c r="D28" s="166">
        <f t="shared" si="1"/>
        <v>7</v>
      </c>
      <c r="E28" s="87">
        <f>COUNTIFS(RECAP_final!$E:$E,$A28,RECAP_final!$Q:$Q,"Ano",RECAP_final!$I:$I,0)</f>
        <v>0</v>
      </c>
      <c r="F28" s="167" t="e">
        <f>AVERAGEIFS(RECAP_final!$F:$F,RECAP_final!$E:$E,$A28,RECAP_final!$I:$I,0,RECAP_final!$Q:$Q,"Ano")</f>
        <v>#DIV/0!</v>
      </c>
      <c r="G28" s="167" t="e">
        <f>AVERAGEIFS(RECAP_final!$AL:$AL,RECAP_final!$E:$E,$A28,RECAP_final!$I:$I,0,RECAP_final!$Q:$Q,"Ano")</f>
        <v>#DIV/0!</v>
      </c>
      <c r="H28" s="168" t="e">
        <f>AVERAGEIFS(RECAP_final!$AM:$AM,RECAP_final!$E:$E,$A28,RECAP_final!$I:$I,0,RECAP_final!$Q:$Q,"Ano")</f>
        <v>#DIV/0!</v>
      </c>
      <c r="I28" s="168" t="e">
        <f>AVERAGEIFS(RECAP_final!$AR:$AR,RECAP_final!$E:$E,$A28,RECAP_final!$I:$I,0,RECAP_final!$Q:$Q,"Ano")</f>
        <v>#DIV/0!</v>
      </c>
      <c r="J28" s="168" t="e">
        <f>AVERAGEIFS(RECAP_final!$AS:$AS,RECAP_final!$E:$E,$A28,RECAP_final!$I:$I,0,RECAP_final!$Q:$Q,"Ano")</f>
        <v>#DIV/0!</v>
      </c>
      <c r="K28" s="168" t="e">
        <f>AVERAGEIFS(RECAP_final!$AT:$AT,RECAP_final!$E:$E,$A28,RECAP_final!$I:$I,0,RECAP_final!$Q:$Q,"Ano")</f>
        <v>#DIV/0!</v>
      </c>
      <c r="L28" s="168" t="e">
        <f>AVERAGEIFS(RECAP_final!$AU:$AU,RECAP_final!$E:$E,$A28,RECAP_final!$I:$I,0,RECAP_final!$Q:$Q,"Ano")</f>
        <v>#DIV/0!</v>
      </c>
      <c r="M28" s="167" t="e">
        <f>AVERAGEIFS(RECAP_final!$AW:$AW,RECAP_final!$E:$E,$A28,RECAP_final!$I:$I,0,RECAP_final!$Q:$Q,"Ano")</f>
        <v>#DIV/0!</v>
      </c>
      <c r="N28" s="169" t="e">
        <f>AVERAGEIFS(RECAP_final!$AW:$AW,RECAP_final!$E:$E,$A28,RECAP_final!$I:$I,0,RECAP_final!$Q:$Q,"Ano")</f>
        <v>#DIV/0!</v>
      </c>
      <c r="O28" s="170" t="e">
        <f>AVERAGEIFS(RECAP_final!$AX:$AX,RECAP_final!$E:$E,$A28,RECAP_final!$I:$I,0,RECAP_final!$Q:$Q,"Ano")</f>
        <v>#DIV/0!</v>
      </c>
      <c r="P28" s="171" t="e">
        <f>AVERAGEIFS(RECAP_final!$AZ:$AZ,RECAP_final!$E:$E,$A28,RECAP_final!$I:$I,0,RECAP_final!$Q:$Q,"Ano")</f>
        <v>#DIV/0!</v>
      </c>
      <c r="Q28" s="171" t="str">
        <f>IFERROR(AVERAGEIFS(RECAP_final!$AZ:$AZ,RECAP_final!$E:$E,$A28,RECAP_final!$I:$I,0,RECAP_final!$Q:$Q,"Ne"),"")</f>
        <v/>
      </c>
      <c r="R28" s="87">
        <f>COUNTIFS(RECAP_final!$E:$E,$A28,RECAP_final!$Q:$Q,"Ne",RECAP_final!$I:$I,0)</f>
        <v>0</v>
      </c>
      <c r="S28" s="167" t="str">
        <f>IFERROR(AVERAGEIFS(RECAP_final!$F:$F,RECAP_final!$E:$E,$A28,RECAP_final!$I:$I,0,RECAP_final!$Q:$Q,"ne"),"")</f>
        <v/>
      </c>
      <c r="T28" s="167" t="str">
        <f>IFERROR(AVERAGEIFS(RECAP_final!$AL:$AL,RECAP_final!$E:$E,$A28,RECAP_final!$I:$I,0,RECAP_final!$Q:$Q,"Ne"),"")</f>
        <v/>
      </c>
      <c r="U28" s="168" t="str">
        <f>IFERROR(AVERAGEIFS(RECAP_final!$AM:$AM,RECAP_final!$E:$E,$A28,RECAP_final!$I:$I,0,RECAP_final!$Q:$Q,"Ne"),"")</f>
        <v/>
      </c>
      <c r="V28" s="168" t="str">
        <f>IFERROR(AVERAGEIFS(RECAP_final!$AR:$AR,RECAP_final!$E:$E,$A28,RECAP_final!$I:$I,0,RECAP_final!$Q:$Q,"Ne"),"")</f>
        <v/>
      </c>
      <c r="W28" s="168" t="str">
        <f>IFERROR(AVERAGEIFS(RECAP_final!$AS:$AS,RECAP_final!$E:$E,$A28,RECAP_final!$I:$I,0,RECAP_final!$Q:$Q,"Ne"),"")</f>
        <v/>
      </c>
      <c r="X28" s="168" t="str">
        <f>IFERROR(AVERAGEIFS(RECAP_final!$AT:$AT,RECAP_final!$E:$E,$A28,RECAP_final!$I:$I,0,RECAP_final!$Q:$Q,"Ne"),"")</f>
        <v/>
      </c>
      <c r="Y28" s="168" t="str">
        <f>IFERROR(AVERAGEIFS(RECAP_final!$AU:$AU,RECAP_final!$E:$E,$A28,RECAP_final!$I:$I,0,RECAP_final!$Q:$Q,"Ne"),"")</f>
        <v/>
      </c>
      <c r="Z28" s="167" t="str">
        <f>IFERROR(AVERAGEIFS(RECAP_final!$AV:$AV,RECAP_final!$E:$E,$A28,RECAP_final!$I:$I,0,RECAP_final!$Q:$Q,"Ne"),"")</f>
        <v/>
      </c>
      <c r="AA28" s="169" t="str">
        <f>IFERROR(AVERAGEIFS(RECAP_final!$AW:$AW,RECAP_final!$E:$E,$A28,RECAP_final!$I:$I,0,RECAP_final!$Q:$Q,"Ne"),"")</f>
        <v/>
      </c>
      <c r="AB28" s="170" t="str">
        <f>IFERROR(AVERAGEIFS(RECAP_final!$AX:$AX,RECAP_final!$E:$E,$A28,RECAP_final!$I:$I,0,RECAP_final!$Q:$Q,"Ne"),"")</f>
        <v/>
      </c>
      <c r="AC28" s="168" t="e">
        <f>AVERAGEIFS(RECAP_final!$BA:$BA,RECAP_final!$E:$E,$A28,RECAP_final!$I:$I,0,RECAP_final!$Q:$Q,"Ano")</f>
        <v>#DIV/0!</v>
      </c>
      <c r="AD28" s="168" t="str">
        <f>IFERROR(AVERAGEIFS(RECAP_final!$BA:$BA,RECAP_final!$E:$E,$A28,RECAP_final!$I:$I,0,RECAP_final!$Q:$Q,"Ne"),"")</f>
        <v/>
      </c>
    </row>
    <row r="29" spans="1:38" x14ac:dyDescent="0.3">
      <c r="A29" s="164">
        <f t="shared" si="0"/>
        <v>2017</v>
      </c>
      <c r="B29" s="165">
        <f>COUNTIFS(RECAP_final!E:E,Tabs!A29)</f>
        <v>8</v>
      </c>
      <c r="C29" s="165">
        <f>COUNTIFS(RECAP_final!E:E,Tabs!A29,RECAP_final!I:I,1)</f>
        <v>1</v>
      </c>
      <c r="D29" s="166">
        <f t="shared" si="1"/>
        <v>7</v>
      </c>
      <c r="E29" s="87">
        <f>COUNTIFS(RECAP_final!$E:$E,$A29,RECAP_final!$Q:$Q,"Ano",RECAP_final!$I:$I,0)</f>
        <v>0</v>
      </c>
      <c r="F29" s="167" t="e">
        <f>AVERAGEIFS(RECAP_final!$F:$F,RECAP_final!$E:$E,$A29,RECAP_final!$I:$I,0,RECAP_final!$Q:$Q,"Ano")</f>
        <v>#DIV/0!</v>
      </c>
      <c r="G29" s="167" t="e">
        <f>AVERAGEIFS(RECAP_final!$AL:$AL,RECAP_final!$E:$E,$A29,RECAP_final!$I:$I,0,RECAP_final!$Q:$Q,"Ano")</f>
        <v>#DIV/0!</v>
      </c>
      <c r="H29" s="168" t="e">
        <f>AVERAGEIFS(RECAP_final!$AM:$AM,RECAP_final!$E:$E,$A29,RECAP_final!$I:$I,0,RECAP_final!$Q:$Q,"Ano")</f>
        <v>#DIV/0!</v>
      </c>
      <c r="I29" s="168" t="e">
        <f>AVERAGEIFS(RECAP_final!$AR:$AR,RECAP_final!$E:$E,$A29,RECAP_final!$I:$I,0,RECAP_final!$Q:$Q,"Ano")</f>
        <v>#DIV/0!</v>
      </c>
      <c r="J29" s="168" t="e">
        <f>AVERAGEIFS(RECAP_final!$AS:$AS,RECAP_final!$E:$E,$A29,RECAP_final!$I:$I,0,RECAP_final!$Q:$Q,"Ano")</f>
        <v>#DIV/0!</v>
      </c>
      <c r="K29" s="168" t="e">
        <f>AVERAGEIFS(RECAP_final!$AT:$AT,RECAP_final!$E:$E,$A29,RECAP_final!$I:$I,0,RECAP_final!$Q:$Q,"Ano")</f>
        <v>#DIV/0!</v>
      </c>
      <c r="L29" s="168" t="e">
        <f>AVERAGEIFS(RECAP_final!$AU:$AU,RECAP_final!$E:$E,$A29,RECAP_final!$I:$I,0,RECAP_final!$Q:$Q,"Ano")</f>
        <v>#DIV/0!</v>
      </c>
      <c r="M29" s="167" t="e">
        <f>AVERAGEIFS(RECAP_final!$AW:$AW,RECAP_final!$E:$E,$A29,RECAP_final!$I:$I,0,RECAP_final!$Q:$Q,"Ano")</f>
        <v>#DIV/0!</v>
      </c>
      <c r="N29" s="169" t="e">
        <f>AVERAGEIFS(RECAP_final!$AW:$AW,RECAP_final!$E:$E,$A29,RECAP_final!$I:$I,0,RECAP_final!$Q:$Q,"Ano")</f>
        <v>#DIV/0!</v>
      </c>
      <c r="O29" s="170" t="e">
        <f>AVERAGEIFS(RECAP_final!$AX:$AX,RECAP_final!$E:$E,$A29,RECAP_final!$I:$I,0,RECAP_final!$Q:$Q,"Ano")</f>
        <v>#DIV/0!</v>
      </c>
      <c r="P29" s="171" t="e">
        <f>AVERAGEIFS(RECAP_final!$AZ:$AZ,RECAP_final!$E:$E,$A29,RECAP_final!$I:$I,0,RECAP_final!$Q:$Q,"Ano")</f>
        <v>#DIV/0!</v>
      </c>
      <c r="Q29" s="171" t="str">
        <f>IFERROR(AVERAGEIFS(RECAP_final!$AZ:$AZ,RECAP_final!$E:$E,$A29,RECAP_final!$I:$I,0,RECAP_final!$Q:$Q,"Ne"),"")</f>
        <v/>
      </c>
      <c r="R29" s="87">
        <f>COUNTIFS(RECAP_final!$E:$E,$A29,RECAP_final!$Q:$Q,"Ne",RECAP_final!$I:$I,0)</f>
        <v>0</v>
      </c>
      <c r="S29" s="167" t="str">
        <f>IFERROR(AVERAGEIFS(RECAP_final!$F:$F,RECAP_final!$E:$E,$A29,RECAP_final!$I:$I,0,RECAP_final!$Q:$Q,"ne"),"")</f>
        <v/>
      </c>
      <c r="T29" s="167" t="str">
        <f>IFERROR(AVERAGEIFS(RECAP_final!$AL:$AL,RECAP_final!$E:$E,$A29,RECAP_final!$I:$I,0,RECAP_final!$Q:$Q,"Ne"),"")</f>
        <v/>
      </c>
      <c r="U29" s="168" t="str">
        <f>IFERROR(AVERAGEIFS(RECAP_final!$AM:$AM,RECAP_final!$E:$E,$A29,RECAP_final!$I:$I,0,RECAP_final!$Q:$Q,"Ne"),"")</f>
        <v/>
      </c>
      <c r="V29" s="168" t="str">
        <f>IFERROR(AVERAGEIFS(RECAP_final!$AR:$AR,RECAP_final!$E:$E,$A29,RECAP_final!$I:$I,0,RECAP_final!$Q:$Q,"Ne"),"")</f>
        <v/>
      </c>
      <c r="W29" s="168" t="str">
        <f>IFERROR(AVERAGEIFS(RECAP_final!$AS:$AS,RECAP_final!$E:$E,$A29,RECAP_final!$I:$I,0,RECAP_final!$Q:$Q,"Ne"),"")</f>
        <v/>
      </c>
      <c r="X29" s="168" t="str">
        <f>IFERROR(AVERAGEIFS(RECAP_final!$AT:$AT,RECAP_final!$E:$E,$A29,RECAP_final!$I:$I,0,RECAP_final!$Q:$Q,"Ne"),"")</f>
        <v/>
      </c>
      <c r="Y29" s="168" t="str">
        <f>IFERROR(AVERAGEIFS(RECAP_final!$AU:$AU,RECAP_final!$E:$E,$A29,RECAP_final!$I:$I,0,RECAP_final!$Q:$Q,"Ne"),"")</f>
        <v/>
      </c>
      <c r="Z29" s="167" t="str">
        <f>IFERROR(AVERAGEIFS(RECAP_final!$AV:$AV,RECAP_final!$E:$E,$A29,RECAP_final!$I:$I,0,RECAP_final!$Q:$Q,"Ne"),"")</f>
        <v/>
      </c>
      <c r="AA29" s="169" t="str">
        <f>IFERROR(AVERAGEIFS(RECAP_final!$AW:$AW,RECAP_final!$E:$E,$A29,RECAP_final!$I:$I,0,RECAP_final!$Q:$Q,"Ne"),"")</f>
        <v/>
      </c>
      <c r="AB29" s="170" t="str">
        <f>IFERROR(AVERAGEIFS(RECAP_final!$AX:$AX,RECAP_final!$E:$E,$A29,RECAP_final!$I:$I,0,RECAP_final!$Q:$Q,"Ne"),"")</f>
        <v/>
      </c>
      <c r="AC29" s="168" t="e">
        <f>AVERAGEIFS(RECAP_final!$BA:$BA,RECAP_final!$E:$E,$A29,RECAP_final!$I:$I,0,RECAP_final!$Q:$Q,"Ano")</f>
        <v>#DIV/0!</v>
      </c>
      <c r="AD29" s="168" t="str">
        <f>IFERROR(AVERAGEIFS(RECAP_final!$BA:$BA,RECAP_final!$E:$E,$A29,RECAP_final!$I:$I,0,RECAP_final!$Q:$Q,"Ne"),"")</f>
        <v/>
      </c>
    </row>
    <row r="30" spans="1:38" x14ac:dyDescent="0.3">
      <c r="A30" s="164">
        <f t="shared" si="0"/>
        <v>2018</v>
      </c>
      <c r="B30" s="165">
        <f>COUNTIFS(RECAP_final!E:E,Tabs!A30)</f>
        <v>14</v>
      </c>
      <c r="C30" s="165">
        <f>COUNTIFS(RECAP_final!E:E,Tabs!A30,RECAP_final!I:I,1)</f>
        <v>1</v>
      </c>
      <c r="D30" s="166">
        <f t="shared" si="1"/>
        <v>13</v>
      </c>
      <c r="E30" s="87">
        <f>COUNTIFS(RECAP_final!$E:$E,$A30,RECAP_final!$Q:$Q,"Ano",RECAP_final!$I:$I,0)</f>
        <v>0</v>
      </c>
      <c r="F30" s="167" t="e">
        <f>AVERAGEIFS(RECAP_final!$F:$F,RECAP_final!$E:$E,$A30,RECAP_final!$I:$I,0,RECAP_final!$Q:$Q,"Ano")</f>
        <v>#DIV/0!</v>
      </c>
      <c r="G30" s="167" t="e">
        <f>AVERAGEIFS(RECAP_final!$AL:$AL,RECAP_final!$E:$E,$A30,RECAP_final!$I:$I,0,RECAP_final!$Q:$Q,"Ano")</f>
        <v>#DIV/0!</v>
      </c>
      <c r="H30" s="168" t="e">
        <f>AVERAGEIFS(RECAP_final!$AM:$AM,RECAP_final!$E:$E,$A30,RECAP_final!$I:$I,0,RECAP_final!$Q:$Q,"Ano")</f>
        <v>#DIV/0!</v>
      </c>
      <c r="I30" s="168" t="e">
        <f>AVERAGEIFS(RECAP_final!$AR:$AR,RECAP_final!$E:$E,$A30,RECAP_final!$I:$I,0,RECAP_final!$Q:$Q,"Ano")</f>
        <v>#DIV/0!</v>
      </c>
      <c r="J30" s="168" t="e">
        <f>AVERAGEIFS(RECAP_final!$AS:$AS,RECAP_final!$E:$E,$A30,RECAP_final!$I:$I,0,RECAP_final!$Q:$Q,"Ano")</f>
        <v>#DIV/0!</v>
      </c>
      <c r="K30" s="168" t="e">
        <f>AVERAGEIFS(RECAP_final!$AT:$AT,RECAP_final!$E:$E,$A30,RECAP_final!$I:$I,0,RECAP_final!$Q:$Q,"Ano")</f>
        <v>#DIV/0!</v>
      </c>
      <c r="L30" s="168" t="e">
        <f>AVERAGEIFS(RECAP_final!$AU:$AU,RECAP_final!$E:$E,$A30,RECAP_final!$I:$I,0,RECAP_final!$Q:$Q,"Ano")</f>
        <v>#DIV/0!</v>
      </c>
      <c r="M30" s="167" t="e">
        <f>AVERAGEIFS(RECAP_final!$AW:$AW,RECAP_final!$E:$E,$A30,RECAP_final!$I:$I,0,RECAP_final!$Q:$Q,"Ano")</f>
        <v>#DIV/0!</v>
      </c>
      <c r="N30" s="169" t="e">
        <f>AVERAGEIFS(RECAP_final!$AW:$AW,RECAP_final!$E:$E,$A30,RECAP_final!$I:$I,0,RECAP_final!$Q:$Q,"Ano")</f>
        <v>#DIV/0!</v>
      </c>
      <c r="O30" s="170" t="e">
        <f>AVERAGEIFS(RECAP_final!$AX:$AX,RECAP_final!$E:$E,$A30,RECAP_final!$I:$I,0,RECAP_final!$Q:$Q,"Ano")</f>
        <v>#DIV/0!</v>
      </c>
      <c r="P30" s="171" t="e">
        <f>AVERAGEIFS(RECAP_final!$AZ:$AZ,RECAP_final!$E:$E,$A30,RECAP_final!$I:$I,0,RECAP_final!$Q:$Q,"Ano")</f>
        <v>#DIV/0!</v>
      </c>
      <c r="Q30" s="171" t="str">
        <f>IFERROR(AVERAGEIFS(RECAP_final!$AZ:$AZ,RECAP_final!$E:$E,$A30,RECAP_final!$I:$I,0,RECAP_final!$Q:$Q,"Ne"),"")</f>
        <v/>
      </c>
      <c r="R30" s="87">
        <f>COUNTIFS(RECAP_final!$E:$E,$A30,RECAP_final!$Q:$Q,"Ne",RECAP_final!$I:$I,0)</f>
        <v>0</v>
      </c>
      <c r="S30" s="167" t="str">
        <f>IFERROR(AVERAGEIFS(RECAP_final!$F:$F,RECAP_final!$E:$E,$A30,RECAP_final!$I:$I,0,RECAP_final!$Q:$Q,"ne"),"")</f>
        <v/>
      </c>
      <c r="T30" s="167" t="str">
        <f>IFERROR(AVERAGEIFS(RECAP_final!$AL:$AL,RECAP_final!$E:$E,$A30,RECAP_final!$I:$I,0,RECAP_final!$Q:$Q,"Ne"),"")</f>
        <v/>
      </c>
      <c r="U30" s="168" t="str">
        <f>IFERROR(AVERAGEIFS(RECAP_final!$AM:$AM,RECAP_final!$E:$E,$A30,RECAP_final!$I:$I,0,RECAP_final!$Q:$Q,"Ne"),"")</f>
        <v/>
      </c>
      <c r="V30" s="168" t="str">
        <f>IFERROR(AVERAGEIFS(RECAP_final!$AR:$AR,RECAP_final!$E:$E,$A30,RECAP_final!$I:$I,0,RECAP_final!$Q:$Q,"Ne"),"")</f>
        <v/>
      </c>
      <c r="W30" s="168" t="str">
        <f>IFERROR(AVERAGEIFS(RECAP_final!$AS:$AS,RECAP_final!$E:$E,$A30,RECAP_final!$I:$I,0,RECAP_final!$Q:$Q,"Ne"),"")</f>
        <v/>
      </c>
      <c r="X30" s="168" t="str">
        <f>IFERROR(AVERAGEIFS(RECAP_final!$AT:$AT,RECAP_final!$E:$E,$A30,RECAP_final!$I:$I,0,RECAP_final!$Q:$Q,"Ne"),"")</f>
        <v/>
      </c>
      <c r="Y30" s="168" t="str">
        <f>IFERROR(AVERAGEIFS(RECAP_final!$AU:$AU,RECAP_final!$E:$E,$A30,RECAP_final!$I:$I,0,RECAP_final!$Q:$Q,"Ne"),"")</f>
        <v/>
      </c>
      <c r="Z30" s="167" t="str">
        <f>IFERROR(AVERAGEIFS(RECAP_final!$AV:$AV,RECAP_final!$E:$E,$A30,RECAP_final!$I:$I,0,RECAP_final!$Q:$Q,"Ne"),"")</f>
        <v/>
      </c>
      <c r="AA30" s="169" t="str">
        <f>IFERROR(AVERAGEIFS(RECAP_final!$AW:$AW,RECAP_final!$E:$E,$A30,RECAP_final!$I:$I,0,RECAP_final!$Q:$Q,"Ne"),"")</f>
        <v/>
      </c>
      <c r="AB30" s="170" t="str">
        <f>IFERROR(AVERAGEIFS(RECAP_final!$AX:$AX,RECAP_final!$E:$E,$A30,RECAP_final!$I:$I,0,RECAP_final!$Q:$Q,"Ne"),"")</f>
        <v/>
      </c>
      <c r="AC30" s="168" t="e">
        <f>AVERAGEIFS(RECAP_final!$BA:$BA,RECAP_final!$E:$E,$A30,RECAP_final!$I:$I,0,RECAP_final!$Q:$Q,"Ano")</f>
        <v>#DIV/0!</v>
      </c>
      <c r="AD30" s="168" t="str">
        <f>IFERROR(AVERAGEIFS(RECAP_final!$BA:$BA,RECAP_final!$E:$E,$A30,RECAP_final!$I:$I,0,RECAP_final!$Q:$Q,"Ne"),"")</f>
        <v/>
      </c>
    </row>
    <row r="31" spans="1:38" ht="15" thickBot="1" x14ac:dyDescent="0.35">
      <c r="A31" s="164">
        <f t="shared" si="0"/>
        <v>2019</v>
      </c>
      <c r="B31" s="165">
        <f>COUNTIFS(RECAP_final!E:E,Tabs!A31)</f>
        <v>15</v>
      </c>
      <c r="C31" s="165">
        <f>COUNTIFS(RECAP_final!E:E,Tabs!A31,RECAP_final!I:I,1)</f>
        <v>1</v>
      </c>
      <c r="D31" s="166">
        <f t="shared" si="1"/>
        <v>14</v>
      </c>
      <c r="E31" s="87">
        <f>COUNTIFS(RECAP_final!$E:$E,$A31,RECAP_final!$Q:$Q,"Ano",RECAP_final!$I:$I,0)</f>
        <v>0</v>
      </c>
      <c r="F31" s="167" t="e">
        <f>AVERAGEIFS(RECAP_final!$F:$F,RECAP_final!$E:$E,$A31,RECAP_final!$I:$I,0,RECAP_final!$Q:$Q,"Ano")</f>
        <v>#DIV/0!</v>
      </c>
      <c r="G31" s="167" t="e">
        <f>AVERAGEIFS(RECAP_final!$AL:$AL,RECAP_final!$E:$E,$A31,RECAP_final!$I:$I,0,RECAP_final!$Q:$Q,"Ano")</f>
        <v>#DIV/0!</v>
      </c>
      <c r="H31" s="168" t="e">
        <f>AVERAGEIFS(RECAP_final!$AM:$AM,RECAP_final!$E:$E,$A31,RECAP_final!$I:$I,0,RECAP_final!$Q:$Q,"Ano")</f>
        <v>#DIV/0!</v>
      </c>
      <c r="I31" s="168" t="e">
        <f>AVERAGEIFS(RECAP_final!$AR:$AR,RECAP_final!$E:$E,$A31,RECAP_final!$I:$I,0,RECAP_final!$Q:$Q,"Ano")</f>
        <v>#DIV/0!</v>
      </c>
      <c r="J31" s="168" t="e">
        <f>AVERAGEIFS(RECAP_final!$AS:$AS,RECAP_final!$E:$E,$A31,RECAP_final!$I:$I,0,RECAP_final!$Q:$Q,"Ano")</f>
        <v>#DIV/0!</v>
      </c>
      <c r="K31" s="168" t="e">
        <f>AVERAGEIFS(RECAP_final!$AT:$AT,RECAP_final!$E:$E,$A31,RECAP_final!$I:$I,0,RECAP_final!$Q:$Q,"Ano")</f>
        <v>#DIV/0!</v>
      </c>
      <c r="L31" s="168" t="e">
        <f>AVERAGEIFS(RECAP_final!$AU:$AU,RECAP_final!$E:$E,$A31,RECAP_final!$I:$I,0,RECAP_final!$Q:$Q,"Ano")</f>
        <v>#DIV/0!</v>
      </c>
      <c r="M31" s="167" t="e">
        <f>AVERAGEIFS(RECAP_final!$AW:$AW,RECAP_final!$E:$E,$A31,RECAP_final!$I:$I,0,RECAP_final!$Q:$Q,"Ano")</f>
        <v>#DIV/0!</v>
      </c>
      <c r="N31" s="169" t="e">
        <f>AVERAGEIFS(RECAP_final!$AW:$AW,RECAP_final!$E:$E,$A31,RECAP_final!$I:$I,0,RECAP_final!$Q:$Q,"Ano")</f>
        <v>#DIV/0!</v>
      </c>
      <c r="O31" s="170" t="e">
        <f>AVERAGEIFS(RECAP_final!$AX:$AX,RECAP_final!$E:$E,$A31,RECAP_final!$I:$I,0,RECAP_final!$Q:$Q,"Ano")</f>
        <v>#DIV/0!</v>
      </c>
      <c r="P31" s="171" t="e">
        <f>AVERAGEIFS(RECAP_final!$AZ:$AZ,RECAP_final!$E:$E,$A31,RECAP_final!$I:$I,0,RECAP_final!$Q:$Q,"Ano")</f>
        <v>#DIV/0!</v>
      </c>
      <c r="Q31" s="171" t="str">
        <f>IFERROR(AVERAGEIFS(RECAP_final!$AZ:$AZ,RECAP_final!$E:$E,$A31,RECAP_final!$I:$I,0,RECAP_final!$Q:$Q,"Ne"),"")</f>
        <v/>
      </c>
      <c r="R31" s="87">
        <f>COUNTIFS(RECAP_final!$E:$E,$A31,RECAP_final!$Q:$Q,"Ne",RECAP_final!$I:$I,0)</f>
        <v>0</v>
      </c>
      <c r="S31" s="167" t="str">
        <f>IFERROR(AVERAGEIFS(RECAP_final!$F:$F,RECAP_final!$E:$E,$A31,RECAP_final!$I:$I,0,RECAP_final!$Q:$Q,"ne"),"")</f>
        <v/>
      </c>
      <c r="T31" s="167" t="str">
        <f>IFERROR(AVERAGEIFS(RECAP_final!$AL:$AL,RECAP_final!$E:$E,$A31,RECAP_final!$I:$I,0,RECAP_final!$Q:$Q,"Ne"),"")</f>
        <v/>
      </c>
      <c r="U31" s="168" t="str">
        <f>IFERROR(AVERAGEIFS(RECAP_final!$AM:$AM,RECAP_final!$E:$E,$A31,RECAP_final!$I:$I,0,RECAP_final!$Q:$Q,"Ne"),"")</f>
        <v/>
      </c>
      <c r="V31" s="168" t="str">
        <f>IFERROR(AVERAGEIFS(RECAP_final!$AR:$AR,RECAP_final!$E:$E,$A31,RECAP_final!$I:$I,0,RECAP_final!$Q:$Q,"Ne"),"")</f>
        <v/>
      </c>
      <c r="W31" s="168" t="str">
        <f>IFERROR(AVERAGEIFS(RECAP_final!$AS:$AS,RECAP_final!$E:$E,$A31,RECAP_final!$I:$I,0,RECAP_final!$Q:$Q,"Ne"),"")</f>
        <v/>
      </c>
      <c r="X31" s="168" t="str">
        <f>IFERROR(AVERAGEIFS(RECAP_final!$AT:$AT,RECAP_final!$E:$E,$A31,RECAP_final!$I:$I,0,RECAP_final!$Q:$Q,"Ne"),"")</f>
        <v/>
      </c>
      <c r="Y31" s="168" t="str">
        <f>IFERROR(AVERAGEIFS(RECAP_final!$AU:$AU,RECAP_final!$E:$E,$A31,RECAP_final!$I:$I,0,RECAP_final!$Q:$Q,"Ne"),"")</f>
        <v/>
      </c>
      <c r="Z31" s="167" t="str">
        <f>IFERROR(AVERAGEIFS(RECAP_final!$AV:$AV,RECAP_final!$E:$E,$A31,RECAP_final!$I:$I,0,RECAP_final!$Q:$Q,"Ne"),"")</f>
        <v/>
      </c>
      <c r="AA31" s="169" t="str">
        <f>IFERROR(AVERAGEIFS(RECAP_final!$AW:$AW,RECAP_final!$E:$E,$A31,RECAP_final!$I:$I,0,RECAP_final!$Q:$Q,"Ne"),"")</f>
        <v/>
      </c>
      <c r="AB31" s="170" t="str">
        <f>IFERROR(AVERAGEIFS(RECAP_final!$AX:$AX,RECAP_final!$E:$E,$A31,RECAP_final!$I:$I,0,RECAP_final!$Q:$Q,"Ne"),"")</f>
        <v/>
      </c>
      <c r="AC31" s="168" t="e">
        <f>AVERAGEIFS(RECAP_final!$BA:$BA,RECAP_final!$E:$E,$A31,RECAP_final!$I:$I,0,RECAP_final!$Q:$Q,"Ano")</f>
        <v>#DIV/0!</v>
      </c>
      <c r="AD31" s="168" t="str">
        <f>IFERROR(AVERAGEIFS(RECAP_final!$BA:$BA,RECAP_final!$E:$E,$A31,RECAP_final!$I:$I,0,RECAP_final!$Q:$Q,"Ne"),"")</f>
        <v/>
      </c>
    </row>
    <row r="32" spans="1:38" ht="15" thickBot="1" x14ac:dyDescent="0.35">
      <c r="A32" s="195" t="s">
        <v>143</v>
      </c>
      <c r="B32" s="196">
        <f>SUM(B5:B31)</f>
        <v>140</v>
      </c>
      <c r="C32" s="197">
        <f>SUM(C5:C31)</f>
        <v>20</v>
      </c>
      <c r="D32" s="197">
        <f>SUM(D5:D31)</f>
        <v>120</v>
      </c>
      <c r="E32" s="197">
        <f>SUM(E5:E31)</f>
        <v>0</v>
      </c>
      <c r="F32" s="198" t="e">
        <f>AVERAGE(F5:F31)</f>
        <v>#DIV/0!</v>
      </c>
      <c r="G32" s="198" t="e">
        <f>AVERAGE(G5:G31)</f>
        <v>#DIV/0!</v>
      </c>
      <c r="H32" s="199" t="e">
        <f t="shared" ref="H32:P32" si="2">AVERAGE(H5:H31)</f>
        <v>#DIV/0!</v>
      </c>
      <c r="I32" s="199" t="e">
        <f t="shared" si="2"/>
        <v>#DIV/0!</v>
      </c>
      <c r="J32" s="199" t="e">
        <f t="shared" si="2"/>
        <v>#DIV/0!</v>
      </c>
      <c r="K32" s="199" t="e">
        <f t="shared" si="2"/>
        <v>#DIV/0!</v>
      </c>
      <c r="L32" s="199" t="e">
        <f t="shared" si="2"/>
        <v>#DIV/0!</v>
      </c>
      <c r="M32" s="198" t="e">
        <f t="shared" si="2"/>
        <v>#DIV/0!</v>
      </c>
      <c r="N32" s="200" t="e">
        <f t="shared" si="2"/>
        <v>#DIV/0!</v>
      </c>
      <c r="O32" s="201" t="e">
        <f t="shared" si="2"/>
        <v>#DIV/0!</v>
      </c>
      <c r="P32" s="201" t="e">
        <f t="shared" si="2"/>
        <v>#DIV/0!</v>
      </c>
      <c r="Q32" s="201" t="e">
        <f>AVERAGE(Q5:Q31)</f>
        <v>#DIV/0!</v>
      </c>
      <c r="R32" s="197">
        <f>SUM(R5:R31)</f>
        <v>0</v>
      </c>
      <c r="S32" s="198" t="e">
        <f t="shared" ref="S32:X32" si="3">AVERAGE(S5:S31)</f>
        <v>#DIV/0!</v>
      </c>
      <c r="T32" s="198" t="e">
        <f t="shared" si="3"/>
        <v>#DIV/0!</v>
      </c>
      <c r="U32" s="199" t="e">
        <f t="shared" si="3"/>
        <v>#DIV/0!</v>
      </c>
      <c r="V32" s="199" t="e">
        <f t="shared" si="3"/>
        <v>#DIV/0!</v>
      </c>
      <c r="W32" s="199" t="e">
        <f t="shared" si="3"/>
        <v>#DIV/0!</v>
      </c>
      <c r="X32" s="199" t="e">
        <f t="shared" si="3"/>
        <v>#DIV/0!</v>
      </c>
      <c r="Y32" s="197"/>
      <c r="Z32" s="198" t="e">
        <f>AVERAGE(Z5:Z31)</f>
        <v>#DIV/0!</v>
      </c>
      <c r="AA32" s="200" t="e">
        <f>AVERAGE(AA5:AA31)</f>
        <v>#DIV/0!</v>
      </c>
      <c r="AB32" s="202" t="e">
        <f>AVERAGE(AB5:AB31)</f>
        <v>#DIV/0!</v>
      </c>
      <c r="AC32" s="203" t="e">
        <f>AVERAGE(AC5:AC31)</f>
        <v>#DIV/0!</v>
      </c>
      <c r="AD32" s="203" t="e">
        <f>AVERAGE(AD5:AD31)</f>
        <v>#DIV/0!</v>
      </c>
      <c r="AE32" s="203" t="e">
        <f>+AD32-AC32</f>
        <v>#DIV/0!</v>
      </c>
    </row>
    <row r="33" spans="5:27" x14ac:dyDescent="0.3">
      <c r="E33" s="204">
        <f>+E32/$D$32</f>
        <v>0</v>
      </c>
      <c r="R33" s="204">
        <f>+R32/$D$32</f>
        <v>0</v>
      </c>
      <c r="AA33" s="116"/>
    </row>
    <row r="37" spans="5:27" x14ac:dyDescent="0.3">
      <c r="U37" s="44"/>
    </row>
    <row r="38" spans="5:27" x14ac:dyDescent="0.3">
      <c r="U38" s="44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RECAP_final</vt:lpstr>
      <vt:lpstr>Tabs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Bocok Vojtech</dc:creator>
  <cp:lastModifiedBy>Josef Abrhám</cp:lastModifiedBy>
  <dcterms:created xsi:type="dcterms:W3CDTF">2021-01-28T16:16:11Z</dcterms:created>
  <dcterms:modified xsi:type="dcterms:W3CDTF">2023-05-01T20:16:44Z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bf4bacbf-4cc9-4a60-9d9e-c25e656b41b2</vt:lpwstr>
  </property>
</Properties>
</file>