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phan\any time\milkyway paper\"/>
    </mc:Choice>
  </mc:AlternateContent>
  <xr:revisionPtr revIDLastSave="0" documentId="13_ncr:1_{8160B5B1-2DDF-4390-85FD-ADFA23ADFA2D}" xr6:coauthVersionLast="47" xr6:coauthVersionMax="47" xr10:uidLastSave="{00000000-0000-0000-0000-000000000000}"/>
  <bookViews>
    <workbookView xWindow="-120" yWindow="-120" windowWidth="29040" windowHeight="15225" activeTab="2" xr2:uid="{B3DABA71-E5C9-4AA6-AC2E-92B9AC8ED0F3}"/>
  </bookViews>
  <sheets>
    <sheet name="M31" sheetId="7" r:id="rId1"/>
    <sheet name="M81" sheetId="5" r:id="rId2"/>
    <sheet name="M101 &amp; fit parameters" sheetId="6" r:id="rId3"/>
    <sheet name="M31 with &amp; without universe" sheetId="10" r:id="rId4"/>
    <sheet name="M81 with &amp; without universe" sheetId="9" r:id="rId5"/>
  </sheets>
  <definedNames>
    <definedName name="a" localSheetId="2">'M101 &amp; fit parameters'!#REF!</definedName>
    <definedName name="a" localSheetId="0">'M31'!#REF!</definedName>
    <definedName name="a" localSheetId="3">'M31 with &amp; without universe'!#REF!</definedName>
    <definedName name="a" localSheetId="1">'M81'!#REF!</definedName>
    <definedName name="a" localSheetId="4">'M81 with &amp; without universe'!#REF!</definedName>
    <definedName name="aa" localSheetId="2">'M101 &amp; fit parameters'!#REF!</definedName>
    <definedName name="aa" localSheetId="0">'M31'!#REF!</definedName>
    <definedName name="aa" localSheetId="3">'M31 with &amp; without universe'!#REF!</definedName>
    <definedName name="aa" localSheetId="1">'M81'!#REF!</definedName>
    <definedName name="aa" localSheetId="4">'M81 with &amp; without universe'!#REF!</definedName>
    <definedName name="aaa" localSheetId="2">'M101 &amp; fit parameters'!#REF!</definedName>
    <definedName name="aaa" localSheetId="0">'M31'!#REF!</definedName>
    <definedName name="aaa" localSheetId="3">'M31 with &amp; without universe'!#REF!</definedName>
    <definedName name="aaa" localSheetId="1">'M81'!#REF!</definedName>
    <definedName name="aaa" localSheetId="4">'M81 with &amp; without universe'!#REF!</definedName>
    <definedName name="af" localSheetId="2">'M101 &amp; fit parameters'!$U$37</definedName>
    <definedName name="af" localSheetId="0">'M31'!$U$33</definedName>
    <definedName name="af" localSheetId="3">'M31 with &amp; without universe'!$U$33</definedName>
    <definedName name="af" localSheetId="1">'M81'!$U$32</definedName>
    <definedName name="af" localSheetId="4">'M81 with &amp; without universe'!$U$32</definedName>
    <definedName name="alpha">'M101 &amp; fit parameters'!#REF!</definedName>
    <definedName name="ar" localSheetId="2">'M101 &amp; fit parameters'!#REF!</definedName>
    <definedName name="ar" localSheetId="0">'M31'!#REF!</definedName>
    <definedName name="ar" localSheetId="3">'M31 with &amp; without universe'!#REF!</definedName>
    <definedName name="ar" localSheetId="1">'M81'!#REF!</definedName>
    <definedName name="ar" localSheetId="4">'M81 with &amp; without universe'!#REF!</definedName>
    <definedName name="B" localSheetId="2">'M101 &amp; fit parameters'!#REF!</definedName>
    <definedName name="B" localSheetId="0">'M31'!#REF!</definedName>
    <definedName name="B" localSheetId="3">'M31 with &amp; without universe'!#REF!</definedName>
    <definedName name="B" localSheetId="1">'M81'!#REF!</definedName>
    <definedName name="B" localSheetId="4">'M81 with &amp; without universe'!#REF!</definedName>
    <definedName name="bf" localSheetId="2">'M101 &amp; fit parameters'!$U$26</definedName>
    <definedName name="bf" localSheetId="0">'M31'!$U$26</definedName>
    <definedName name="bf" localSheetId="3">'M31 with &amp; without universe'!$U$26</definedName>
    <definedName name="bf" localSheetId="1">'M81'!$U$26</definedName>
    <definedName name="bf" localSheetId="4">'M81 with &amp; without universe'!$U$26</definedName>
    <definedName name="c_" localSheetId="2">'M101 &amp; fit parameters'!$X$13</definedName>
    <definedName name="c_" localSheetId="0">'M31'!$X$13</definedName>
    <definedName name="c_" localSheetId="3">'M31 with &amp; without universe'!$X$13</definedName>
    <definedName name="c_" localSheetId="1">'M81'!$X$13</definedName>
    <definedName name="c_" localSheetId="4">'M81 with &amp; without universe'!$X$13</definedName>
    <definedName name="c_kms">'M101 &amp; fit parameters'!$X$13</definedName>
    <definedName name="c_ms">'M101 &amp; fit parameters'!$X$14</definedName>
    <definedName name="cst" localSheetId="2">'M101 &amp; fit parameters'!#REF!</definedName>
    <definedName name="cst" localSheetId="0">'M31'!#REF!</definedName>
    <definedName name="cst" localSheetId="3">'M31 with &amp; without universe'!#REF!</definedName>
    <definedName name="cst" localSheetId="1">'M81'!#REF!</definedName>
    <definedName name="cst" localSheetId="4">'M81 with &amp; without universe'!#REF!</definedName>
    <definedName name="du">'M101 &amp; fit parameters'!$X$9</definedName>
    <definedName name="k" localSheetId="2">'M101 &amp; fit parameters'!#REF!</definedName>
    <definedName name="k" localSheetId="0">'M31'!#REF!</definedName>
    <definedName name="k" localSheetId="3">'M31 with &amp; without universe'!#REF!</definedName>
    <definedName name="k" localSheetId="1">'M81'!#REF!</definedName>
    <definedName name="k" localSheetId="4">'M81 with &amp; without universe'!#REF!</definedName>
    <definedName name="Kappa">'M101 &amp; fit parameters'!$X$15</definedName>
    <definedName name="kf" localSheetId="2">'M101 &amp; fit parameters'!$U$27</definedName>
    <definedName name="kf" localSheetId="0">'M31'!$U$27</definedName>
    <definedName name="kf" localSheetId="3">'M31 with &amp; without universe'!$U$27</definedName>
    <definedName name="kf" localSheetId="1">'M81'!$U$27</definedName>
    <definedName name="kf" localSheetId="4">'M81 with &amp; without universe'!$U$27</definedName>
    <definedName name="ly_m">'M101 &amp; fit parameters'!$AA$9</definedName>
    <definedName name="m" localSheetId="2">'M101 &amp; fit parameters'!#REF!</definedName>
    <definedName name="m" localSheetId="0">'M31'!$X$11</definedName>
    <definedName name="m" localSheetId="3">'M31 with &amp; without universe'!$X$11</definedName>
    <definedName name="m" localSheetId="1">'M81'!$X$11</definedName>
    <definedName name="m" localSheetId="4">'M81 with &amp; without universe'!$X$11</definedName>
    <definedName name="mf" localSheetId="2">'M101 &amp; fit parameters'!$U$29</definedName>
    <definedName name="mf" localSheetId="0">'M31'!$U$29</definedName>
    <definedName name="mf" localSheetId="3">'M31 with &amp; without universe'!$U$29</definedName>
    <definedName name="mf" localSheetId="1">'M81'!$U$29</definedName>
    <definedName name="mf" localSheetId="4">'M81 with &amp; without universe'!$U$29</definedName>
    <definedName name="n" localSheetId="2">'M101 &amp; fit parameters'!#REF!</definedName>
    <definedName name="n" localSheetId="0">'M31'!#REF!</definedName>
    <definedName name="n" localSheetId="3">'M31 with &amp; without universe'!#REF!</definedName>
    <definedName name="n" localSheetId="1">'M81'!#REF!</definedName>
    <definedName name="n" localSheetId="4">'M81 with &amp; without universe'!#REF!</definedName>
    <definedName name="nf" localSheetId="2">'M101 &amp; fit parameters'!$U$25</definedName>
    <definedName name="nf" localSheetId="0">'M31'!$U$25</definedName>
    <definedName name="nf" localSheetId="3">'M31 with &amp; without universe'!$U$25</definedName>
    <definedName name="nf" localSheetId="1">'M81'!$U$25</definedName>
    <definedName name="nf" localSheetId="4">'M81 with &amp; without universe'!$U$25</definedName>
    <definedName name="nr" localSheetId="2">'M101 &amp; fit parameters'!#REF!</definedName>
    <definedName name="nr" localSheetId="0">'M31'!#REF!</definedName>
    <definedName name="nr" localSheetId="3">'M31 with &amp; without universe'!#REF!</definedName>
    <definedName name="nr" localSheetId="1">'M81'!#REF!</definedName>
    <definedName name="nr" localSheetId="4">'M81 with &amp; without universe'!#REF!</definedName>
    <definedName name="or" localSheetId="2">'M101 &amp; fit parameters'!#REF!</definedName>
    <definedName name="or" localSheetId="0">'M31'!#REF!</definedName>
    <definedName name="or" localSheetId="3">'M31 with &amp; without universe'!#REF!</definedName>
    <definedName name="or" localSheetId="1">'M81'!#REF!</definedName>
    <definedName name="or" localSheetId="4">'M81 with &amp; without universe'!#REF!</definedName>
    <definedName name="p" localSheetId="2">'M101 &amp; fit parameters'!#REF!</definedName>
    <definedName name="p" localSheetId="0">'M31'!#REF!</definedName>
    <definedName name="p" localSheetId="3">'M31 with &amp; without universe'!#REF!</definedName>
    <definedName name="p" localSheetId="1">'M81'!#REF!</definedName>
    <definedName name="p" localSheetId="4">'M81 with &amp; without universe'!#REF!</definedName>
    <definedName name="pf" localSheetId="2">'M101 &amp; fit parameters'!$U$28</definedName>
    <definedName name="pf" localSheetId="0">'M31'!$U$28</definedName>
    <definedName name="pf" localSheetId="3">'M31 with &amp; without universe'!$U$28</definedName>
    <definedName name="pf" localSheetId="1">'M81'!$U$28</definedName>
    <definedName name="pf" localSheetId="4">'M81 with &amp; without universe'!$U$28</definedName>
    <definedName name="pr" localSheetId="2">'M101 &amp; fit parameters'!#REF!</definedName>
    <definedName name="pr" localSheetId="0">'M31'!#REF!</definedName>
    <definedName name="pr" localSheetId="3">'M31 with &amp; without universe'!#REF!</definedName>
    <definedName name="pr" localSheetId="1">'M81'!#REF!</definedName>
    <definedName name="pr" localSheetId="4">'M81 with &amp; without universe'!#REF!</definedName>
    <definedName name="q" localSheetId="2">'M101 &amp; fit parameters'!#REF!</definedName>
    <definedName name="q" localSheetId="0">'M31'!#REF!</definedName>
    <definedName name="q" localSheetId="3">'M31 with &amp; without universe'!#REF!</definedName>
    <definedName name="q" localSheetId="1">'M81'!#REF!</definedName>
    <definedName name="q" localSheetId="4">'M81 with &amp; without universe'!#REF!</definedName>
    <definedName name="qf" localSheetId="2">'M101 &amp; fit parameters'!$U$30</definedName>
    <definedName name="qf" localSheetId="0">'M31'!$U$30</definedName>
    <definedName name="qf" localSheetId="3">'M31 with &amp; without universe'!$U$30</definedName>
    <definedName name="qf" localSheetId="1">'M81'!$U$30</definedName>
    <definedName name="qf" localSheetId="4">'M81 with &amp; without universe'!$U$30</definedName>
    <definedName name="Ra" localSheetId="2">'M101 &amp; fit parameters'!#REF!</definedName>
    <definedName name="Ra" localSheetId="0">'M31'!#REF!</definedName>
    <definedName name="Ra" localSheetId="3">'M31 with &amp; without universe'!#REF!</definedName>
    <definedName name="Ra" localSheetId="1">'M81'!#REF!</definedName>
    <definedName name="Ra" localSheetId="4">'M81 with &amp; without universe'!#REF!</definedName>
    <definedName name="Rb" localSheetId="2">'M101 &amp; fit parameters'!#REF!</definedName>
    <definedName name="Rb" localSheetId="0">'M31'!#REF!</definedName>
    <definedName name="Rb" localSheetId="3">'M31 with &amp; without universe'!#REF!</definedName>
    <definedName name="Rb" localSheetId="1">'M81'!#REF!</definedName>
    <definedName name="Rb" localSheetId="4">'M81 with &amp; without universe'!#REF!</definedName>
    <definedName name="solver_adj" localSheetId="2" hidden="1">'M101 &amp; fit parameters'!$W$26,'M101 &amp; fit parameters'!$W$27,'M101 &amp; fit parameters'!$W$29,'M101 &amp; fit parameters'!$W$30</definedName>
    <definedName name="solver_adj" localSheetId="0" hidden="1">'M31'!$U$25:$U$29</definedName>
    <definedName name="solver_adj" localSheetId="3" hidden="1">'M31 with &amp; without universe'!$U$25:$U$29</definedName>
    <definedName name="solver_adj" localSheetId="1" hidden="1">'M81'!$U$29,'M81'!$U$26,'M81'!$U$28</definedName>
    <definedName name="solver_adj" localSheetId="4" hidden="1">'M81 with &amp; without universe'!$U$29,'M81 with &amp; without universe'!$U$26,'M81 with &amp; without universe'!$U$28</definedName>
    <definedName name="solver_cvg" localSheetId="2" hidden="1">0.0001</definedName>
    <definedName name="solver_cvg" localSheetId="0" hidden="1">0.0001</definedName>
    <definedName name="solver_cvg" localSheetId="3" hidden="1">0.0001</definedName>
    <definedName name="solver_cvg" localSheetId="1" hidden="1">0.0001</definedName>
    <definedName name="solver_cvg" localSheetId="4" hidden="1">0.0001</definedName>
    <definedName name="solver_drv" localSheetId="2" hidden="1">1</definedName>
    <definedName name="solver_drv" localSheetId="0" hidden="1">1</definedName>
    <definedName name="solver_drv" localSheetId="3" hidden="1">1</definedName>
    <definedName name="solver_drv" localSheetId="1" hidden="1">1</definedName>
    <definedName name="solver_drv" localSheetId="4" hidden="1">1</definedName>
    <definedName name="solver_eng" localSheetId="2" hidden="1">1</definedName>
    <definedName name="solver_eng" localSheetId="0" hidden="1">1</definedName>
    <definedName name="solver_eng" localSheetId="3" hidden="1">1</definedName>
    <definedName name="solver_eng" localSheetId="1" hidden="1">1</definedName>
    <definedName name="solver_eng" localSheetId="4" hidden="1">1</definedName>
    <definedName name="solver_est" localSheetId="2" hidden="1">1</definedName>
    <definedName name="solver_est" localSheetId="0" hidden="1">1</definedName>
    <definedName name="solver_est" localSheetId="3" hidden="1">1</definedName>
    <definedName name="solver_est" localSheetId="1" hidden="1">1</definedName>
    <definedName name="solver_est" localSheetId="4" hidden="1">1</definedName>
    <definedName name="solver_itr" localSheetId="2" hidden="1">2147483647</definedName>
    <definedName name="solver_itr" localSheetId="0" hidden="1">2147483647</definedName>
    <definedName name="solver_itr" localSheetId="3" hidden="1">2147483647</definedName>
    <definedName name="solver_itr" localSheetId="1" hidden="1">2147483647</definedName>
    <definedName name="solver_itr" localSheetId="4" hidden="1">2147483647</definedName>
    <definedName name="solver_lhs0" localSheetId="2" hidden="1">'M101 &amp; fit parameters'!$V$30</definedName>
    <definedName name="solver_lhs1" localSheetId="2" hidden="1">'M101 &amp; fit parameters'!$V$26</definedName>
    <definedName name="solver_lhs1" localSheetId="0" hidden="1">'M31'!#REF!</definedName>
    <definedName name="solver_lhs1" localSheetId="3" hidden="1">'M31 with &amp; without universe'!#REF!</definedName>
    <definedName name="solver_lhs1" localSheetId="1" hidden="1">'M81'!#REF!</definedName>
    <definedName name="solver_lhs1" localSheetId="4" hidden="1">'M81 with &amp; without universe'!#REF!</definedName>
    <definedName name="solver_lhs10" localSheetId="2" hidden="1">'M101 &amp; fit parameters'!$W$26</definedName>
    <definedName name="solver_lhs10" localSheetId="0" hidden="1">'M31'!$U$30</definedName>
    <definedName name="solver_lhs10" localSheetId="3" hidden="1">'M31 with &amp; without universe'!$U$30</definedName>
    <definedName name="solver_lhs10" localSheetId="1" hidden="1">'M81'!$U$30</definedName>
    <definedName name="solver_lhs10" localSheetId="4" hidden="1">'M81 with &amp; without universe'!$U$30</definedName>
    <definedName name="solver_lhs11" localSheetId="2" hidden="1">'M101 &amp; fit parameters'!$W$32</definedName>
    <definedName name="solver_lhs11" localSheetId="0" hidden="1">'M31'!$U$30</definedName>
    <definedName name="solver_lhs11" localSheetId="3" hidden="1">'M31 with &amp; without universe'!$U$30</definedName>
    <definedName name="solver_lhs11" localSheetId="1" hidden="1">'M81'!$U$30</definedName>
    <definedName name="solver_lhs11" localSheetId="4" hidden="1">'M81 with &amp; without universe'!$U$30</definedName>
    <definedName name="solver_lhs12" localSheetId="2" hidden="1">'M101 &amp; fit parameters'!$V$28</definedName>
    <definedName name="solver_lhs12" localSheetId="0" hidden="1">'M31'!$U$30</definedName>
    <definedName name="solver_lhs12" localSheetId="3" hidden="1">'M31 with &amp; without universe'!$U$30</definedName>
    <definedName name="solver_lhs12" localSheetId="1" hidden="1">'M81'!$U$30</definedName>
    <definedName name="solver_lhs12" localSheetId="4" hidden="1">'M81 with &amp; without universe'!$U$30</definedName>
    <definedName name="solver_lhs13" localSheetId="2" hidden="1">'M101 &amp; fit parameters'!$W$25</definedName>
    <definedName name="solver_lhs13" localSheetId="0" hidden="1">'M31'!$U$30</definedName>
    <definedName name="solver_lhs13" localSheetId="3" hidden="1">'M31 with &amp; without universe'!$U$30</definedName>
    <definedName name="solver_lhs13" localSheetId="1" hidden="1">'M81'!$U$30</definedName>
    <definedName name="solver_lhs13" localSheetId="4" hidden="1">'M81 with &amp; without universe'!$U$30</definedName>
    <definedName name="solver_lhs14" localSheetId="2" hidden="1">'M101 &amp; fit parameters'!$V$30</definedName>
    <definedName name="solver_lhs14" localSheetId="0" hidden="1">'M31'!$U$30</definedName>
    <definedName name="solver_lhs14" localSheetId="3" hidden="1">'M31 with &amp; without universe'!$U$30</definedName>
    <definedName name="solver_lhs14" localSheetId="1" hidden="1">'M81'!$U$30</definedName>
    <definedName name="solver_lhs14" localSheetId="4" hidden="1">'M81 with &amp; without universe'!$U$30</definedName>
    <definedName name="solver_lhs15" localSheetId="2" hidden="1">'M101 &amp; fit parameters'!$W$26</definedName>
    <definedName name="solver_lhs15" localSheetId="0" hidden="1">'M31'!$B$17</definedName>
    <definedName name="solver_lhs15" localSheetId="3" hidden="1">'M31 with &amp; without universe'!$B$17</definedName>
    <definedName name="solver_lhs15" localSheetId="1" hidden="1">'M81'!$B$17</definedName>
    <definedName name="solver_lhs15" localSheetId="4" hidden="1">'M81 with &amp; without universe'!$B$17</definedName>
    <definedName name="solver_lhs16" localSheetId="2" hidden="1">'M101 &amp; fit parameters'!$V$27</definedName>
    <definedName name="solver_lhs16" localSheetId="0" hidden="1">'M31'!$B$17</definedName>
    <definedName name="solver_lhs16" localSheetId="3" hidden="1">'M31 with &amp; without universe'!$B$17</definedName>
    <definedName name="solver_lhs16" localSheetId="1" hidden="1">'M81'!$B$17</definedName>
    <definedName name="solver_lhs16" localSheetId="4" hidden="1">'M81 with &amp; without universe'!$B$17</definedName>
    <definedName name="solver_lhs17" localSheetId="2" hidden="1">'M101 &amp; fit parameters'!$U$29</definedName>
    <definedName name="solver_lhs17" localSheetId="0" hidden="1">'M31'!$B$18</definedName>
    <definedName name="solver_lhs17" localSheetId="3" hidden="1">'M31 with &amp; without universe'!$B$18</definedName>
    <definedName name="solver_lhs17" localSheetId="1" hidden="1">'M81'!$B$18</definedName>
    <definedName name="solver_lhs17" localSheetId="4" hidden="1">'M81 with &amp; without universe'!$B$18</definedName>
    <definedName name="solver_lhs18" localSheetId="2" hidden="1">'M101 &amp; fit parameters'!$W$28</definedName>
    <definedName name="solver_lhs18" localSheetId="0" hidden="1">'M31'!$B$18</definedName>
    <definedName name="solver_lhs18" localSheetId="3" hidden="1">'M31 with &amp; without universe'!$B$18</definedName>
    <definedName name="solver_lhs18" localSheetId="1" hidden="1">'M81'!$B$18</definedName>
    <definedName name="solver_lhs18" localSheetId="4" hidden="1">'M81 with &amp; without universe'!$B$18</definedName>
    <definedName name="solver_lhs19" localSheetId="2" hidden="1">'M101 &amp; fit parameters'!$W$29</definedName>
    <definedName name="solver_lhs19" localSheetId="0" hidden="1">'M31'!$B$19</definedName>
    <definedName name="solver_lhs19" localSheetId="3" hidden="1">'M31 with &amp; without universe'!$B$19</definedName>
    <definedName name="solver_lhs19" localSheetId="1" hidden="1">'M81'!$B$19</definedName>
    <definedName name="solver_lhs19" localSheetId="4" hidden="1">'M81 with &amp; without universe'!$B$19</definedName>
    <definedName name="solver_lhs2" localSheetId="2" hidden="1">'M101 &amp; fit parameters'!$V$26</definedName>
    <definedName name="solver_lhs2" localSheetId="0" hidden="1">'M31'!#REF!</definedName>
    <definedName name="solver_lhs2" localSheetId="3" hidden="1">'M31 with &amp; without universe'!#REF!</definedName>
    <definedName name="solver_lhs2" localSheetId="1" hidden="1">'M81'!#REF!</definedName>
    <definedName name="solver_lhs2" localSheetId="4" hidden="1">'M81 with &amp; without universe'!#REF!</definedName>
    <definedName name="solver_lhs20" localSheetId="2" hidden="1">'M101 &amp; fit parameters'!$U$28</definedName>
    <definedName name="solver_lhs20" localSheetId="0" hidden="1">'M31'!$B$19</definedName>
    <definedName name="solver_lhs20" localSheetId="3" hidden="1">'M31 with &amp; without universe'!$B$19</definedName>
    <definedName name="solver_lhs20" localSheetId="1" hidden="1">'M81'!$B$19</definedName>
    <definedName name="solver_lhs20" localSheetId="4" hidden="1">'M81 with &amp; without universe'!$B$19</definedName>
    <definedName name="solver_lhs21" localSheetId="2" hidden="1">'M101 &amp; fit parameters'!$W$30</definedName>
    <definedName name="solver_lhs21" localSheetId="0" hidden="1">'M31'!$B$2</definedName>
    <definedName name="solver_lhs21" localSheetId="3" hidden="1">'M31 with &amp; without universe'!$B$2</definedName>
    <definedName name="solver_lhs21" localSheetId="1" hidden="1">'M81'!$B$2</definedName>
    <definedName name="solver_lhs21" localSheetId="4" hidden="1">'M81 with &amp; without universe'!$B$2</definedName>
    <definedName name="solver_lhs22" localSheetId="2" hidden="1">'M101 &amp; fit parameters'!$W$27</definedName>
    <definedName name="solver_lhs22" localSheetId="0" hidden="1">'M31'!$B$2</definedName>
    <definedName name="solver_lhs22" localSheetId="3" hidden="1">'M31 with &amp; without universe'!$B$2</definedName>
    <definedName name="solver_lhs22" localSheetId="1" hidden="1">'M81'!$B$2</definedName>
    <definedName name="solver_lhs22" localSheetId="4" hidden="1">'M81 with &amp; without universe'!$B$2</definedName>
    <definedName name="solver_lhs23" localSheetId="2" hidden="1">'M101 &amp; fit parameters'!$W$29</definedName>
    <definedName name="solver_lhs23" localSheetId="0" hidden="1">'M31'!$B$20</definedName>
    <definedName name="solver_lhs23" localSheetId="3" hidden="1">'M31 with &amp; without universe'!$B$20</definedName>
    <definedName name="solver_lhs23" localSheetId="1" hidden="1">'M81'!$B$20</definedName>
    <definedName name="solver_lhs23" localSheetId="4" hidden="1">'M81 with &amp; without universe'!$B$20</definedName>
    <definedName name="solver_lhs24" localSheetId="2" hidden="1">'M101 &amp; fit parameters'!$W$30</definedName>
    <definedName name="solver_lhs24" localSheetId="0" hidden="1">'M31'!$B$20</definedName>
    <definedName name="solver_lhs24" localSheetId="3" hidden="1">'M31 with &amp; without universe'!$B$20</definedName>
    <definedName name="solver_lhs24" localSheetId="1" hidden="1">'M81'!$B$20</definedName>
    <definedName name="solver_lhs24" localSheetId="4" hidden="1">'M81 with &amp; without universe'!$B$20</definedName>
    <definedName name="solver_lhs25" localSheetId="2" hidden="1">'M101 &amp; fit parameters'!$W$27</definedName>
    <definedName name="solver_lhs25" localSheetId="0" hidden="1">'M31'!$B$21</definedName>
    <definedName name="solver_lhs25" localSheetId="3" hidden="1">'M31 with &amp; without universe'!$B$21</definedName>
    <definedName name="solver_lhs25" localSheetId="1" hidden="1">'M81'!$B$21</definedName>
    <definedName name="solver_lhs25" localSheetId="4" hidden="1">'M81 with &amp; without universe'!$B$21</definedName>
    <definedName name="solver_lhs26" localSheetId="2" hidden="1">'M101 &amp; fit parameters'!$W$32</definedName>
    <definedName name="solver_lhs26" localSheetId="0" hidden="1">'M31'!$B$21</definedName>
    <definedName name="solver_lhs26" localSheetId="3" hidden="1">'M31 with &amp; without universe'!$B$21</definedName>
    <definedName name="solver_lhs26" localSheetId="1" hidden="1">'M81'!$B$21</definedName>
    <definedName name="solver_lhs26" localSheetId="4" hidden="1">'M81 with &amp; without universe'!$B$21</definedName>
    <definedName name="solver_lhs27" localSheetId="2" hidden="1">'M101 &amp; fit parameters'!$W$28</definedName>
    <definedName name="solver_lhs27" localSheetId="0" hidden="1">'M31'!$B$3</definedName>
    <definedName name="solver_lhs27" localSheetId="3" hidden="1">'M31 with &amp; without universe'!$B$3</definedName>
    <definedName name="solver_lhs27" localSheetId="1" hidden="1">'M81'!$B$3</definedName>
    <definedName name="solver_lhs27" localSheetId="4" hidden="1">'M81 with &amp; without universe'!$B$3</definedName>
    <definedName name="solver_lhs28" localSheetId="2" hidden="1">'M101 &amp; fit parameters'!$U$26</definedName>
    <definedName name="solver_lhs28" localSheetId="0" hidden="1">'M31'!$B$3</definedName>
    <definedName name="solver_lhs28" localSheetId="3" hidden="1">'M31 with &amp; without universe'!$B$3</definedName>
    <definedName name="solver_lhs28" localSheetId="1" hidden="1">'M81'!$B$3</definedName>
    <definedName name="solver_lhs28" localSheetId="4" hidden="1">'M81 with &amp; without universe'!$B$3</definedName>
    <definedName name="solver_lhs29" localSheetId="2" hidden="1">'M101 &amp; fit parameters'!$U$29</definedName>
    <definedName name="solver_lhs29" localSheetId="0" hidden="1">'M31'!$B$4</definedName>
    <definedName name="solver_lhs29" localSheetId="3" hidden="1">'M31 with &amp; without universe'!$B$4</definedName>
    <definedName name="solver_lhs29" localSheetId="1" hidden="1">'M81'!$B$4</definedName>
    <definedName name="solver_lhs29" localSheetId="4" hidden="1">'M81 with &amp; without universe'!$B$4</definedName>
    <definedName name="solver_lhs3" localSheetId="2" hidden="1">'M101 &amp; fit parameters'!$V$25</definedName>
    <definedName name="solver_lhs3" localSheetId="0" hidden="1">'M31'!$U$33</definedName>
    <definedName name="solver_lhs3" localSheetId="3" hidden="1">'M31 with &amp; without universe'!$U$33</definedName>
    <definedName name="solver_lhs3" localSheetId="1" hidden="1">'M81'!$U$32</definedName>
    <definedName name="solver_lhs3" localSheetId="4" hidden="1">'M81 with &amp; without universe'!$U$32</definedName>
    <definedName name="solver_lhs30" localSheetId="2" hidden="1">'M101 &amp; fit parameters'!$U$25</definedName>
    <definedName name="solver_lhs30" localSheetId="0" hidden="1">'M31'!$B$4</definedName>
    <definedName name="solver_lhs30" localSheetId="3" hidden="1">'M31 with &amp; without universe'!$B$4</definedName>
    <definedName name="solver_lhs30" localSheetId="1" hidden="1">'M81'!$B$4</definedName>
    <definedName name="solver_lhs30" localSheetId="4" hidden="1">'M81 with &amp; without universe'!$B$4</definedName>
    <definedName name="solver_lhs31" localSheetId="2" hidden="1">'M101 &amp; fit parameters'!$U$26</definedName>
    <definedName name="solver_lhs31" localSheetId="0" hidden="1">'M31'!$B$5</definedName>
    <definedName name="solver_lhs31" localSheetId="3" hidden="1">'M31 with &amp; without universe'!$B$5</definedName>
    <definedName name="solver_lhs31" localSheetId="1" hidden="1">'M81'!$B$5</definedName>
    <definedName name="solver_lhs31" localSheetId="4" hidden="1">'M81 with &amp; without universe'!$B$5</definedName>
    <definedName name="solver_lhs32" localSheetId="2" hidden="1">'M101 &amp; fit parameters'!$V$29</definedName>
    <definedName name="solver_lhs32" localSheetId="0" hidden="1">'M31'!$B$5</definedName>
    <definedName name="solver_lhs32" localSheetId="3" hidden="1">'M31 with &amp; without universe'!$B$5</definedName>
    <definedName name="solver_lhs32" localSheetId="1" hidden="1">'M81'!$B$5</definedName>
    <definedName name="solver_lhs32" localSheetId="4" hidden="1">'M81 with &amp; without universe'!$B$5</definedName>
    <definedName name="solver_lhs33" localSheetId="2" hidden="1">'M101 &amp; fit parameters'!$U$25</definedName>
    <definedName name="solver_lhs33" localSheetId="0" hidden="1">'M31'!$B$6</definedName>
    <definedName name="solver_lhs33" localSheetId="3" hidden="1">'M31 with &amp; without universe'!$B$6</definedName>
    <definedName name="solver_lhs33" localSheetId="1" hidden="1">'M81'!$B$6</definedName>
    <definedName name="solver_lhs33" localSheetId="4" hidden="1">'M81 with &amp; without universe'!$B$6</definedName>
    <definedName name="solver_lhs34" localSheetId="2" hidden="1">'M101 &amp; fit parameters'!$U$28</definedName>
    <definedName name="solver_lhs34" localSheetId="0" hidden="1">'M31'!$B$6</definedName>
    <definedName name="solver_lhs34" localSheetId="3" hidden="1">'M31 with &amp; without universe'!$B$6</definedName>
    <definedName name="solver_lhs34" localSheetId="1" hidden="1">'M81'!$B$6</definedName>
    <definedName name="solver_lhs34" localSheetId="4" hidden="1">'M81 with &amp; without universe'!$B$6</definedName>
    <definedName name="solver_lhs35" localSheetId="2" hidden="1">'M101 &amp; fit parameters'!$B$7</definedName>
    <definedName name="solver_lhs35" localSheetId="0" hidden="1">'M31'!$B$7</definedName>
    <definedName name="solver_lhs35" localSheetId="3" hidden="1">'M31 with &amp; without universe'!$B$7</definedName>
    <definedName name="solver_lhs35" localSheetId="1" hidden="1">'M81'!$B$7</definedName>
    <definedName name="solver_lhs35" localSheetId="4" hidden="1">'M81 with &amp; without universe'!$B$7</definedName>
    <definedName name="solver_lhs36" localSheetId="2" hidden="1">'M101 &amp; fit parameters'!$B$7</definedName>
    <definedName name="solver_lhs36" localSheetId="0" hidden="1">'M31'!$B$7</definedName>
    <definedName name="solver_lhs36" localSheetId="3" hidden="1">'M31 with &amp; without universe'!$B$7</definedName>
    <definedName name="solver_lhs36" localSheetId="1" hidden="1">'M81'!$B$7</definedName>
    <definedName name="solver_lhs36" localSheetId="4" hidden="1">'M81 with &amp; without universe'!$B$7</definedName>
    <definedName name="solver_lhs37" localSheetId="2" hidden="1">'M101 &amp; fit parameters'!$B$8</definedName>
    <definedName name="solver_lhs37" localSheetId="0" hidden="1">'M31'!$B$8</definedName>
    <definedName name="solver_lhs37" localSheetId="3" hidden="1">'M31 with &amp; without universe'!$B$8</definedName>
    <definedName name="solver_lhs37" localSheetId="1" hidden="1">'M81'!$B$8</definedName>
    <definedName name="solver_lhs37" localSheetId="4" hidden="1">'M81 with &amp; without universe'!$B$8</definedName>
    <definedName name="solver_lhs38" localSheetId="2" hidden="1">'M101 &amp; fit parameters'!$B$8</definedName>
    <definedName name="solver_lhs38" localSheetId="0" hidden="1">'M31'!$B$8</definedName>
    <definedName name="solver_lhs38" localSheetId="3" hidden="1">'M31 with &amp; without universe'!$B$8</definedName>
    <definedName name="solver_lhs38" localSheetId="1" hidden="1">'M81'!$B$8</definedName>
    <definedName name="solver_lhs38" localSheetId="4" hidden="1">'M81 with &amp; without universe'!$B$8</definedName>
    <definedName name="solver_lhs39" localSheetId="2" hidden="1">'M101 &amp; fit parameters'!$B$9</definedName>
    <definedName name="solver_lhs39" localSheetId="0" hidden="1">'M31'!$B$9</definedName>
    <definedName name="solver_lhs39" localSheetId="3" hidden="1">'M31 with &amp; without universe'!$B$9</definedName>
    <definedName name="solver_lhs39" localSheetId="1" hidden="1">'M81'!$B$9</definedName>
    <definedName name="solver_lhs39" localSheetId="4" hidden="1">'M81 with &amp; without universe'!$B$9</definedName>
    <definedName name="solver_lhs4" localSheetId="2" hidden="1">'M101 &amp; fit parameters'!$V$30</definedName>
    <definedName name="solver_lhs4" localSheetId="0" hidden="1">'M31'!$U$33</definedName>
    <definedName name="solver_lhs4" localSheetId="3" hidden="1">'M31 with &amp; without universe'!$U$33</definedName>
    <definedName name="solver_lhs4" localSheetId="1" hidden="1">'M81'!$U$32</definedName>
    <definedName name="solver_lhs4" localSheetId="4" hidden="1">'M81 with &amp; without universe'!$U$32</definedName>
    <definedName name="solver_lhs40" localSheetId="2" hidden="1">'M101 &amp; fit parameters'!$B$9</definedName>
    <definedName name="solver_lhs40" localSheetId="0" hidden="1">'M31'!$B$9</definedName>
    <definedName name="solver_lhs40" localSheetId="3" hidden="1">'M31 with &amp; without universe'!$B$9</definedName>
    <definedName name="solver_lhs40" localSheetId="1" hidden="1">'M81'!$B$9</definedName>
    <definedName name="solver_lhs40" localSheetId="4" hidden="1">'M81 with &amp; without universe'!$B$9</definedName>
    <definedName name="solver_lhs41" localSheetId="2" hidden="1">'M101 &amp; fit parameters'!$X$18</definedName>
    <definedName name="solver_lhs41" localSheetId="0" hidden="1">'M31'!$X$18</definedName>
    <definedName name="solver_lhs41" localSheetId="3" hidden="1">'M31 with &amp; without universe'!$X$18</definedName>
    <definedName name="solver_lhs41" localSheetId="1" hidden="1">'M81'!$X$18</definedName>
    <definedName name="solver_lhs41" localSheetId="4" hidden="1">'M81 with &amp; without universe'!$X$18</definedName>
    <definedName name="solver_lhs5" localSheetId="2" hidden="1">'M101 &amp; fit parameters'!$V$28</definedName>
    <definedName name="solver_lhs5" localSheetId="0" hidden="1">'M31'!$U$26</definedName>
    <definedName name="solver_lhs5" localSheetId="3" hidden="1">'M31 with &amp; without universe'!$U$26</definedName>
    <definedName name="solver_lhs5" localSheetId="1" hidden="1">'M81'!$U$26</definedName>
    <definedName name="solver_lhs5" localSheetId="4" hidden="1">'M81 with &amp; without universe'!$U$26</definedName>
    <definedName name="solver_lhs6" localSheetId="2" hidden="1">'M101 &amp; fit parameters'!$V$27</definedName>
    <definedName name="solver_lhs6" localSheetId="0" hidden="1">'M31'!$U$26</definedName>
    <definedName name="solver_lhs6" localSheetId="3" hidden="1">'M31 with &amp; without universe'!$U$26</definedName>
    <definedName name="solver_lhs6" localSheetId="1" hidden="1">'M81'!$U$26</definedName>
    <definedName name="solver_lhs6" localSheetId="4" hidden="1">'M81 with &amp; without universe'!$U$26</definedName>
    <definedName name="solver_lhs7" localSheetId="2" hidden="1">'M101 &amp; fit parameters'!$W$25</definedName>
    <definedName name="solver_lhs7" localSheetId="0" hidden="1">'M31'!$U$28</definedName>
    <definedName name="solver_lhs7" localSheetId="3" hidden="1">'M31 with &amp; without universe'!$U$28</definedName>
    <definedName name="solver_lhs7" localSheetId="1" hidden="1">'M81'!$U$28</definedName>
    <definedName name="solver_lhs7" localSheetId="4" hidden="1">'M81 with &amp; without universe'!$U$28</definedName>
    <definedName name="solver_lhs8" localSheetId="2" hidden="1">'M101 &amp; fit parameters'!$V$29</definedName>
    <definedName name="solver_lhs8" localSheetId="0" hidden="1">'M31'!$U$28</definedName>
    <definedName name="solver_lhs8" localSheetId="3" hidden="1">'M31 with &amp; without universe'!$U$28</definedName>
    <definedName name="solver_lhs8" localSheetId="1" hidden="1">'M81'!$U$28</definedName>
    <definedName name="solver_lhs8" localSheetId="4" hidden="1">'M81 with &amp; without universe'!$U$28</definedName>
    <definedName name="solver_lhs9" localSheetId="2" hidden="1">'M101 &amp; fit parameters'!$V$25</definedName>
    <definedName name="solver_lhs9" localSheetId="0" hidden="1">'M31'!$U$30</definedName>
    <definedName name="solver_lhs9" localSheetId="3" hidden="1">'M31 with &amp; without universe'!$U$30</definedName>
    <definedName name="solver_lhs9" localSheetId="1" hidden="1">'M81'!$U$30</definedName>
    <definedName name="solver_lhs9" localSheetId="4" hidden="1">'M81 with &amp; without universe'!$U$30</definedName>
    <definedName name="solver_mip" localSheetId="2" hidden="1">2147483647</definedName>
    <definedName name="solver_mip" localSheetId="0" hidden="1">2147483647</definedName>
    <definedName name="solver_mip" localSheetId="3" hidden="1">2147483647</definedName>
    <definedName name="solver_mip" localSheetId="1" hidden="1">2147483647</definedName>
    <definedName name="solver_mip" localSheetId="4" hidden="1">2147483647</definedName>
    <definedName name="solver_mni" localSheetId="2" hidden="1">30</definedName>
    <definedName name="solver_mni" localSheetId="0" hidden="1">30</definedName>
    <definedName name="solver_mni" localSheetId="3" hidden="1">30</definedName>
    <definedName name="solver_mni" localSheetId="1" hidden="1">30</definedName>
    <definedName name="solver_mni" localSheetId="4" hidden="1">30</definedName>
    <definedName name="solver_mrt" localSheetId="2" hidden="1">0.075</definedName>
    <definedName name="solver_mrt" localSheetId="0" hidden="1">0.075</definedName>
    <definedName name="solver_mrt" localSheetId="3" hidden="1">0.075</definedName>
    <definedName name="solver_mrt" localSheetId="1" hidden="1">0.075</definedName>
    <definedName name="solver_mrt" localSheetId="4" hidden="1">0.075</definedName>
    <definedName name="solver_msl" localSheetId="2" hidden="1">2</definedName>
    <definedName name="solver_msl" localSheetId="0" hidden="1">2</definedName>
    <definedName name="solver_msl" localSheetId="3" hidden="1">2</definedName>
    <definedName name="solver_msl" localSheetId="1" hidden="1">2</definedName>
    <definedName name="solver_msl" localSheetId="4" hidden="1">2</definedName>
    <definedName name="solver_neg" localSheetId="2" hidden="1">1</definedName>
    <definedName name="solver_neg" localSheetId="0" hidden="1">1</definedName>
    <definedName name="solver_neg" localSheetId="3" hidden="1">1</definedName>
    <definedName name="solver_neg" localSheetId="1" hidden="1">1</definedName>
    <definedName name="solver_neg" localSheetId="4" hidden="1">1</definedName>
    <definedName name="solver_nod" localSheetId="2" hidden="1">2147483647</definedName>
    <definedName name="solver_nod" localSheetId="0" hidden="1">2147483647</definedName>
    <definedName name="solver_nod" localSheetId="3" hidden="1">2147483647</definedName>
    <definedName name="solver_nod" localSheetId="1" hidden="1">2147483647</definedName>
    <definedName name="solver_nod" localSheetId="4" hidden="1">2147483647</definedName>
    <definedName name="solver_num" localSheetId="2" hidden="1">34</definedName>
    <definedName name="solver_num" localSheetId="0" hidden="1">0</definedName>
    <definedName name="solver_num" localSheetId="3" hidden="1">0</definedName>
    <definedName name="solver_num" localSheetId="1" hidden="1">0</definedName>
    <definedName name="solver_num" localSheetId="4" hidden="1">0</definedName>
    <definedName name="solver_nwt" localSheetId="2" hidden="1">1</definedName>
    <definedName name="solver_nwt" localSheetId="0" hidden="1">1</definedName>
    <definedName name="solver_nwt" localSheetId="3" hidden="1">1</definedName>
    <definedName name="solver_nwt" localSheetId="1" hidden="1">1</definedName>
    <definedName name="solver_nwt" localSheetId="4" hidden="1">1</definedName>
    <definedName name="solver_opt" localSheetId="2" hidden="1">'M101 &amp; fit parameters'!$W$35</definedName>
    <definedName name="solver_opt" localSheetId="0" hidden="1">'M31'!$U$35</definedName>
    <definedName name="solver_opt" localSheetId="3" hidden="1">'M31 with &amp; without universe'!$U$35</definedName>
    <definedName name="solver_opt" localSheetId="1" hidden="1">'M81'!$U$41</definedName>
    <definedName name="solver_opt" localSheetId="4" hidden="1">'M81 with &amp; without universe'!$U$41</definedName>
    <definedName name="solver_pre" localSheetId="2" hidden="1">0.000001</definedName>
    <definedName name="solver_pre" localSheetId="0" hidden="1">0.000001</definedName>
    <definedName name="solver_pre" localSheetId="3" hidden="1">0.000001</definedName>
    <definedName name="solver_pre" localSheetId="1" hidden="1">0.000001</definedName>
    <definedName name="solver_pre" localSheetId="4" hidden="1">0.000001</definedName>
    <definedName name="solver_rbv" localSheetId="2" hidden="1">1</definedName>
    <definedName name="solver_rbv" localSheetId="0" hidden="1">1</definedName>
    <definedName name="solver_rbv" localSheetId="3" hidden="1">1</definedName>
    <definedName name="solver_rbv" localSheetId="1" hidden="1">1</definedName>
    <definedName name="solver_rbv" localSheetId="4" hidden="1">1</definedName>
    <definedName name="solver_rel0" localSheetId="2" hidden="1">1</definedName>
    <definedName name="solver_rel1" localSheetId="2" hidden="1">3</definedName>
    <definedName name="solver_rel1" localSheetId="0" hidden="1">1</definedName>
    <definedName name="solver_rel1" localSheetId="3" hidden="1">1</definedName>
    <definedName name="solver_rel1" localSheetId="1" hidden="1">1</definedName>
    <definedName name="solver_rel1" localSheetId="4" hidden="1">1</definedName>
    <definedName name="solver_rel10" localSheetId="2" hidden="1">1</definedName>
    <definedName name="solver_rel10" localSheetId="0" hidden="1">3</definedName>
    <definedName name="solver_rel10" localSheetId="3" hidden="1">3</definedName>
    <definedName name="solver_rel10" localSheetId="1" hidden="1">3</definedName>
    <definedName name="solver_rel10" localSheetId="4" hidden="1">3</definedName>
    <definedName name="solver_rel11" localSheetId="2" hidden="1">1</definedName>
    <definedName name="solver_rel11" localSheetId="0" hidden="1">1</definedName>
    <definedName name="solver_rel11" localSheetId="3" hidden="1">1</definedName>
    <definedName name="solver_rel11" localSheetId="1" hidden="1">1</definedName>
    <definedName name="solver_rel11" localSheetId="4" hidden="1">1</definedName>
    <definedName name="solver_rel12" localSheetId="2" hidden="1">3</definedName>
    <definedName name="solver_rel12" localSheetId="0" hidden="1">3</definedName>
    <definedName name="solver_rel12" localSheetId="3" hidden="1">3</definedName>
    <definedName name="solver_rel12" localSheetId="1" hidden="1">3</definedName>
    <definedName name="solver_rel12" localSheetId="4" hidden="1">3</definedName>
    <definedName name="solver_rel13" localSheetId="2" hidden="1">3</definedName>
    <definedName name="solver_rel13" localSheetId="0" hidden="1">3</definedName>
    <definedName name="solver_rel13" localSheetId="3" hidden="1">3</definedName>
    <definedName name="solver_rel13" localSheetId="1" hidden="1">3</definedName>
    <definedName name="solver_rel13" localSheetId="4" hidden="1">3</definedName>
    <definedName name="solver_rel14" localSheetId="2" hidden="1">1</definedName>
    <definedName name="solver_rel14" localSheetId="0" hidden="1">3</definedName>
    <definedName name="solver_rel14" localSheetId="3" hidden="1">3</definedName>
    <definedName name="solver_rel14" localSheetId="1" hidden="1">3</definedName>
    <definedName name="solver_rel14" localSheetId="4" hidden="1">3</definedName>
    <definedName name="solver_rel15" localSheetId="2" hidden="1">3</definedName>
    <definedName name="solver_rel15" localSheetId="0" hidden="1">1</definedName>
    <definedName name="solver_rel15" localSheetId="3" hidden="1">1</definedName>
    <definedName name="solver_rel15" localSheetId="1" hidden="1">1</definedName>
    <definedName name="solver_rel15" localSheetId="4" hidden="1">1</definedName>
    <definedName name="solver_rel16" localSheetId="2" hidden="1">1</definedName>
    <definedName name="solver_rel16" localSheetId="0" hidden="1">3</definedName>
    <definedName name="solver_rel16" localSheetId="3" hidden="1">3</definedName>
    <definedName name="solver_rel16" localSheetId="1" hidden="1">3</definedName>
    <definedName name="solver_rel16" localSheetId="4" hidden="1">3</definedName>
    <definedName name="solver_rel17" localSheetId="2" hidden="1">3</definedName>
    <definedName name="solver_rel17" localSheetId="0" hidden="1">1</definedName>
    <definedName name="solver_rel17" localSheetId="3" hidden="1">1</definedName>
    <definedName name="solver_rel17" localSheetId="1" hidden="1">1</definedName>
    <definedName name="solver_rel17" localSheetId="4" hidden="1">1</definedName>
    <definedName name="solver_rel18" localSheetId="2" hidden="1">3</definedName>
    <definedName name="solver_rel18" localSheetId="0" hidden="1">3</definedName>
    <definedName name="solver_rel18" localSheetId="3" hidden="1">3</definedName>
    <definedName name="solver_rel18" localSheetId="1" hidden="1">3</definedName>
    <definedName name="solver_rel18" localSheetId="4" hidden="1">3</definedName>
    <definedName name="solver_rel19" localSheetId="2" hidden="1">3</definedName>
    <definedName name="solver_rel19" localSheetId="0" hidden="1">1</definedName>
    <definedName name="solver_rel19" localSheetId="3" hidden="1">1</definedName>
    <definedName name="solver_rel19" localSheetId="1" hidden="1">1</definedName>
    <definedName name="solver_rel19" localSheetId="4" hidden="1">1</definedName>
    <definedName name="solver_rel2" localSheetId="2" hidden="1">1</definedName>
    <definedName name="solver_rel2" localSheetId="0" hidden="1">3</definedName>
    <definedName name="solver_rel2" localSheetId="3" hidden="1">3</definedName>
    <definedName name="solver_rel2" localSheetId="1" hidden="1">3</definedName>
    <definedName name="solver_rel2" localSheetId="4" hidden="1">3</definedName>
    <definedName name="solver_rel20" localSheetId="2" hidden="1">3</definedName>
    <definedName name="solver_rel20" localSheetId="0" hidden="1">3</definedName>
    <definedName name="solver_rel20" localSheetId="3" hidden="1">3</definedName>
    <definedName name="solver_rel20" localSheetId="1" hidden="1">3</definedName>
    <definedName name="solver_rel20" localSheetId="4" hidden="1">3</definedName>
    <definedName name="solver_rel21" localSheetId="2" hidden="1">3</definedName>
    <definedName name="solver_rel21" localSheetId="0" hidden="1">1</definedName>
    <definedName name="solver_rel21" localSheetId="3" hidden="1">1</definedName>
    <definedName name="solver_rel21" localSheetId="1" hidden="1">1</definedName>
    <definedName name="solver_rel21" localSheetId="4" hidden="1">1</definedName>
    <definedName name="solver_rel22" localSheetId="2" hidden="1">3</definedName>
    <definedName name="solver_rel22" localSheetId="0" hidden="1">3</definedName>
    <definedName name="solver_rel22" localSheetId="3" hidden="1">3</definedName>
    <definedName name="solver_rel22" localSheetId="1" hidden="1">3</definedName>
    <definedName name="solver_rel22" localSheetId="4" hidden="1">3</definedName>
    <definedName name="solver_rel23" localSheetId="2" hidden="1">1</definedName>
    <definedName name="solver_rel23" localSheetId="0" hidden="1">1</definedName>
    <definedName name="solver_rel23" localSheetId="3" hidden="1">1</definedName>
    <definedName name="solver_rel23" localSheetId="1" hidden="1">1</definedName>
    <definedName name="solver_rel23" localSheetId="4" hidden="1">1</definedName>
    <definedName name="solver_rel24" localSheetId="2" hidden="1">1</definedName>
    <definedName name="solver_rel24" localSheetId="0" hidden="1">3</definedName>
    <definedName name="solver_rel24" localSheetId="3" hidden="1">3</definedName>
    <definedName name="solver_rel24" localSheetId="1" hidden="1">3</definedName>
    <definedName name="solver_rel24" localSheetId="4" hidden="1">3</definedName>
    <definedName name="solver_rel25" localSheetId="2" hidden="1">1</definedName>
    <definedName name="solver_rel25" localSheetId="0" hidden="1">1</definedName>
    <definedName name="solver_rel25" localSheetId="3" hidden="1">1</definedName>
    <definedName name="solver_rel25" localSheetId="1" hidden="1">1</definedName>
    <definedName name="solver_rel25" localSheetId="4" hidden="1">1</definedName>
    <definedName name="solver_rel26" localSheetId="2" hidden="1">3</definedName>
    <definedName name="solver_rel26" localSheetId="0" hidden="1">3</definedName>
    <definedName name="solver_rel26" localSheetId="3" hidden="1">3</definedName>
    <definedName name="solver_rel26" localSheetId="1" hidden="1">3</definedName>
    <definedName name="solver_rel26" localSheetId="4" hidden="1">3</definedName>
    <definedName name="solver_rel27" localSheetId="2" hidden="1">1</definedName>
    <definedName name="solver_rel27" localSheetId="0" hidden="1">1</definedName>
    <definedName name="solver_rel27" localSheetId="3" hidden="1">1</definedName>
    <definedName name="solver_rel27" localSheetId="1" hidden="1">1</definedName>
    <definedName name="solver_rel27" localSheetId="4" hidden="1">1</definedName>
    <definedName name="solver_rel28" localSheetId="2" hidden="1">1</definedName>
    <definedName name="solver_rel28" localSheetId="0" hidden="1">3</definedName>
    <definedName name="solver_rel28" localSheetId="3" hidden="1">3</definedName>
    <definedName name="solver_rel28" localSheetId="1" hidden="1">3</definedName>
    <definedName name="solver_rel28" localSheetId="4" hidden="1">3</definedName>
    <definedName name="solver_rel29" localSheetId="2" hidden="1">1</definedName>
    <definedName name="solver_rel29" localSheetId="0" hidden="1">1</definedName>
    <definedName name="solver_rel29" localSheetId="3" hidden="1">1</definedName>
    <definedName name="solver_rel29" localSheetId="1" hidden="1">1</definedName>
    <definedName name="solver_rel29" localSheetId="4" hidden="1">1</definedName>
    <definedName name="solver_rel3" localSheetId="2" hidden="1">3</definedName>
    <definedName name="solver_rel3" localSheetId="0" hidden="1">1</definedName>
    <definedName name="solver_rel3" localSheetId="3" hidden="1">1</definedName>
    <definedName name="solver_rel3" localSheetId="1" hidden="1">1</definedName>
    <definedName name="solver_rel3" localSheetId="4" hidden="1">1</definedName>
    <definedName name="solver_rel30" localSheetId="2" hidden="1">1</definedName>
    <definedName name="solver_rel30" localSheetId="0" hidden="1">3</definedName>
    <definedName name="solver_rel30" localSheetId="3" hidden="1">3</definedName>
    <definedName name="solver_rel30" localSheetId="1" hidden="1">3</definedName>
    <definedName name="solver_rel30" localSheetId="4" hidden="1">3</definedName>
    <definedName name="solver_rel31" localSheetId="2" hidden="1">3</definedName>
    <definedName name="solver_rel31" localSheetId="0" hidden="1">1</definedName>
    <definedName name="solver_rel31" localSheetId="3" hidden="1">1</definedName>
    <definedName name="solver_rel31" localSheetId="1" hidden="1">1</definedName>
    <definedName name="solver_rel31" localSheetId="4" hidden="1">1</definedName>
    <definedName name="solver_rel32" localSheetId="2" hidden="1">3</definedName>
    <definedName name="solver_rel32" localSheetId="0" hidden="1">3</definedName>
    <definedName name="solver_rel32" localSheetId="3" hidden="1">3</definedName>
    <definedName name="solver_rel32" localSheetId="1" hidden="1">3</definedName>
    <definedName name="solver_rel32" localSheetId="4" hidden="1">3</definedName>
    <definedName name="solver_rel33" localSheetId="2" hidden="1">3</definedName>
    <definedName name="solver_rel33" localSheetId="0" hidden="1">1</definedName>
    <definedName name="solver_rel33" localSheetId="3" hidden="1">1</definedName>
    <definedName name="solver_rel33" localSheetId="1" hidden="1">1</definedName>
    <definedName name="solver_rel33" localSheetId="4" hidden="1">1</definedName>
    <definedName name="solver_rel34" localSheetId="2" hidden="1">1</definedName>
    <definedName name="solver_rel34" localSheetId="0" hidden="1">3</definedName>
    <definedName name="solver_rel34" localSheetId="3" hidden="1">3</definedName>
    <definedName name="solver_rel34" localSheetId="1" hidden="1">3</definedName>
    <definedName name="solver_rel34" localSheetId="4" hidden="1">3</definedName>
    <definedName name="solver_rel35" localSheetId="2" hidden="1">1</definedName>
    <definedName name="solver_rel35" localSheetId="0" hidden="1">1</definedName>
    <definedName name="solver_rel35" localSheetId="3" hidden="1">1</definedName>
    <definedName name="solver_rel35" localSheetId="1" hidden="1">1</definedName>
    <definedName name="solver_rel35" localSheetId="4" hidden="1">1</definedName>
    <definedName name="solver_rel36" localSheetId="2" hidden="1">3</definedName>
    <definedName name="solver_rel36" localSheetId="0" hidden="1">3</definedName>
    <definedName name="solver_rel36" localSheetId="3" hidden="1">3</definedName>
    <definedName name="solver_rel36" localSheetId="1" hidden="1">3</definedName>
    <definedName name="solver_rel36" localSheetId="4" hidden="1">3</definedName>
    <definedName name="solver_rel37" localSheetId="2" hidden="1">1</definedName>
    <definedName name="solver_rel37" localSheetId="0" hidden="1">1</definedName>
    <definedName name="solver_rel37" localSheetId="3" hidden="1">1</definedName>
    <definedName name="solver_rel37" localSheetId="1" hidden="1">1</definedName>
    <definedName name="solver_rel37" localSheetId="4" hidden="1">1</definedName>
    <definedName name="solver_rel38" localSheetId="2" hidden="1">3</definedName>
    <definedName name="solver_rel38" localSheetId="0" hidden="1">3</definedName>
    <definedName name="solver_rel38" localSheetId="3" hidden="1">3</definedName>
    <definedName name="solver_rel38" localSheetId="1" hidden="1">3</definedName>
    <definedName name="solver_rel38" localSheetId="4" hidden="1">3</definedName>
    <definedName name="solver_rel39" localSheetId="2" hidden="1">1</definedName>
    <definedName name="solver_rel39" localSheetId="0" hidden="1">1</definedName>
    <definedName name="solver_rel39" localSheetId="3" hidden="1">1</definedName>
    <definedName name="solver_rel39" localSheetId="1" hidden="1">1</definedName>
    <definedName name="solver_rel39" localSheetId="4" hidden="1">1</definedName>
    <definedName name="solver_rel4" localSheetId="2" hidden="1">3</definedName>
    <definedName name="solver_rel4" localSheetId="0" hidden="1">3</definedName>
    <definedName name="solver_rel4" localSheetId="3" hidden="1">3</definedName>
    <definedName name="solver_rel4" localSheetId="1" hidden="1">3</definedName>
    <definedName name="solver_rel4" localSheetId="4" hidden="1">3</definedName>
    <definedName name="solver_rel40" localSheetId="2" hidden="1">3</definedName>
    <definedName name="solver_rel40" localSheetId="0" hidden="1">3</definedName>
    <definedName name="solver_rel40" localSheetId="3" hidden="1">3</definedName>
    <definedName name="solver_rel40" localSheetId="1" hidden="1">3</definedName>
    <definedName name="solver_rel40" localSheetId="4" hidden="1">3</definedName>
    <definedName name="solver_rel41" localSheetId="2" hidden="1">3</definedName>
    <definedName name="solver_rel41" localSheetId="0" hidden="1">3</definedName>
    <definedName name="solver_rel41" localSheetId="3" hidden="1">3</definedName>
    <definedName name="solver_rel41" localSheetId="1" hidden="1">3</definedName>
    <definedName name="solver_rel41" localSheetId="4" hidden="1">3</definedName>
    <definedName name="solver_rel5" localSheetId="2" hidden="1">1</definedName>
    <definedName name="solver_rel5" localSheetId="0" hidden="1">1</definedName>
    <definedName name="solver_rel5" localSheetId="3" hidden="1">1</definedName>
    <definedName name="solver_rel5" localSheetId="1" hidden="1">1</definedName>
    <definedName name="solver_rel5" localSheetId="4" hidden="1">1</definedName>
    <definedName name="solver_rel6" localSheetId="2" hidden="1">3</definedName>
    <definedName name="solver_rel6" localSheetId="0" hidden="1">3</definedName>
    <definedName name="solver_rel6" localSheetId="3" hidden="1">3</definedName>
    <definedName name="solver_rel6" localSheetId="1" hidden="1">3</definedName>
    <definedName name="solver_rel6" localSheetId="4" hidden="1">3</definedName>
    <definedName name="solver_rel7" localSheetId="2" hidden="1">1</definedName>
    <definedName name="solver_rel7" localSheetId="0" hidden="1">1</definedName>
    <definedName name="solver_rel7" localSheetId="3" hidden="1">1</definedName>
    <definedName name="solver_rel7" localSheetId="1" hidden="1">1</definedName>
    <definedName name="solver_rel7" localSheetId="4" hidden="1">1</definedName>
    <definedName name="solver_rel8" localSheetId="2" hidden="1">1</definedName>
    <definedName name="solver_rel8" localSheetId="0" hidden="1">3</definedName>
    <definedName name="solver_rel8" localSheetId="3" hidden="1">3</definedName>
    <definedName name="solver_rel8" localSheetId="1" hidden="1">3</definedName>
    <definedName name="solver_rel8" localSheetId="4" hidden="1">3</definedName>
    <definedName name="solver_rel9" localSheetId="2" hidden="1">1</definedName>
    <definedName name="solver_rel9" localSheetId="0" hidden="1">1</definedName>
    <definedName name="solver_rel9" localSheetId="3" hidden="1">1</definedName>
    <definedName name="solver_rel9" localSheetId="1" hidden="1">1</definedName>
    <definedName name="solver_rel9" localSheetId="4" hidden="1">1</definedName>
    <definedName name="solver_rhs0" localSheetId="2" hidden="1">1</definedName>
    <definedName name="solver_rhs1" localSheetId="2" hidden="1">0.008</definedName>
    <definedName name="solver_rhs1" localSheetId="0" hidden="1">0.00001</definedName>
    <definedName name="solver_rhs1" localSheetId="3" hidden="1">0.00001</definedName>
    <definedName name="solver_rhs1" localSheetId="1" hidden="1">0.00001</definedName>
    <definedName name="solver_rhs1" localSheetId="4" hidden="1">0.00001</definedName>
    <definedName name="solver_rhs10" localSheetId="2" hidden="1">0.08</definedName>
    <definedName name="solver_rhs10" localSheetId="0" hidden="1">0.01</definedName>
    <definedName name="solver_rhs10" localSheetId="3" hidden="1">0.01</definedName>
    <definedName name="solver_rhs10" localSheetId="1" hidden="1">0.01</definedName>
    <definedName name="solver_rhs10" localSheetId="4" hidden="1">0.01</definedName>
    <definedName name="solver_rhs11" localSheetId="2" hidden="1">20</definedName>
    <definedName name="solver_rhs11" localSheetId="0" hidden="1">5</definedName>
    <definedName name="solver_rhs11" localSheetId="3" hidden="1">5</definedName>
    <definedName name="solver_rhs11" localSheetId="1" hidden="1">5</definedName>
    <definedName name="solver_rhs11" localSheetId="4" hidden="1">5</definedName>
    <definedName name="solver_rhs12" localSheetId="2" hidden="1">9E-28</definedName>
    <definedName name="solver_rhs12" localSheetId="0" hidden="1">0</definedName>
    <definedName name="solver_rhs12" localSheetId="3" hidden="1">0</definedName>
    <definedName name="solver_rhs12" localSheetId="1" hidden="1">0</definedName>
    <definedName name="solver_rhs12" localSheetId="4" hidden="1">0</definedName>
    <definedName name="solver_rhs13" localSheetId="2" hidden="1">0.0000000000000000005</definedName>
    <definedName name="solver_rhs13" localSheetId="0" hidden="1">0</definedName>
    <definedName name="solver_rhs13" localSheetId="3" hidden="1">0</definedName>
    <definedName name="solver_rhs13" localSheetId="1" hidden="1">0</definedName>
    <definedName name="solver_rhs13" localSheetId="4" hidden="1">0</definedName>
    <definedName name="solver_rhs14" localSheetId="2" hidden="1">1</definedName>
    <definedName name="solver_rhs14" localSheetId="0" hidden="1">0</definedName>
    <definedName name="solver_rhs14" localSheetId="3" hidden="1">0</definedName>
    <definedName name="solver_rhs14" localSheetId="1" hidden="1">0</definedName>
    <definedName name="solver_rhs14" localSheetId="4" hidden="1">0</definedName>
    <definedName name="solver_rhs15" localSheetId="2" hidden="1">0.001</definedName>
    <definedName name="solver_rhs15" localSheetId="0" hidden="1">0.000001</definedName>
    <definedName name="solver_rhs15" localSheetId="3" hidden="1">0.000001</definedName>
    <definedName name="solver_rhs15" localSheetId="1" hidden="1">0.000001</definedName>
    <definedName name="solver_rhs15" localSheetId="4" hidden="1">0.000001</definedName>
    <definedName name="solver_rhs16" localSheetId="2" hidden="1">2.6</definedName>
    <definedName name="solver_rhs16" localSheetId="0" hidden="1">'M31'!$W$16</definedName>
    <definedName name="solver_rhs16" localSheetId="3" hidden="1">'M31 with &amp; without universe'!$W$16</definedName>
    <definedName name="solver_rhs16" localSheetId="1" hidden="1">'M81'!$W$16</definedName>
    <definedName name="solver_rhs16" localSheetId="4" hidden="1">'M81 with &amp; without universe'!$W$16</definedName>
    <definedName name="solver_rhs17" localSheetId="2" hidden="1">0.01</definedName>
    <definedName name="solver_rhs17" localSheetId="0" hidden="1">0.000001</definedName>
    <definedName name="solver_rhs17" localSheetId="3" hidden="1">0.000001</definedName>
    <definedName name="solver_rhs17" localSheetId="1" hidden="1">0.000001</definedName>
    <definedName name="solver_rhs17" localSheetId="4" hidden="1">0.000001</definedName>
    <definedName name="solver_rhs18" localSheetId="2" hidden="1">5E-28</definedName>
    <definedName name="solver_rhs18" localSheetId="0" hidden="1">'M31'!$W$16</definedName>
    <definedName name="solver_rhs18" localSheetId="3" hidden="1">'M31 with &amp; without universe'!$W$16</definedName>
    <definedName name="solver_rhs18" localSheetId="1" hidden="1">'M81'!$W$16</definedName>
    <definedName name="solver_rhs18" localSheetId="4" hidden="1">'M81 with &amp; without universe'!$W$16</definedName>
    <definedName name="solver_rhs19" localSheetId="2" hidden="1">0.01</definedName>
    <definedName name="solver_rhs19" localSheetId="0" hidden="1">0.000001</definedName>
    <definedName name="solver_rhs19" localSheetId="3" hidden="1">0.000001</definedName>
    <definedName name="solver_rhs19" localSheetId="1" hidden="1">0.000001</definedName>
    <definedName name="solver_rhs19" localSheetId="4" hidden="1">0.000001</definedName>
    <definedName name="solver_rhs2" localSheetId="2" hidden="1">0.03</definedName>
    <definedName name="solver_rhs2" localSheetId="0" hidden="1">0.000000001</definedName>
    <definedName name="solver_rhs2" localSheetId="3" hidden="1">0.000000001</definedName>
    <definedName name="solver_rhs2" localSheetId="1" hidden="1">0.000000001</definedName>
    <definedName name="solver_rhs2" localSheetId="4" hidden="1">0.000000001</definedName>
    <definedName name="solver_rhs20" localSheetId="2" hidden="1">0.00000000001</definedName>
    <definedName name="solver_rhs20" localSheetId="0" hidden="1">'M31'!$W$16</definedName>
    <definedName name="solver_rhs20" localSheetId="3" hidden="1">'M31 with &amp; without universe'!$W$16</definedName>
    <definedName name="solver_rhs20" localSheetId="1" hidden="1">'M81'!$W$16</definedName>
    <definedName name="solver_rhs20" localSheetId="4" hidden="1">'M81 with &amp; without universe'!$W$16</definedName>
    <definedName name="solver_rhs21" localSheetId="2" hidden="1">0.5</definedName>
    <definedName name="solver_rhs21" localSheetId="0" hidden="1">0.000001</definedName>
    <definedName name="solver_rhs21" localSheetId="3" hidden="1">0.000001</definedName>
    <definedName name="solver_rhs21" localSheetId="1" hidden="1">0.000001</definedName>
    <definedName name="solver_rhs21" localSheetId="4" hidden="1">0.000001</definedName>
    <definedName name="solver_rhs22" localSheetId="2" hidden="1">1.7</definedName>
    <definedName name="solver_rhs22" localSheetId="0" hidden="1">'M31'!$W$16</definedName>
    <definedName name="solver_rhs22" localSheetId="3" hidden="1">'M31 with &amp; without universe'!$W$16</definedName>
    <definedName name="solver_rhs22" localSheetId="1" hidden="1">'M81'!$W$16</definedName>
    <definedName name="solver_rhs22" localSheetId="4" hidden="1">'M81 with &amp; without universe'!$W$16</definedName>
    <definedName name="solver_rhs23" localSheetId="2" hidden="1">0.1</definedName>
    <definedName name="solver_rhs23" localSheetId="0" hidden="1">0.000001</definedName>
    <definedName name="solver_rhs23" localSheetId="3" hidden="1">0.000001</definedName>
    <definedName name="solver_rhs23" localSheetId="1" hidden="1">0.000001</definedName>
    <definedName name="solver_rhs23" localSheetId="4" hidden="1">0.000001</definedName>
    <definedName name="solver_rhs24" localSheetId="2" hidden="1">1</definedName>
    <definedName name="solver_rhs24" localSheetId="0" hidden="1">'M31'!$W$16</definedName>
    <definedName name="solver_rhs24" localSheetId="3" hidden="1">'M31 with &amp; without universe'!$W$16</definedName>
    <definedName name="solver_rhs24" localSheetId="1" hidden="1">'M81'!$W$16</definedName>
    <definedName name="solver_rhs24" localSheetId="4" hidden="1">'M81 with &amp; without universe'!$W$16</definedName>
    <definedName name="solver_rhs25" localSheetId="2" hidden="1">2.3</definedName>
    <definedName name="solver_rhs25" localSheetId="0" hidden="1">0.000001</definedName>
    <definedName name="solver_rhs25" localSheetId="3" hidden="1">0.000001</definedName>
    <definedName name="solver_rhs25" localSheetId="1" hidden="1">0.000001</definedName>
    <definedName name="solver_rhs25" localSheetId="4" hidden="1">0.000001</definedName>
    <definedName name="solver_rhs26" localSheetId="2" hidden="1">5</definedName>
    <definedName name="solver_rhs26" localSheetId="0" hidden="1">'M31'!$W$16</definedName>
    <definedName name="solver_rhs26" localSheetId="3" hidden="1">'M31 with &amp; without universe'!$W$16</definedName>
    <definedName name="solver_rhs26" localSheetId="1" hidden="1">'M81'!$W$16</definedName>
    <definedName name="solver_rhs26" localSheetId="4" hidden="1">'M81 with &amp; without universe'!$W$16</definedName>
    <definedName name="solver_rhs27" localSheetId="2" hidden="1">1E-26</definedName>
    <definedName name="solver_rhs27" localSheetId="0" hidden="1">0.000001</definedName>
    <definedName name="solver_rhs27" localSheetId="3" hidden="1">0.000001</definedName>
    <definedName name="solver_rhs27" localSheetId="1" hidden="1">0.000001</definedName>
    <definedName name="solver_rhs27" localSheetId="4" hidden="1">0.000001</definedName>
    <definedName name="solver_rhs28" localSheetId="2" hidden="1">0.01</definedName>
    <definedName name="solver_rhs28" localSheetId="0" hidden="1">'M31'!$W$16</definedName>
    <definedName name="solver_rhs28" localSheetId="3" hidden="1">'M31 with &amp; without universe'!$W$16</definedName>
    <definedName name="solver_rhs28" localSheetId="1" hidden="1">'M81'!$W$16</definedName>
    <definedName name="solver_rhs28" localSheetId="4" hidden="1">'M81 with &amp; without universe'!$W$16</definedName>
    <definedName name="solver_rhs29" localSheetId="2" hidden="1">0.5</definedName>
    <definedName name="solver_rhs29" localSheetId="0" hidden="1">0.000001</definedName>
    <definedName name="solver_rhs29" localSheetId="3" hidden="1">0.000001</definedName>
    <definedName name="solver_rhs29" localSheetId="1" hidden="1">0.000001</definedName>
    <definedName name="solver_rhs29" localSheetId="4" hidden="1">0.000001</definedName>
    <definedName name="solver_rhs3" localSheetId="2" hidden="1">0.0000000000000000009</definedName>
    <definedName name="solver_rhs3" localSheetId="0" hidden="1">6</definedName>
    <definedName name="solver_rhs3" localSheetId="3" hidden="1">6</definedName>
    <definedName name="solver_rhs3" localSheetId="1" hidden="1">6</definedName>
    <definedName name="solver_rhs3" localSheetId="4" hidden="1">6</definedName>
    <definedName name="solver_rhs30" localSheetId="2" hidden="1">0.00000001</definedName>
    <definedName name="solver_rhs30" localSheetId="0" hidden="1">'M31'!$W$16</definedName>
    <definedName name="solver_rhs30" localSheetId="3" hidden="1">'M31 with &amp; without universe'!$W$16</definedName>
    <definedName name="solver_rhs30" localSheetId="1" hidden="1">'M81'!$W$16</definedName>
    <definedName name="solver_rhs30" localSheetId="4" hidden="1">'M81 with &amp; without universe'!$W$16</definedName>
    <definedName name="solver_rhs31" localSheetId="2" hidden="1">0.001</definedName>
    <definedName name="solver_rhs31" localSheetId="0" hidden="1">0.000001</definedName>
    <definedName name="solver_rhs31" localSheetId="3" hidden="1">0.000001</definedName>
    <definedName name="solver_rhs31" localSheetId="1" hidden="1">0.000001</definedName>
    <definedName name="solver_rhs31" localSheetId="4" hidden="1">0.000001</definedName>
    <definedName name="solver_rhs32" localSheetId="2" hidden="1">0.02</definedName>
    <definedName name="solver_rhs32" localSheetId="0" hidden="1">'M31'!$W$16</definedName>
    <definedName name="solver_rhs32" localSheetId="3" hidden="1">'M31 with &amp; without universe'!$W$16</definedName>
    <definedName name="solver_rhs32" localSheetId="1" hidden="1">'M81'!$W$16</definedName>
    <definedName name="solver_rhs32" localSheetId="4" hidden="1">'M81 with &amp; without universe'!$W$16</definedName>
    <definedName name="solver_rhs33" localSheetId="2" hidden="1">0.0000000001</definedName>
    <definedName name="solver_rhs33" localSheetId="0" hidden="1">0.000001</definedName>
    <definedName name="solver_rhs33" localSheetId="3" hidden="1">0.000001</definedName>
    <definedName name="solver_rhs33" localSheetId="1" hidden="1">0.000001</definedName>
    <definedName name="solver_rhs33" localSheetId="4" hidden="1">0.000001</definedName>
    <definedName name="solver_rhs34" localSheetId="2" hidden="1">0.000000001</definedName>
    <definedName name="solver_rhs34" localSheetId="0" hidden="1">'M31'!$W$16</definedName>
    <definedName name="solver_rhs34" localSheetId="3" hidden="1">'M31 with &amp; without universe'!$W$16</definedName>
    <definedName name="solver_rhs34" localSheetId="1" hidden="1">'M81'!$W$16</definedName>
    <definedName name="solver_rhs34" localSheetId="4" hidden="1">'M81 with &amp; without universe'!$W$16</definedName>
    <definedName name="solver_rhs35" localSheetId="2" hidden="1">0.000001</definedName>
    <definedName name="solver_rhs35" localSheetId="0" hidden="1">0.000001</definedName>
    <definedName name="solver_rhs35" localSheetId="3" hidden="1">0.000001</definedName>
    <definedName name="solver_rhs35" localSheetId="1" hidden="1">0.000001</definedName>
    <definedName name="solver_rhs35" localSheetId="4" hidden="1">0.000001</definedName>
    <definedName name="solver_rhs36" localSheetId="2" hidden="1">'M101 &amp; fit parameters'!$W$16</definedName>
    <definedName name="solver_rhs36" localSheetId="0" hidden="1">'M31'!$W$16</definedName>
    <definedName name="solver_rhs36" localSheetId="3" hidden="1">'M31 with &amp; without universe'!$W$16</definedName>
    <definedName name="solver_rhs36" localSheetId="1" hidden="1">'M81'!$W$16</definedName>
    <definedName name="solver_rhs36" localSheetId="4" hidden="1">'M81 with &amp; without universe'!$W$16</definedName>
    <definedName name="solver_rhs37" localSheetId="2" hidden="1">0.000001</definedName>
    <definedName name="solver_rhs37" localSheetId="0" hidden="1">0.000001</definedName>
    <definedName name="solver_rhs37" localSheetId="3" hidden="1">0.000001</definedName>
    <definedName name="solver_rhs37" localSheetId="1" hidden="1">0.000001</definedName>
    <definedName name="solver_rhs37" localSheetId="4" hidden="1">0.000001</definedName>
    <definedName name="solver_rhs38" localSheetId="2" hidden="1">'M101 &amp; fit parameters'!$W$16</definedName>
    <definedName name="solver_rhs38" localSheetId="0" hidden="1">'M31'!$W$16</definedName>
    <definedName name="solver_rhs38" localSheetId="3" hidden="1">'M31 with &amp; without universe'!$W$16</definedName>
    <definedName name="solver_rhs38" localSheetId="1" hidden="1">'M81'!$W$16</definedName>
    <definedName name="solver_rhs38" localSheetId="4" hidden="1">'M81 with &amp; without universe'!$W$16</definedName>
    <definedName name="solver_rhs39" localSheetId="2" hidden="1">0.000001</definedName>
    <definedName name="solver_rhs39" localSheetId="0" hidden="1">0.000001</definedName>
    <definedName name="solver_rhs39" localSheetId="3" hidden="1">0.000001</definedName>
    <definedName name="solver_rhs39" localSheetId="1" hidden="1">0.000001</definedName>
    <definedName name="solver_rhs39" localSheetId="4" hidden="1">0.000001</definedName>
    <definedName name="solver_rhs4" localSheetId="2" hidden="1">0.6</definedName>
    <definedName name="solver_rhs4" localSheetId="0" hidden="1">1</definedName>
    <definedName name="solver_rhs4" localSheetId="3" hidden="1">1</definedName>
    <definedName name="solver_rhs4" localSheetId="1" hidden="1">1</definedName>
    <definedName name="solver_rhs4" localSheetId="4" hidden="1">1</definedName>
    <definedName name="solver_rhs40" localSheetId="2" hidden="1">'M101 &amp; fit parameters'!$W$16</definedName>
    <definedName name="solver_rhs40" localSheetId="0" hidden="1">'M31'!$W$16</definedName>
    <definedName name="solver_rhs40" localSheetId="3" hidden="1">'M31 with &amp; without universe'!$W$16</definedName>
    <definedName name="solver_rhs40" localSheetId="1" hidden="1">'M81'!$W$16</definedName>
    <definedName name="solver_rhs40" localSheetId="4" hidden="1">'M81 with &amp; without universe'!$W$16</definedName>
    <definedName name="solver_rhs41" localSheetId="2" hidden="1">0.000000000000001</definedName>
    <definedName name="solver_rhs41" localSheetId="0" hidden="1">0.000000000000001</definedName>
    <definedName name="solver_rhs41" localSheetId="3" hidden="1">0.000000000000001</definedName>
    <definedName name="solver_rhs41" localSheetId="1" hidden="1">0.000000000000001</definedName>
    <definedName name="solver_rhs41" localSheetId="4" hidden="1">0.000000000000001</definedName>
    <definedName name="solver_rhs5" localSheetId="2" hidden="1">4E-27</definedName>
    <definedName name="solver_rhs5" localSheetId="0" hidden="1">0.1</definedName>
    <definedName name="solver_rhs5" localSheetId="3" hidden="1">0.1</definedName>
    <definedName name="solver_rhs5" localSheetId="1" hidden="1">0.1</definedName>
    <definedName name="solver_rhs5" localSheetId="4" hidden="1">0.1</definedName>
    <definedName name="solver_rhs6" localSheetId="2" hidden="1">2</definedName>
    <definedName name="solver_rhs6" localSheetId="0" hidden="1">0.001</definedName>
    <definedName name="solver_rhs6" localSheetId="3" hidden="1">0.001</definedName>
    <definedName name="solver_rhs6" localSheetId="1" hidden="1">0.001</definedName>
    <definedName name="solver_rhs6" localSheetId="4" hidden="1">0.001</definedName>
    <definedName name="solver_rhs7" localSheetId="2" hidden="1">0.00000001</definedName>
    <definedName name="solver_rhs7" localSheetId="0" hidden="1">0.1</definedName>
    <definedName name="solver_rhs7" localSheetId="3" hidden="1">0.1</definedName>
    <definedName name="solver_rhs7" localSheetId="1" hidden="1">0.1</definedName>
    <definedName name="solver_rhs7" localSheetId="4" hidden="1">0.1</definedName>
    <definedName name="solver_rhs8" localSheetId="2" hidden="1">0.07</definedName>
    <definedName name="solver_rhs8" localSheetId="0" hidden="1">0.01</definedName>
    <definedName name="solver_rhs8" localSheetId="3" hidden="1">0.01</definedName>
    <definedName name="solver_rhs8" localSheetId="1" hidden="1">0.01</definedName>
    <definedName name="solver_rhs8" localSheetId="4" hidden="1">0.01</definedName>
    <definedName name="solver_rhs9" localSheetId="2" hidden="1">0.000000000000000002</definedName>
    <definedName name="solver_rhs9" localSheetId="0" hidden="1">0.1</definedName>
    <definedName name="solver_rhs9" localSheetId="3" hidden="1">0.1</definedName>
    <definedName name="solver_rhs9" localSheetId="1" hidden="1">0.1</definedName>
    <definedName name="solver_rhs9" localSheetId="4" hidden="1">0.1</definedName>
    <definedName name="solver_rlx" localSheetId="2" hidden="1">2</definedName>
    <definedName name="solver_rlx" localSheetId="0" hidden="1">2</definedName>
    <definedName name="solver_rlx" localSheetId="3" hidden="1">2</definedName>
    <definedName name="solver_rlx" localSheetId="1" hidden="1">2</definedName>
    <definedName name="solver_rlx" localSheetId="4" hidden="1">2</definedName>
    <definedName name="solver_rsd" localSheetId="2" hidden="1">7</definedName>
    <definedName name="solver_rsd" localSheetId="0" hidden="1">0</definedName>
    <definedName name="solver_rsd" localSheetId="3" hidden="1">0</definedName>
    <definedName name="solver_rsd" localSheetId="1" hidden="1">0</definedName>
    <definedName name="solver_rsd" localSheetId="4" hidden="1">0</definedName>
    <definedName name="solver_scl" localSheetId="2" hidden="1">1</definedName>
    <definedName name="solver_scl" localSheetId="0" hidden="1">1</definedName>
    <definedName name="solver_scl" localSheetId="3" hidden="1">1</definedName>
    <definedName name="solver_scl" localSheetId="1" hidden="1">1</definedName>
    <definedName name="solver_scl" localSheetId="4" hidden="1">1</definedName>
    <definedName name="solver_sho" localSheetId="2" hidden="1">2</definedName>
    <definedName name="solver_sho" localSheetId="0" hidden="1">2</definedName>
    <definedName name="solver_sho" localSheetId="3" hidden="1">2</definedName>
    <definedName name="solver_sho" localSheetId="1" hidden="1">2</definedName>
    <definedName name="solver_sho" localSheetId="4" hidden="1">2</definedName>
    <definedName name="solver_ssz" localSheetId="2" hidden="1">100</definedName>
    <definedName name="solver_ssz" localSheetId="0" hidden="1">100</definedName>
    <definedName name="solver_ssz" localSheetId="3" hidden="1">100</definedName>
    <definedName name="solver_ssz" localSheetId="1" hidden="1">100</definedName>
    <definedName name="solver_ssz" localSheetId="4" hidden="1">100</definedName>
    <definedName name="solver_tim" localSheetId="2" hidden="1">2147483647</definedName>
    <definedName name="solver_tim" localSheetId="0" hidden="1">2147483647</definedName>
    <definedName name="solver_tim" localSheetId="3" hidden="1">2147483647</definedName>
    <definedName name="solver_tim" localSheetId="1" hidden="1">2147483647</definedName>
    <definedName name="solver_tim" localSheetId="4" hidden="1">2147483647</definedName>
    <definedName name="solver_tol" localSheetId="2" hidden="1">0.01</definedName>
    <definedName name="solver_tol" localSheetId="0" hidden="1">0.01</definedName>
    <definedName name="solver_tol" localSheetId="3" hidden="1">0.01</definedName>
    <definedName name="solver_tol" localSheetId="1" hidden="1">0.01</definedName>
    <definedName name="solver_tol" localSheetId="4" hidden="1">0.01</definedName>
    <definedName name="solver_typ" localSheetId="2" hidden="1">3</definedName>
    <definedName name="solver_typ" localSheetId="0" hidden="1">3</definedName>
    <definedName name="solver_typ" localSheetId="3" hidden="1">3</definedName>
    <definedName name="solver_typ" localSheetId="1" hidden="1">3</definedName>
    <definedName name="solver_typ" localSheetId="4" hidden="1">3</definedName>
    <definedName name="solver_val" localSheetId="2" hidden="1">100</definedName>
    <definedName name="solver_val" localSheetId="0" hidden="1">10</definedName>
    <definedName name="solver_val" localSheetId="3" hidden="1">10</definedName>
    <definedName name="solver_val" localSheetId="1" hidden="1">10</definedName>
    <definedName name="solver_val" localSheetId="4" hidden="1">10</definedName>
    <definedName name="solver_ver" localSheetId="2" hidden="1">3</definedName>
    <definedName name="solver_ver" localSheetId="0" hidden="1">3</definedName>
    <definedName name="solver_ver" localSheetId="3" hidden="1">3</definedName>
    <definedName name="solver_ver" localSheetId="1" hidden="1">3</definedName>
    <definedName name="solver_ver" localSheetId="4" hidden="1">3</definedName>
    <definedName name="T" localSheetId="2">'M101 &amp; fit parameters'!#REF!</definedName>
    <definedName name="T" localSheetId="0">'M31'!#REF!</definedName>
    <definedName name="T" localSheetId="3">'M31 with &amp; without universe'!#REF!</definedName>
    <definedName name="T" localSheetId="1">'M81'!#REF!</definedName>
    <definedName name="T" localSheetId="4">'M81 with &amp; without universe'!#REF!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0" l="1"/>
  <c r="T33" i="10"/>
  <c r="U31" i="10"/>
  <c r="U30" i="10"/>
  <c r="U29" i="10"/>
  <c r="T29" i="10"/>
  <c r="U28" i="10"/>
  <c r="U2" i="10" s="1"/>
  <c r="T28" i="10"/>
  <c r="U27" i="10"/>
  <c r="T27" i="10"/>
  <c r="U26" i="10"/>
  <c r="T26" i="10"/>
  <c r="U25" i="10"/>
  <c r="T25" i="10"/>
  <c r="AU21" i="10"/>
  <c r="AU20" i="10"/>
  <c r="L20" i="10"/>
  <c r="AU19" i="10"/>
  <c r="AU18" i="10"/>
  <c r="W18" i="10"/>
  <c r="AU17" i="10"/>
  <c r="AA17" i="10"/>
  <c r="Z17" i="10"/>
  <c r="AU16" i="10"/>
  <c r="L16" i="10"/>
  <c r="AU15" i="10"/>
  <c r="Y15" i="10"/>
  <c r="X15" i="10"/>
  <c r="W15" i="10"/>
  <c r="L15" i="10"/>
  <c r="AU14" i="10"/>
  <c r="Y14" i="10"/>
  <c r="W14" i="10"/>
  <c r="L14" i="10"/>
  <c r="AU13" i="10"/>
  <c r="Z13" i="10"/>
  <c r="Y13" i="10"/>
  <c r="X13" i="10"/>
  <c r="W13" i="10"/>
  <c r="AU12" i="10"/>
  <c r="L12" i="10"/>
  <c r="AU11" i="10"/>
  <c r="AU10" i="10"/>
  <c r="AU9" i="10"/>
  <c r="Y9" i="10"/>
  <c r="L10" i="10"/>
  <c r="W9" i="10"/>
  <c r="L9" i="10"/>
  <c r="AU8" i="10"/>
  <c r="AU7" i="10"/>
  <c r="Y7" i="10"/>
  <c r="X7" i="10"/>
  <c r="AU6" i="10"/>
  <c r="Y6" i="10"/>
  <c r="X6" i="10"/>
  <c r="W6" i="10"/>
  <c r="AU5" i="10"/>
  <c r="AU4" i="10"/>
  <c r="X4" i="10"/>
  <c r="W4" i="10"/>
  <c r="L4" i="10"/>
  <c r="AU3" i="10"/>
  <c r="AA3" i="10"/>
  <c r="Z3" i="10"/>
  <c r="Y3" i="10"/>
  <c r="X3" i="10"/>
  <c r="W3" i="10"/>
  <c r="J3" i="10"/>
  <c r="N3" i="10" s="1"/>
  <c r="A3" i="10"/>
  <c r="AU2" i="10"/>
  <c r="Y2" i="10"/>
  <c r="X2" i="10"/>
  <c r="W2" i="10"/>
  <c r="N2" i="10"/>
  <c r="L2" i="10"/>
  <c r="A2" i="10"/>
  <c r="AA6" i="6"/>
  <c r="AA6" i="9" s="1"/>
  <c r="X4" i="6"/>
  <c r="E2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J3" i="9"/>
  <c r="N2" i="9"/>
  <c r="L2" i="9"/>
  <c r="A2" i="9"/>
  <c r="W3" i="9"/>
  <c r="X3" i="9"/>
  <c r="Y3" i="9"/>
  <c r="Z3" i="9"/>
  <c r="AA3" i="9"/>
  <c r="W4" i="9"/>
  <c r="X4" i="9"/>
  <c r="Z4" i="9"/>
  <c r="AA4" i="9"/>
  <c r="W6" i="9"/>
  <c r="X6" i="9"/>
  <c r="Y6" i="9"/>
  <c r="Z6" i="9"/>
  <c r="Y7" i="9"/>
  <c r="W9" i="9"/>
  <c r="Y9" i="9"/>
  <c r="Z9" i="9"/>
  <c r="AA9" i="9"/>
  <c r="W13" i="9"/>
  <c r="X13" i="9"/>
  <c r="Y13" i="9"/>
  <c r="Z13" i="9"/>
  <c r="W14" i="9"/>
  <c r="Y14" i="9"/>
  <c r="W15" i="9"/>
  <c r="X15" i="9"/>
  <c r="Y15" i="9"/>
  <c r="X2" i="9"/>
  <c r="Y2" i="9"/>
  <c r="K2" i="5"/>
  <c r="U26" i="9"/>
  <c r="U27" i="9"/>
  <c r="U28" i="9"/>
  <c r="U29" i="9"/>
  <c r="U30" i="9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A24" i="6"/>
  <c r="AA4" i="6"/>
  <c r="K2" i="10" l="1"/>
  <c r="E2" i="10"/>
  <c r="T2" i="10"/>
  <c r="L8" i="10"/>
  <c r="U3" i="10"/>
  <c r="L11" i="10"/>
  <c r="L18" i="10"/>
  <c r="L19" i="10"/>
  <c r="L3" i="10"/>
  <c r="J4" i="10"/>
  <c r="U4" i="10"/>
  <c r="L17" i="10"/>
  <c r="L6" i="10"/>
  <c r="L7" i="10"/>
  <c r="L5" i="10"/>
  <c r="L13" i="10"/>
  <c r="L21" i="10"/>
  <c r="N3" i="9"/>
  <c r="A3" i="9"/>
  <c r="J4" i="9"/>
  <c r="U2" i="6"/>
  <c r="E3" i="10" l="1"/>
  <c r="H3" i="10" s="1"/>
  <c r="K3" i="10"/>
  <c r="T3" i="10"/>
  <c r="S3" i="10" s="1"/>
  <c r="N4" i="10"/>
  <c r="E4" i="10"/>
  <c r="A4" i="10"/>
  <c r="J5" i="10"/>
  <c r="K4" i="10"/>
  <c r="T4" i="10"/>
  <c r="T2" i="6"/>
  <c r="E2" i="6"/>
  <c r="K2" i="6"/>
  <c r="A4" i="9"/>
  <c r="N4" i="9"/>
  <c r="J5" i="9"/>
  <c r="U25" i="9"/>
  <c r="K25" i="9"/>
  <c r="AU21" i="9"/>
  <c r="AU20" i="9"/>
  <c r="AU19" i="9"/>
  <c r="AU18" i="9"/>
  <c r="W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U4" i="9"/>
  <c r="AU3" i="9"/>
  <c r="AU2" i="9"/>
  <c r="W2" i="9"/>
  <c r="R1" i="9"/>
  <c r="N2" i="7"/>
  <c r="J3" i="7"/>
  <c r="N3" i="7"/>
  <c r="J4" i="7"/>
  <c r="N4" i="7" s="1"/>
  <c r="U30" i="7"/>
  <c r="R1" i="5"/>
  <c r="U26" i="5"/>
  <c r="U27" i="5"/>
  <c r="U28" i="5"/>
  <c r="U29" i="5"/>
  <c r="U30" i="5"/>
  <c r="Y29" i="6"/>
  <c r="Z29" i="6"/>
  <c r="U31" i="7"/>
  <c r="J3" i="5"/>
  <c r="J4" i="5" s="1"/>
  <c r="N2" i="5"/>
  <c r="W2" i="5"/>
  <c r="X2" i="5"/>
  <c r="Y2" i="5"/>
  <c r="W3" i="5"/>
  <c r="X3" i="5"/>
  <c r="Y3" i="5"/>
  <c r="Z3" i="5"/>
  <c r="AA3" i="5"/>
  <c r="W4" i="5"/>
  <c r="W6" i="5"/>
  <c r="Y6" i="5"/>
  <c r="Y7" i="5"/>
  <c r="W9" i="5"/>
  <c r="X9" i="5"/>
  <c r="L21" i="5" s="1"/>
  <c r="Y9" i="5"/>
  <c r="W13" i="5"/>
  <c r="X13" i="5"/>
  <c r="Y13" i="5"/>
  <c r="Z13" i="5"/>
  <c r="W14" i="5"/>
  <c r="Y14" i="5"/>
  <c r="W15" i="5"/>
  <c r="X15" i="5"/>
  <c r="Y15" i="5"/>
  <c r="Z17" i="5"/>
  <c r="W18" i="5"/>
  <c r="N5" i="10" l="1"/>
  <c r="J6" i="10"/>
  <c r="A5" i="10"/>
  <c r="U5" i="10"/>
  <c r="E5" i="10" s="1"/>
  <c r="H4" i="10"/>
  <c r="A5" i="9"/>
  <c r="N5" i="9"/>
  <c r="J6" i="9"/>
  <c r="U4" i="9"/>
  <c r="U3" i="9"/>
  <c r="J5" i="7"/>
  <c r="N3" i="5"/>
  <c r="L6" i="5"/>
  <c r="L14" i="5"/>
  <c r="L2" i="5"/>
  <c r="L7" i="5"/>
  <c r="L15" i="5"/>
  <c r="L16" i="5"/>
  <c r="L17" i="5"/>
  <c r="L3" i="5"/>
  <c r="L10" i="5"/>
  <c r="L18" i="5"/>
  <c r="L8" i="5"/>
  <c r="L9" i="5"/>
  <c r="L11" i="5"/>
  <c r="L19" i="5"/>
  <c r="L4" i="5"/>
  <c r="L12" i="5"/>
  <c r="L20" i="5"/>
  <c r="L5" i="5"/>
  <c r="L13" i="5"/>
  <c r="N4" i="5"/>
  <c r="J5" i="5"/>
  <c r="A6" i="10" l="1"/>
  <c r="J7" i="10"/>
  <c r="N6" i="10"/>
  <c r="U6" i="10"/>
  <c r="T5" i="10"/>
  <c r="K5" i="10"/>
  <c r="H5" i="10"/>
  <c r="N6" i="9"/>
  <c r="J7" i="9"/>
  <c r="A6" i="9"/>
  <c r="K3" i="9"/>
  <c r="E3" i="9"/>
  <c r="K2" i="9"/>
  <c r="E2" i="9"/>
  <c r="K4" i="9"/>
  <c r="E4" i="9"/>
  <c r="T4" i="9"/>
  <c r="T3" i="9"/>
  <c r="T2" i="9"/>
  <c r="N5" i="7"/>
  <c r="J6" i="7"/>
  <c r="J6" i="5"/>
  <c r="N5" i="5"/>
  <c r="S4" i="10" l="1"/>
  <c r="A7" i="10"/>
  <c r="N7" i="10"/>
  <c r="J8" i="10"/>
  <c r="U7" i="10"/>
  <c r="E7" i="10" s="1"/>
  <c r="T6" i="10"/>
  <c r="S5" i="10" s="1"/>
  <c r="K6" i="10"/>
  <c r="K23" i="10" s="1"/>
  <c r="E6" i="10"/>
  <c r="H6" i="10" s="1"/>
  <c r="H3" i="9"/>
  <c r="N7" i="9"/>
  <c r="J8" i="9"/>
  <c r="A7" i="9"/>
  <c r="U5" i="9"/>
  <c r="S3" i="9"/>
  <c r="N6" i="7"/>
  <c r="J7" i="7"/>
  <c r="J7" i="5"/>
  <c r="N6" i="5"/>
  <c r="H7" i="10" l="1"/>
  <c r="N8" i="10"/>
  <c r="J9" i="10"/>
  <c r="A8" i="10"/>
  <c r="U8" i="10"/>
  <c r="K7" i="10"/>
  <c r="T7" i="10"/>
  <c r="S6" i="10" s="1"/>
  <c r="J9" i="9"/>
  <c r="A8" i="9"/>
  <c r="N8" i="9"/>
  <c r="K5" i="9"/>
  <c r="E5" i="9"/>
  <c r="H4" i="9"/>
  <c r="U6" i="9"/>
  <c r="T5" i="9"/>
  <c r="N7" i="7"/>
  <c r="J8" i="7"/>
  <c r="J8" i="5"/>
  <c r="N7" i="5"/>
  <c r="T8" i="10" l="1"/>
  <c r="K8" i="10"/>
  <c r="J10" i="10"/>
  <c r="A9" i="10"/>
  <c r="N9" i="10"/>
  <c r="U9" i="10"/>
  <c r="E8" i="10"/>
  <c r="H8" i="10"/>
  <c r="K6" i="9"/>
  <c r="K23" i="9" s="1"/>
  <c r="U44" i="9" s="1"/>
  <c r="E6" i="9"/>
  <c r="H5" i="9"/>
  <c r="J10" i="9"/>
  <c r="A9" i="9"/>
  <c r="N9" i="9"/>
  <c r="S4" i="9"/>
  <c r="T6" i="9"/>
  <c r="U7" i="9"/>
  <c r="N8" i="7"/>
  <c r="J9" i="7"/>
  <c r="J9" i="5"/>
  <c r="N8" i="5"/>
  <c r="K9" i="10" l="1"/>
  <c r="T9" i="10"/>
  <c r="E9" i="10"/>
  <c r="H9" i="10" s="1"/>
  <c r="N10" i="10"/>
  <c r="J11" i="10"/>
  <c r="A10" i="10"/>
  <c r="U10" i="10"/>
  <c r="S7" i="10"/>
  <c r="H6" i="9"/>
  <c r="J11" i="9"/>
  <c r="A10" i="9"/>
  <c r="N10" i="9"/>
  <c r="K7" i="9"/>
  <c r="E7" i="9"/>
  <c r="U8" i="9"/>
  <c r="T7" i="9"/>
  <c r="S5" i="9"/>
  <c r="N9" i="7"/>
  <c r="J10" i="7"/>
  <c r="J10" i="5"/>
  <c r="N9" i="5"/>
  <c r="K10" i="10" l="1"/>
  <c r="T10" i="10"/>
  <c r="S9" i="10" s="1"/>
  <c r="J12" i="10"/>
  <c r="A11" i="10"/>
  <c r="N11" i="10"/>
  <c r="U11" i="10"/>
  <c r="E10" i="10"/>
  <c r="H10" i="10" s="1"/>
  <c r="S8" i="10"/>
  <c r="A11" i="9"/>
  <c r="J12" i="9"/>
  <c r="N11" i="9"/>
  <c r="K8" i="9"/>
  <c r="E8" i="9"/>
  <c r="H7" i="9"/>
  <c r="T8" i="9"/>
  <c r="S7" i="9" s="1"/>
  <c r="S6" i="9"/>
  <c r="U9" i="9"/>
  <c r="N10" i="7"/>
  <c r="J11" i="7"/>
  <c r="J11" i="5"/>
  <c r="N10" i="5"/>
  <c r="K11" i="10" l="1"/>
  <c r="T11" i="10"/>
  <c r="E11" i="10"/>
  <c r="H11" i="10" s="1"/>
  <c r="U12" i="10"/>
  <c r="E12" i="10" s="1"/>
  <c r="J13" i="10"/>
  <c r="A12" i="10"/>
  <c r="N12" i="10"/>
  <c r="K9" i="9"/>
  <c r="E9" i="9"/>
  <c r="A12" i="9"/>
  <c r="N12" i="9"/>
  <c r="J13" i="9"/>
  <c r="H8" i="9"/>
  <c r="T9" i="9"/>
  <c r="U10" i="9"/>
  <c r="J12" i="7"/>
  <c r="N11" i="7"/>
  <c r="J12" i="5"/>
  <c r="N11" i="5"/>
  <c r="H12" i="10" l="1"/>
  <c r="N13" i="10"/>
  <c r="J14" i="10"/>
  <c r="A13" i="10"/>
  <c r="U13" i="10"/>
  <c r="T12" i="10"/>
  <c r="S11" i="10" s="1"/>
  <c r="K12" i="10"/>
  <c r="S10" i="10"/>
  <c r="H9" i="9"/>
  <c r="A13" i="9"/>
  <c r="N13" i="9"/>
  <c r="J14" i="9"/>
  <c r="K10" i="9"/>
  <c r="E10" i="9"/>
  <c r="U11" i="9"/>
  <c r="T10" i="9"/>
  <c r="S8" i="9"/>
  <c r="N12" i="7"/>
  <c r="J13" i="7"/>
  <c r="J13" i="5"/>
  <c r="N12" i="5"/>
  <c r="K13" i="10" l="1"/>
  <c r="T13" i="10"/>
  <c r="E13" i="10"/>
  <c r="H13" i="10" s="1"/>
  <c r="H14" i="10" s="1"/>
  <c r="J15" i="10"/>
  <c r="A14" i="10"/>
  <c r="N14" i="10"/>
  <c r="U14" i="10"/>
  <c r="E14" i="10" s="1"/>
  <c r="S12" i="10"/>
  <c r="H10" i="9"/>
  <c r="K11" i="9"/>
  <c r="E11" i="9"/>
  <c r="A14" i="9"/>
  <c r="N14" i="9"/>
  <c r="J15" i="9"/>
  <c r="U12" i="9"/>
  <c r="T11" i="9"/>
  <c r="S9" i="9"/>
  <c r="N13" i="7"/>
  <c r="J14" i="7"/>
  <c r="J14" i="5"/>
  <c r="N13" i="5"/>
  <c r="K14" i="10" l="1"/>
  <c r="T14" i="10"/>
  <c r="J16" i="10"/>
  <c r="A15" i="10"/>
  <c r="N15" i="10"/>
  <c r="U15" i="10"/>
  <c r="K12" i="9"/>
  <c r="E12" i="9"/>
  <c r="N15" i="9"/>
  <c r="J16" i="9"/>
  <c r="A15" i="9"/>
  <c r="H11" i="9"/>
  <c r="S10" i="9"/>
  <c r="T12" i="9"/>
  <c r="U13" i="9"/>
  <c r="N14" i="7"/>
  <c r="J15" i="7"/>
  <c r="J15" i="5"/>
  <c r="N14" i="5"/>
  <c r="K15" i="10" l="1"/>
  <c r="T15" i="10"/>
  <c r="E15" i="10"/>
  <c r="H15" i="10" s="1"/>
  <c r="S13" i="10"/>
  <c r="J17" i="10"/>
  <c r="E16" i="10"/>
  <c r="A16" i="10"/>
  <c r="N16" i="10"/>
  <c r="U16" i="10"/>
  <c r="S14" i="10"/>
  <c r="H12" i="9"/>
  <c r="J17" i="9"/>
  <c r="A16" i="9"/>
  <c r="N16" i="9"/>
  <c r="K13" i="9"/>
  <c r="E13" i="9"/>
  <c r="U14" i="9"/>
  <c r="T13" i="9"/>
  <c r="S11" i="9"/>
  <c r="N15" i="7"/>
  <c r="J16" i="7"/>
  <c r="J16" i="5"/>
  <c r="N15" i="5"/>
  <c r="H16" i="10" l="1"/>
  <c r="N17" i="10"/>
  <c r="U17" i="10"/>
  <c r="A17" i="10"/>
  <c r="J18" i="10"/>
  <c r="K16" i="10"/>
  <c r="T16" i="10"/>
  <c r="J18" i="9"/>
  <c r="A17" i="9"/>
  <c r="N17" i="9"/>
  <c r="K14" i="9"/>
  <c r="E14" i="9"/>
  <c r="H13" i="9"/>
  <c r="T14" i="9"/>
  <c r="S13" i="9" s="1"/>
  <c r="U15" i="9"/>
  <c r="S12" i="9"/>
  <c r="N16" i="7"/>
  <c r="J17" i="7"/>
  <c r="N16" i="5"/>
  <c r="J17" i="5"/>
  <c r="K17" i="10" l="1"/>
  <c r="T17" i="10"/>
  <c r="E17" i="10"/>
  <c r="A18" i="10"/>
  <c r="J19" i="10"/>
  <c r="E18" i="10"/>
  <c r="N18" i="10"/>
  <c r="U18" i="10"/>
  <c r="S15" i="10"/>
  <c r="H17" i="10"/>
  <c r="H18" i="10" s="1"/>
  <c r="H14" i="9"/>
  <c r="K15" i="9"/>
  <c r="E15" i="9"/>
  <c r="J19" i="9"/>
  <c r="A18" i="9"/>
  <c r="N18" i="9"/>
  <c r="U16" i="9"/>
  <c r="T15" i="9"/>
  <c r="N17" i="7"/>
  <c r="J18" i="7"/>
  <c r="J18" i="5"/>
  <c r="N17" i="5"/>
  <c r="J20" i="10" l="1"/>
  <c r="A19" i="10"/>
  <c r="N19" i="10"/>
  <c r="U19" i="10"/>
  <c r="K18" i="10"/>
  <c r="T18" i="10"/>
  <c r="S16" i="10"/>
  <c r="A19" i="9"/>
  <c r="J20" i="9"/>
  <c r="N19" i="9"/>
  <c r="H15" i="9"/>
  <c r="K16" i="9"/>
  <c r="E16" i="9"/>
  <c r="S14" i="9"/>
  <c r="U17" i="9"/>
  <c r="T16" i="9"/>
  <c r="N18" i="7"/>
  <c r="J19" i="7"/>
  <c r="J19" i="5"/>
  <c r="N18" i="5"/>
  <c r="K19" i="10" l="1"/>
  <c r="T19" i="10"/>
  <c r="J21" i="10"/>
  <c r="A20" i="10"/>
  <c r="N20" i="10"/>
  <c r="U20" i="10"/>
  <c r="S17" i="10"/>
  <c r="E19" i="10"/>
  <c r="H19" i="10" s="1"/>
  <c r="K17" i="9"/>
  <c r="E17" i="9"/>
  <c r="H16" i="9"/>
  <c r="A20" i="9"/>
  <c r="N20" i="9"/>
  <c r="J21" i="9"/>
  <c r="T17" i="9"/>
  <c r="S16" i="9" s="1"/>
  <c r="U18" i="9"/>
  <c r="S15" i="9"/>
  <c r="J20" i="7"/>
  <c r="N19" i="7"/>
  <c r="J20" i="5"/>
  <c r="N19" i="5"/>
  <c r="K20" i="10" l="1"/>
  <c r="T20" i="10"/>
  <c r="E20" i="10"/>
  <c r="N21" i="10"/>
  <c r="A21" i="10"/>
  <c r="U21" i="10"/>
  <c r="H20" i="10"/>
  <c r="S18" i="10"/>
  <c r="H17" i="9"/>
  <c r="K18" i="9"/>
  <c r="E18" i="9"/>
  <c r="A21" i="9"/>
  <c r="N21" i="9"/>
  <c r="U19" i="9"/>
  <c r="T18" i="9"/>
  <c r="N20" i="7"/>
  <c r="J21" i="7"/>
  <c r="N20" i="5"/>
  <c r="J21" i="5"/>
  <c r="T21" i="10" l="1"/>
  <c r="T22" i="10" s="1"/>
  <c r="K21" i="10"/>
  <c r="E21" i="10"/>
  <c r="H21" i="10" s="1"/>
  <c r="S19" i="10"/>
  <c r="H18" i="9"/>
  <c r="K19" i="9"/>
  <c r="E19" i="9"/>
  <c r="S17" i="9"/>
  <c r="T19" i="9"/>
  <c r="U20" i="9"/>
  <c r="N21" i="7"/>
  <c r="N21" i="5"/>
  <c r="S20" i="10" l="1"/>
  <c r="S21" i="10"/>
  <c r="H19" i="9"/>
  <c r="K20" i="9"/>
  <c r="E20" i="9"/>
  <c r="U21" i="9"/>
  <c r="S18" i="9"/>
  <c r="T20" i="9"/>
  <c r="S19" i="9" s="1"/>
  <c r="A2" i="6"/>
  <c r="J3" i="6"/>
  <c r="U3" i="6" s="1"/>
  <c r="U37" i="6"/>
  <c r="V37" i="6" s="1"/>
  <c r="U32" i="9" s="1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" i="6"/>
  <c r="X2" i="7"/>
  <c r="Y2" i="7"/>
  <c r="Y3" i="7"/>
  <c r="Z3" i="7"/>
  <c r="AA3" i="7"/>
  <c r="Y6" i="7"/>
  <c r="Y7" i="7"/>
  <c r="X9" i="7"/>
  <c r="Y9" i="7"/>
  <c r="X13" i="7"/>
  <c r="Y13" i="7"/>
  <c r="Z13" i="7"/>
  <c r="Y14" i="7"/>
  <c r="X15" i="7"/>
  <c r="Y15" i="7"/>
  <c r="Z17" i="7"/>
  <c r="W2" i="7"/>
  <c r="W3" i="7"/>
  <c r="W4" i="7"/>
  <c r="W6" i="7"/>
  <c r="W9" i="7"/>
  <c r="W13" i="7"/>
  <c r="W14" i="7"/>
  <c r="W15" i="7"/>
  <c r="W18" i="7"/>
  <c r="T33" i="7"/>
  <c r="T26" i="7"/>
  <c r="T28" i="7"/>
  <c r="T29" i="7"/>
  <c r="T27" i="7"/>
  <c r="T25" i="7"/>
  <c r="U26" i="7"/>
  <c r="U28" i="7"/>
  <c r="U29" i="7"/>
  <c r="U27" i="7"/>
  <c r="U25" i="7"/>
  <c r="T3" i="6" l="1"/>
  <c r="K3" i="6"/>
  <c r="E3" i="6"/>
  <c r="H3" i="6" s="1"/>
  <c r="K21" i="9"/>
  <c r="E21" i="9"/>
  <c r="H20" i="9"/>
  <c r="U3" i="7"/>
  <c r="U2" i="7"/>
  <c r="U4" i="7"/>
  <c r="U12" i="7"/>
  <c r="U20" i="7"/>
  <c r="U14" i="7"/>
  <c r="U7" i="7"/>
  <c r="U18" i="7"/>
  <c r="U19" i="7"/>
  <c r="U5" i="7"/>
  <c r="U13" i="7"/>
  <c r="U21" i="7"/>
  <c r="U6" i="7"/>
  <c r="U15" i="7"/>
  <c r="U11" i="7"/>
  <c r="U8" i="7"/>
  <c r="U16" i="7"/>
  <c r="U9" i="7"/>
  <c r="U17" i="7"/>
  <c r="U10" i="7"/>
  <c r="L7" i="7"/>
  <c r="L15" i="7"/>
  <c r="L21" i="7"/>
  <c r="L8" i="7"/>
  <c r="L16" i="7"/>
  <c r="L3" i="7"/>
  <c r="L9" i="7"/>
  <c r="L17" i="7"/>
  <c r="L13" i="7"/>
  <c r="L10" i="7"/>
  <c r="L18" i="7"/>
  <c r="L11" i="7"/>
  <c r="L19" i="7"/>
  <c r="L4" i="7"/>
  <c r="L12" i="7"/>
  <c r="L20" i="7"/>
  <c r="L5" i="7"/>
  <c r="L2" i="7"/>
  <c r="L6" i="7"/>
  <c r="L14" i="7"/>
  <c r="T21" i="9"/>
  <c r="J4" i="6"/>
  <c r="U4" i="6" s="1"/>
  <c r="A3" i="6"/>
  <c r="T4" i="6" l="1"/>
  <c r="S3" i="6" s="1"/>
  <c r="K4" i="6"/>
  <c r="E4" i="6"/>
  <c r="H4" i="6" s="1"/>
  <c r="E4" i="7"/>
  <c r="K4" i="7"/>
  <c r="K5" i="7"/>
  <c r="E5" i="7"/>
  <c r="K19" i="7"/>
  <c r="E19" i="7"/>
  <c r="K18" i="7"/>
  <c r="E18" i="7"/>
  <c r="E7" i="7"/>
  <c r="K7" i="7"/>
  <c r="K13" i="7"/>
  <c r="E13" i="7"/>
  <c r="E16" i="7"/>
  <c r="K16" i="7"/>
  <c r="K11" i="7"/>
  <c r="E11" i="7"/>
  <c r="K15" i="7"/>
  <c r="E15" i="7"/>
  <c r="E14" i="7"/>
  <c r="K14" i="7"/>
  <c r="K17" i="7"/>
  <c r="E17" i="7"/>
  <c r="E2" i="7"/>
  <c r="K2" i="7"/>
  <c r="E8" i="7"/>
  <c r="K8" i="7"/>
  <c r="K6" i="7"/>
  <c r="E6" i="7"/>
  <c r="E20" i="7"/>
  <c r="K20" i="7"/>
  <c r="K9" i="7"/>
  <c r="E9" i="7"/>
  <c r="K3" i="7"/>
  <c r="E3" i="7"/>
  <c r="K10" i="7"/>
  <c r="E10" i="7"/>
  <c r="K21" i="7"/>
  <c r="E21" i="7"/>
  <c r="E12" i="7"/>
  <c r="K12" i="7"/>
  <c r="H21" i="9"/>
  <c r="J5" i="6"/>
  <c r="U5" i="6" s="1"/>
  <c r="T22" i="9"/>
  <c r="S21" i="9" s="1"/>
  <c r="S20" i="9"/>
  <c r="T17" i="7"/>
  <c r="T9" i="7"/>
  <c r="T16" i="7"/>
  <c r="T8" i="7"/>
  <c r="T15" i="7"/>
  <c r="T7" i="7"/>
  <c r="T14" i="7"/>
  <c r="T6" i="7"/>
  <c r="T13" i="7"/>
  <c r="T5" i="7"/>
  <c r="T12" i="7"/>
  <c r="T4" i="7"/>
  <c r="T20" i="7"/>
  <c r="T19" i="7"/>
  <c r="T11" i="7"/>
  <c r="T2" i="7"/>
  <c r="T21" i="7"/>
  <c r="T22" i="7" s="1"/>
  <c r="T18" i="7"/>
  <c r="T10" i="7"/>
  <c r="T3" i="7"/>
  <c r="A5" i="6"/>
  <c r="A4" i="6"/>
  <c r="J6" i="6"/>
  <c r="U6" i="6" s="1"/>
  <c r="T6" i="6" l="1"/>
  <c r="E6" i="6"/>
  <c r="K6" i="6"/>
  <c r="T5" i="6"/>
  <c r="S4" i="6" s="1"/>
  <c r="K5" i="6"/>
  <c r="E5" i="6"/>
  <c r="H5" i="6" s="1"/>
  <c r="H3" i="7"/>
  <c r="S7" i="7"/>
  <c r="S12" i="7"/>
  <c r="S4" i="7"/>
  <c r="S16" i="7"/>
  <c r="S13" i="7"/>
  <c r="S15" i="7"/>
  <c r="S17" i="7"/>
  <c r="S8" i="7"/>
  <c r="S10" i="7"/>
  <c r="S19" i="7"/>
  <c r="S21" i="7"/>
  <c r="S3" i="7"/>
  <c r="S5" i="7"/>
  <c r="S18" i="7"/>
  <c r="S20" i="7"/>
  <c r="S14" i="7"/>
  <c r="S9" i="7"/>
  <c r="S11" i="7"/>
  <c r="S6" i="7"/>
  <c r="A6" i="6"/>
  <c r="J7" i="6"/>
  <c r="U7" i="6" s="1"/>
  <c r="H6" i="6" l="1"/>
  <c r="S5" i="6"/>
  <c r="T7" i="6"/>
  <c r="S6" i="6" s="1"/>
  <c r="E7" i="6"/>
  <c r="K7" i="6"/>
  <c r="H4" i="7"/>
  <c r="A7" i="6"/>
  <c r="J8" i="6"/>
  <c r="U8" i="6" s="1"/>
  <c r="T8" i="6" l="1"/>
  <c r="S7" i="6" s="1"/>
  <c r="E8" i="6"/>
  <c r="K8" i="6"/>
  <c r="H7" i="6"/>
  <c r="H5" i="7"/>
  <c r="A8" i="6"/>
  <c r="J9" i="6"/>
  <c r="U9" i="6" s="1"/>
  <c r="H8" i="6" l="1"/>
  <c r="T9" i="6"/>
  <c r="E9" i="6"/>
  <c r="K9" i="6"/>
  <c r="H6" i="7"/>
  <c r="S8" i="6"/>
  <c r="A9" i="6"/>
  <c r="J10" i="6"/>
  <c r="U10" i="6" s="1"/>
  <c r="T10" i="6" l="1"/>
  <c r="K10" i="6"/>
  <c r="E10" i="6"/>
  <c r="H9" i="6"/>
  <c r="H7" i="7"/>
  <c r="S9" i="6"/>
  <c r="A10" i="6"/>
  <c r="J11" i="6"/>
  <c r="U11" i="6" s="1"/>
  <c r="H10" i="6" l="1"/>
  <c r="T11" i="6"/>
  <c r="S10" i="6" s="1"/>
  <c r="K11" i="6"/>
  <c r="E11" i="6"/>
  <c r="H8" i="7"/>
  <c r="A11" i="6"/>
  <c r="J12" i="6"/>
  <c r="U12" i="6" s="1"/>
  <c r="T12" i="6" l="1"/>
  <c r="K12" i="6"/>
  <c r="E12" i="6"/>
  <c r="H11" i="6"/>
  <c r="H9" i="7"/>
  <c r="S11" i="6"/>
  <c r="A12" i="6"/>
  <c r="J13" i="6"/>
  <c r="U13" i="6" s="1"/>
  <c r="H12" i="6" l="1"/>
  <c r="T13" i="6"/>
  <c r="K13" i="6"/>
  <c r="E13" i="6"/>
  <c r="H10" i="7"/>
  <c r="S12" i="6"/>
  <c r="A13" i="6"/>
  <c r="J14" i="6"/>
  <c r="U14" i="6" s="1"/>
  <c r="T14" i="6" l="1"/>
  <c r="S13" i="6" s="1"/>
  <c r="E14" i="6"/>
  <c r="K14" i="6"/>
  <c r="H13" i="6"/>
  <c r="H14" i="6" s="1"/>
  <c r="H11" i="7"/>
  <c r="A14" i="6"/>
  <c r="J15" i="6"/>
  <c r="U15" i="6" s="1"/>
  <c r="T15" i="6" l="1"/>
  <c r="S14" i="6" s="1"/>
  <c r="E15" i="6"/>
  <c r="H15" i="6" s="1"/>
  <c r="K15" i="6"/>
  <c r="H12" i="7"/>
  <c r="A15" i="6"/>
  <c r="J16" i="6"/>
  <c r="U16" i="6" s="1"/>
  <c r="T16" i="6" l="1"/>
  <c r="S15" i="6" s="1"/>
  <c r="E16" i="6"/>
  <c r="H16" i="6" s="1"/>
  <c r="K16" i="6"/>
  <c r="H13" i="7"/>
  <c r="A16" i="6"/>
  <c r="J17" i="6"/>
  <c r="U17" i="6" s="1"/>
  <c r="T17" i="6" l="1"/>
  <c r="E17" i="6"/>
  <c r="H17" i="6" s="1"/>
  <c r="K17" i="6"/>
  <c r="H14" i="7"/>
  <c r="S16" i="6"/>
  <c r="A17" i="6"/>
  <c r="J18" i="6"/>
  <c r="U18" i="6" s="1"/>
  <c r="T18" i="6" l="1"/>
  <c r="K18" i="6"/>
  <c r="E18" i="6"/>
  <c r="H18" i="6" s="1"/>
  <c r="H15" i="7"/>
  <c r="S17" i="6"/>
  <c r="A18" i="6"/>
  <c r="J19" i="6"/>
  <c r="U19" i="6" s="1"/>
  <c r="T19" i="6" l="1"/>
  <c r="S18" i="6" s="1"/>
  <c r="K19" i="6"/>
  <c r="E19" i="6"/>
  <c r="H19" i="6" s="1"/>
  <c r="H16" i="7"/>
  <c r="A19" i="6"/>
  <c r="J20" i="6"/>
  <c r="U20" i="6" s="1"/>
  <c r="T20" i="6" l="1"/>
  <c r="K20" i="6"/>
  <c r="E20" i="6"/>
  <c r="H20" i="6" s="1"/>
  <c r="H17" i="7"/>
  <c r="S19" i="6"/>
  <c r="A20" i="6"/>
  <c r="J21" i="6"/>
  <c r="U21" i="6" s="1"/>
  <c r="T21" i="6" l="1"/>
  <c r="S21" i="6" s="1"/>
  <c r="K21" i="6"/>
  <c r="E21" i="6"/>
  <c r="H21" i="6" s="1"/>
  <c r="H18" i="7"/>
  <c r="A21" i="6"/>
  <c r="S20" i="6" l="1"/>
  <c r="H19" i="7"/>
  <c r="H20" i="7" l="1"/>
  <c r="U25" i="5"/>
  <c r="U3" i="5" s="1"/>
  <c r="X14" i="6"/>
  <c r="W46" i="6"/>
  <c r="V46" i="6"/>
  <c r="K25" i="5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P18" i="10" l="1"/>
  <c r="P11" i="10"/>
  <c r="P19" i="10"/>
  <c r="P7" i="10"/>
  <c r="P6" i="10"/>
  <c r="O7" i="10" s="1"/>
  <c r="P15" i="10"/>
  <c r="P13" i="10"/>
  <c r="P5" i="10"/>
  <c r="P8" i="10"/>
  <c r="P20" i="10"/>
  <c r="P16" i="10"/>
  <c r="P2" i="10"/>
  <c r="P12" i="10"/>
  <c r="P14" i="10"/>
  <c r="O15" i="10" s="1"/>
  <c r="X14" i="10"/>
  <c r="P3" i="10"/>
  <c r="O4" i="10" s="1"/>
  <c r="P10" i="10"/>
  <c r="P9" i="10"/>
  <c r="O10" i="10" s="1"/>
  <c r="P4" i="10"/>
  <c r="X14" i="9"/>
  <c r="P21" i="10"/>
  <c r="P22" i="10" s="1"/>
  <c r="P17" i="10"/>
  <c r="O18" i="10" s="1"/>
  <c r="P2" i="6"/>
  <c r="P2" i="9"/>
  <c r="O3" i="9" s="1"/>
  <c r="P3" i="9"/>
  <c r="P4" i="9"/>
  <c r="P5" i="9"/>
  <c r="P6" i="9"/>
  <c r="P7" i="9"/>
  <c r="O6" i="9" s="1"/>
  <c r="P8" i="9"/>
  <c r="P9" i="9"/>
  <c r="P10" i="9"/>
  <c r="O11" i="9" s="1"/>
  <c r="P11" i="9"/>
  <c r="P12" i="9"/>
  <c r="P13" i="9"/>
  <c r="P14" i="9"/>
  <c r="P15" i="9"/>
  <c r="O16" i="9" s="1"/>
  <c r="P16" i="9"/>
  <c r="P17" i="9"/>
  <c r="P18" i="9"/>
  <c r="O19" i="9" s="1"/>
  <c r="P19" i="9"/>
  <c r="P3" i="6"/>
  <c r="P20" i="9"/>
  <c r="P21" i="9"/>
  <c r="P22" i="9" s="1"/>
  <c r="P2" i="7"/>
  <c r="P4" i="6"/>
  <c r="P6" i="6"/>
  <c r="P5" i="6"/>
  <c r="P3" i="7"/>
  <c r="P4" i="7"/>
  <c r="P7" i="6"/>
  <c r="P5" i="7"/>
  <c r="P8" i="6"/>
  <c r="P6" i="7"/>
  <c r="P9" i="6"/>
  <c r="P7" i="7"/>
  <c r="P10" i="6"/>
  <c r="P8" i="7"/>
  <c r="P11" i="6"/>
  <c r="P9" i="7"/>
  <c r="P12" i="6"/>
  <c r="P13" i="6"/>
  <c r="P10" i="7"/>
  <c r="P11" i="7"/>
  <c r="P14" i="6"/>
  <c r="P12" i="7"/>
  <c r="P15" i="6"/>
  <c r="P13" i="7"/>
  <c r="P16" i="6"/>
  <c r="P14" i="7"/>
  <c r="P17" i="6"/>
  <c r="P15" i="7"/>
  <c r="P18" i="6"/>
  <c r="P16" i="7"/>
  <c r="P19" i="6"/>
  <c r="P17" i="7"/>
  <c r="P20" i="6"/>
  <c r="P18" i="7"/>
  <c r="P21" i="6"/>
  <c r="P19" i="7"/>
  <c r="K3" i="5"/>
  <c r="E3" i="5"/>
  <c r="H3" i="5" s="1"/>
  <c r="H21" i="7"/>
  <c r="P21" i="7" s="1"/>
  <c r="P20" i="7"/>
  <c r="P22" i="6"/>
  <c r="U18" i="5"/>
  <c r="U10" i="5"/>
  <c r="U14" i="5"/>
  <c r="U19" i="5"/>
  <c r="U6" i="5"/>
  <c r="U5" i="5"/>
  <c r="U17" i="5"/>
  <c r="U11" i="5"/>
  <c r="U9" i="5"/>
  <c r="U21" i="5"/>
  <c r="U13" i="5"/>
  <c r="U8" i="5"/>
  <c r="U7" i="5"/>
  <c r="U16" i="5"/>
  <c r="U12" i="5"/>
  <c r="U4" i="5"/>
  <c r="U15" i="5"/>
  <c r="U20" i="5"/>
  <c r="X6" i="6"/>
  <c r="X4" i="5"/>
  <c r="X14" i="5"/>
  <c r="X4" i="7"/>
  <c r="X3" i="7"/>
  <c r="X6" i="7"/>
  <c r="X14" i="7"/>
  <c r="W37" i="6"/>
  <c r="U33" i="7" s="1"/>
  <c r="U32" i="5"/>
  <c r="AA13" i="6"/>
  <c r="N2" i="6"/>
  <c r="O8" i="10" l="1"/>
  <c r="O13" i="10"/>
  <c r="O6" i="10"/>
  <c r="O18" i="9"/>
  <c r="O8" i="9"/>
  <c r="O10" i="9"/>
  <c r="O14" i="10"/>
  <c r="O15" i="9"/>
  <c r="O17" i="9"/>
  <c r="O9" i="9"/>
  <c r="O16" i="10"/>
  <c r="O3" i="10"/>
  <c r="O21" i="9"/>
  <c r="O12" i="9"/>
  <c r="O14" i="9"/>
  <c r="O4" i="9"/>
  <c r="O5" i="10"/>
  <c r="O17" i="10"/>
  <c r="O20" i="10"/>
  <c r="O7" i="9"/>
  <c r="O13" i="9"/>
  <c r="O5" i="9"/>
  <c r="O21" i="10"/>
  <c r="O12" i="10"/>
  <c r="AA13" i="9"/>
  <c r="AA13" i="10"/>
  <c r="O20" i="9"/>
  <c r="O11" i="10"/>
  <c r="O9" i="10"/>
  <c r="O19" i="10"/>
  <c r="K21" i="5"/>
  <c r="E21" i="5"/>
  <c r="E15" i="5"/>
  <c r="K15" i="5"/>
  <c r="E9" i="5"/>
  <c r="K9" i="5"/>
  <c r="E18" i="5"/>
  <c r="K18" i="5"/>
  <c r="K20" i="5"/>
  <c r="E20" i="5"/>
  <c r="K10" i="5"/>
  <c r="E10" i="5"/>
  <c r="E4" i="5"/>
  <c r="H4" i="5" s="1"/>
  <c r="K4" i="5"/>
  <c r="K11" i="5"/>
  <c r="E11" i="5"/>
  <c r="K13" i="5"/>
  <c r="E13" i="5"/>
  <c r="E17" i="5"/>
  <c r="K17" i="5"/>
  <c r="K5" i="5"/>
  <c r="E5" i="5"/>
  <c r="K12" i="5"/>
  <c r="E12" i="5"/>
  <c r="E16" i="5"/>
  <c r="K16" i="5"/>
  <c r="K7" i="5"/>
  <c r="E7" i="5"/>
  <c r="E6" i="5"/>
  <c r="K6" i="5"/>
  <c r="E14" i="5"/>
  <c r="K14" i="5"/>
  <c r="E8" i="5"/>
  <c r="K8" i="5"/>
  <c r="K19" i="5"/>
  <c r="E19" i="5"/>
  <c r="P22" i="7"/>
  <c r="O10" i="6"/>
  <c r="O18" i="6"/>
  <c r="O21" i="6"/>
  <c r="O20" i="6"/>
  <c r="O9" i="6"/>
  <c r="O19" i="6"/>
  <c r="O17" i="6"/>
  <c r="O11" i="6"/>
  <c r="O3" i="6"/>
  <c r="O15" i="6"/>
  <c r="O7" i="6"/>
  <c r="O16" i="6"/>
  <c r="O14" i="6"/>
  <c r="O6" i="6"/>
  <c r="O13" i="6"/>
  <c r="O5" i="6"/>
  <c r="O12" i="6"/>
  <c r="O4" i="6"/>
  <c r="O8" i="6"/>
  <c r="T8" i="5"/>
  <c r="T19" i="5"/>
  <c r="T7" i="5"/>
  <c r="T5" i="5"/>
  <c r="T20" i="5"/>
  <c r="T21" i="5"/>
  <c r="T14" i="5"/>
  <c r="T15" i="5"/>
  <c r="T9" i="5"/>
  <c r="T3" i="5"/>
  <c r="P3" i="5" s="1"/>
  <c r="T13" i="5"/>
  <c r="T4" i="5"/>
  <c r="T11" i="5"/>
  <c r="T10" i="5"/>
  <c r="T6" i="5"/>
  <c r="T12" i="5"/>
  <c r="T17" i="5"/>
  <c r="T18" i="5"/>
  <c r="T16" i="5"/>
  <c r="T2" i="5"/>
  <c r="P2" i="5" s="1"/>
  <c r="X7" i="6"/>
  <c r="X7" i="9" s="1"/>
  <c r="X6" i="5"/>
  <c r="AA13" i="5"/>
  <c r="AA13" i="7"/>
  <c r="U35" i="10" l="1"/>
  <c r="X20" i="10"/>
  <c r="H5" i="5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P21" i="5" s="1"/>
  <c r="P6" i="5"/>
  <c r="P11" i="5"/>
  <c r="P20" i="5"/>
  <c r="P4" i="5"/>
  <c r="P5" i="5"/>
  <c r="P7" i="5"/>
  <c r="P14" i="5"/>
  <c r="P17" i="5"/>
  <c r="P9" i="5"/>
  <c r="P8" i="5"/>
  <c r="P13" i="5"/>
  <c r="P12" i="5"/>
  <c r="P15" i="5"/>
  <c r="T22" i="5"/>
  <c r="S7" i="5"/>
  <c r="S8" i="5"/>
  <c r="S18" i="5"/>
  <c r="S19" i="5"/>
  <c r="S9" i="5"/>
  <c r="S4" i="5"/>
  <c r="S12" i="5"/>
  <c r="S16" i="5"/>
  <c r="S10" i="5"/>
  <c r="S21" i="5"/>
  <c r="O21" i="7"/>
  <c r="S20" i="5"/>
  <c r="O20" i="7"/>
  <c r="S6" i="5"/>
  <c r="S17" i="5"/>
  <c r="S3" i="5"/>
  <c r="S13" i="5"/>
  <c r="S15" i="5"/>
  <c r="S11" i="5"/>
  <c r="S5" i="5"/>
  <c r="S14" i="5"/>
  <c r="O12" i="7"/>
  <c r="O13" i="7"/>
  <c r="O5" i="7"/>
  <c r="O3" i="7"/>
  <c r="O16" i="7"/>
  <c r="O8" i="7"/>
  <c r="O18" i="7"/>
  <c r="O10" i="7"/>
  <c r="O11" i="7"/>
  <c r="O15" i="7"/>
  <c r="O17" i="7"/>
  <c r="O7" i="7"/>
  <c r="O9" i="7"/>
  <c r="O19" i="7"/>
  <c r="O14" i="7"/>
  <c r="O4" i="7"/>
  <c r="O6" i="7"/>
  <c r="X7" i="5"/>
  <c r="X7" i="7"/>
  <c r="AA17" i="5"/>
  <c r="P19" i="5" l="1"/>
  <c r="P18" i="5"/>
  <c r="P10" i="5"/>
  <c r="P16" i="5"/>
  <c r="U35" i="7"/>
  <c r="X20" i="9"/>
  <c r="U41" i="9"/>
  <c r="AA17" i="7"/>
  <c r="O3" i="5" l="1"/>
  <c r="O4" i="5" l="1"/>
  <c r="O5" i="5" l="1"/>
  <c r="AU2" i="7"/>
  <c r="AU2" i="5"/>
  <c r="O6" i="5" l="1"/>
  <c r="O7" i="5" l="1"/>
  <c r="AU3" i="5"/>
  <c r="AU4" i="7"/>
  <c r="AU4" i="5"/>
  <c r="AU3" i="7"/>
  <c r="K23" i="5"/>
  <c r="K23" i="6"/>
  <c r="U47" i="6" s="1"/>
  <c r="O8" i="5" l="1"/>
  <c r="AU5" i="5"/>
  <c r="U44" i="5"/>
  <c r="V47" i="6"/>
  <c r="V48" i="6" s="1"/>
  <c r="K23" i="7"/>
  <c r="W47" i="6" s="1"/>
  <c r="W48" i="6" s="1"/>
  <c r="AU5" i="7"/>
  <c r="O9" i="5" l="1"/>
  <c r="AU6" i="7"/>
  <c r="AU6" i="5"/>
  <c r="V50" i="6"/>
  <c r="O10" i="5" l="1"/>
  <c r="AU7" i="5"/>
  <c r="AU7" i="7"/>
  <c r="O11" i="5" l="1"/>
  <c r="AU8" i="5"/>
  <c r="AU8" i="7"/>
  <c r="O12" i="5" l="1"/>
  <c r="AU9" i="7"/>
  <c r="AU9" i="5"/>
  <c r="O13" i="5" l="1"/>
  <c r="AU10" i="7"/>
  <c r="AU10" i="5"/>
  <c r="O14" i="5" l="1"/>
  <c r="AU11" i="7"/>
  <c r="AU11" i="5"/>
  <c r="O15" i="5" l="1"/>
  <c r="AU12" i="5"/>
  <c r="AU12" i="7"/>
  <c r="O16" i="5" l="1"/>
  <c r="AU13" i="5"/>
  <c r="AU13" i="7"/>
  <c r="O17" i="5" l="1"/>
  <c r="AU14" i="7"/>
  <c r="AU14" i="5"/>
  <c r="O18" i="5" l="1"/>
  <c r="AU15" i="7"/>
  <c r="AU15" i="5"/>
  <c r="O19" i="5" l="1"/>
  <c r="AU16" i="5"/>
  <c r="AU16" i="7"/>
  <c r="O20" i="5" l="1"/>
  <c r="AU17" i="5"/>
  <c r="AU17" i="7"/>
  <c r="P22" i="5" l="1"/>
  <c r="O21" i="5" s="1"/>
  <c r="X20" i="5" s="1"/>
  <c r="AU18" i="5"/>
  <c r="AU18" i="7"/>
  <c r="AU19" i="7" l="1"/>
  <c r="W35" i="6"/>
  <c r="AU19" i="5"/>
  <c r="AU20" i="7" l="1"/>
  <c r="AU20" i="5"/>
  <c r="X20" i="7"/>
  <c r="AU21" i="7" l="1"/>
  <c r="AU21" i="5"/>
  <c r="U41" i="5"/>
  <c r="V35" i="6" s="1"/>
  <c r="U35" i="6"/>
  <c r="X18" i="6"/>
  <c r="X18" i="9" l="1"/>
  <c r="X18" i="10"/>
  <c r="X18" i="5"/>
  <c r="Y35" i="6"/>
  <c r="X20" i="6"/>
  <c r="X18" i="7"/>
</calcChain>
</file>

<file path=xl/sharedStrings.xml><?xml version="1.0" encoding="utf-8"?>
<sst xmlns="http://schemas.openxmlformats.org/spreadsheetml/2006/main" count="140" uniqueCount="63">
  <si>
    <t>TRUE speed</t>
  </si>
  <si>
    <t>m</t>
  </si>
  <si>
    <t>km/s</t>
  </si>
  <si>
    <t>min dens</t>
  </si>
  <si>
    <t>chi2</t>
  </si>
  <si>
    <t>nf</t>
  </si>
  <si>
    <t>mf</t>
  </si>
  <si>
    <t>bf</t>
  </si>
  <si>
    <t>pf</t>
  </si>
  <si>
    <t>qf</t>
  </si>
  <si>
    <t>chi speed</t>
  </si>
  <si>
    <t>b</t>
  </si>
  <si>
    <t>kf</t>
  </si>
  <si>
    <t>uf</t>
  </si>
  <si>
    <t>u</t>
  </si>
  <si>
    <t>target</t>
  </si>
  <si>
    <t>M101</t>
  </si>
  <si>
    <t>M81</t>
  </si>
  <si>
    <t>M31</t>
  </si>
  <si>
    <t>lum mass</t>
  </si>
  <si>
    <t xml:space="preserve">dens int </t>
  </si>
  <si>
    <t>ratio</t>
  </si>
  <si>
    <t>chi mass</t>
  </si>
  <si>
    <t>chi total</t>
  </si>
  <si>
    <t>m/s</t>
  </si>
  <si>
    <t>K</t>
  </si>
  <si>
    <t>N-1</t>
  </si>
  <si>
    <t>p</t>
  </si>
  <si>
    <t>k</t>
  </si>
  <si>
    <t>Msun</t>
  </si>
  <si>
    <t>kg</t>
  </si>
  <si>
    <t>MG</t>
  </si>
  <si>
    <t>G &lt;density&gt;</t>
  </si>
  <si>
    <t>kg/kly</t>
  </si>
  <si>
    <t>U &lt;density&gt;</t>
  </si>
  <si>
    <t>kg/m3</t>
  </si>
  <si>
    <t>1ly</t>
  </si>
  <si>
    <t>a</t>
  </si>
  <si>
    <t>Kuc2</t>
  </si>
  <si>
    <t>l</t>
  </si>
  <si>
    <t>G</t>
  </si>
  <si>
    <t>N m2 / kg2</t>
  </si>
  <si>
    <t>d-du</t>
  </si>
  <si>
    <t>dragging</t>
  </si>
  <si>
    <t>dra smooth</t>
  </si>
  <si>
    <t>drag smooth</t>
  </si>
  <si>
    <t>ρu in eq. 43</t>
  </si>
  <si>
    <t>q</t>
  </si>
  <si>
    <t>speed smth</t>
  </si>
  <si>
    <t>bulge dens</t>
  </si>
  <si>
    <t>d-du [kg/m3]</t>
  </si>
  <si>
    <t>r(d-du) [kg/m2]</t>
  </si>
  <si>
    <t>in r(d-du) [kg/m]</t>
  </si>
  <si>
    <t>radius</t>
  </si>
  <si>
    <t>1/(8pi2)</t>
  </si>
  <si>
    <t>c_kms</t>
  </si>
  <si>
    <t>c_ms</t>
  </si>
  <si>
    <t>r [kly]</t>
  </si>
  <si>
    <t>dens [kg/m3]</t>
  </si>
  <si>
    <t>speed [km/s]</t>
  </si>
  <si>
    <t>kly</t>
  </si>
  <si>
    <t>fitting parameters of eq. 20-21</t>
  </si>
  <si>
    <t>bulge M81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</si>
</sst>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1" fontId="0" fillId="0" borderId="0" xfId="0" applyNumberFormat="1"/>
    <xf numFmtId="0" fontId="0" fillId="0" borderId="0" xfId="0" quotePrefix="1"/>
    <xf numFmtId="1" fontId="0" fillId="0" borderId="0" xfId="0" applyNumberFormat="1"/>
    <xf numFmtId="164" fontId="0" fillId="0" borderId="0" xfId="0" applyNumberFormat="1"/>
    <xf numFmtId="11" fontId="0" fillId="2" borderId="0" xfId="0" applyNumberFormat="1" applyFill="1"/>
    <xf numFmtId="2" fontId="0" fillId="0" borderId="0" xfId="0" applyNumberFormat="1"/>
    <xf numFmtId="11" fontId="0" fillId="0" borderId="1" xfId="0" applyNumberFormat="1" applyBorder="1"/>
    <xf numFmtId="2" fontId="0" fillId="3" borderId="0" xfId="0" applyNumberForma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11" fontId="0" fillId="2" borderId="3" xfId="0" applyNumberFormat="1" applyFill="1" applyBorder="1"/>
    <xf numFmtId="0" fontId="4" fillId="0" borderId="0" xfId="0" applyFont="1"/>
    <xf numFmtId="0" fontId="5" fillId="0" borderId="0" xfId="0" applyFont="1"/>
    <xf numFmtId="11" fontId="0" fillId="4" borderId="5" xfId="0" applyNumberFormat="1" applyFill="1" applyBorder="1"/>
    <xf numFmtId="11" fontId="0" fillId="4" borderId="6" xfId="0" applyNumberFormat="1" applyFill="1" applyBorder="1"/>
    <xf numFmtId="0" fontId="6" fillId="0" borderId="4" xfId="0" applyFont="1" applyBorder="1"/>
    <xf numFmtId="0" fontId="7" fillId="0" borderId="2" xfId="0" applyFont="1" applyBorder="1"/>
    <xf numFmtId="11" fontId="0" fillId="4" borderId="4" xfId="0" applyNumberFormat="1" applyFill="1" applyBorder="1"/>
    <xf numFmtId="11" fontId="0" fillId="5" borderId="4" xfId="0" applyNumberFormat="1" applyFill="1" applyBorder="1"/>
    <xf numFmtId="11" fontId="0" fillId="5" borderId="5" xfId="0" applyNumberFormat="1" applyFill="1" applyBorder="1"/>
    <xf numFmtId="11" fontId="0" fillId="5" borderId="6" xfId="0" applyNumberFormat="1" applyFill="1" applyBorder="1"/>
    <xf numFmtId="11" fontId="0" fillId="0" borderId="3" xfId="0" applyNumberFormat="1" applyBorder="1"/>
    <xf numFmtId="0" fontId="8" fillId="0" borderId="4" xfId="0" applyFont="1" applyBorder="1"/>
    <xf numFmtId="0" fontId="0" fillId="0" borderId="7" xfId="0" applyBorder="1"/>
    <xf numFmtId="11" fontId="0" fillId="0" borderId="9" xfId="0" applyNumberFormat="1" applyBorder="1"/>
    <xf numFmtId="11" fontId="0" fillId="0" borderId="10" xfId="0" applyNumberFormat="1" applyBorder="1"/>
    <xf numFmtId="11" fontId="0" fillId="0" borderId="11" xfId="0" applyNumberFormat="1" applyBorder="1"/>
    <xf numFmtId="11" fontId="0" fillId="0" borderId="12" xfId="0" applyNumberFormat="1" applyBorder="1"/>
    <xf numFmtId="11" fontId="0" fillId="0" borderId="0" xfId="0" applyNumberFormat="1" applyBorder="1"/>
    <xf numFmtId="11" fontId="0" fillId="0" borderId="13" xfId="0" applyNumberFormat="1" applyBorder="1"/>
    <xf numFmtId="0" fontId="0" fillId="0" borderId="8" xfId="0" applyBorder="1"/>
    <xf numFmtId="11" fontId="0" fillId="0" borderId="14" xfId="0" applyNumberFormat="1" applyBorder="1"/>
  </cellXfs>
  <cellStyles count="1">
    <cellStyle name="Normal" xfId="0" builtinId="0"/>
  </cellStyles>
  <dxfs count="2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'M31'!$K$1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'M31'!$J$3:$J$21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'M31'!$K$3:$K$21</c:f>
              <c:numCache>
                <c:formatCode>0.00E+00</c:formatCode>
                <c:ptCount val="19"/>
                <c:pt idx="0">
                  <c:v>8.1406721410114114E-23</c:v>
                </c:pt>
                <c:pt idx="1">
                  <c:v>2.0201673620893446E-22</c:v>
                </c:pt>
                <c:pt idx="2">
                  <c:v>1.2605055628200444E-22</c:v>
                </c:pt>
                <c:pt idx="3">
                  <c:v>2.9007280149669819E-23</c:v>
                </c:pt>
                <c:pt idx="4">
                  <c:v>3.2540331494489185E-24</c:v>
                </c:pt>
                <c:pt idx="5">
                  <c:v>1.9602277517378547E-25</c:v>
                </c:pt>
                <c:pt idx="6">
                  <c:v>7.5560744630608395E-27</c:v>
                </c:pt>
                <c:pt idx="7">
                  <c:v>1.0329842121069113E-27</c:v>
                </c:pt>
                <c:pt idx="8">
                  <c:v>8.5965940968719734E-28</c:v>
                </c:pt>
                <c:pt idx="9">
                  <c:v>8.1777284945457986E-28</c:v>
                </c:pt>
                <c:pt idx="10">
                  <c:v>7.8023052561295058E-28</c:v>
                </c:pt>
                <c:pt idx="11">
                  <c:v>7.4525607372252233E-28</c:v>
                </c:pt>
                <c:pt idx="12">
                  <c:v>7.1263587065579363E-28</c:v>
                </c:pt>
                <c:pt idx="13">
                  <c:v>6.8218863375710387E-28</c:v>
                </c:pt>
                <c:pt idx="14">
                  <c:v>6.5375078726327918E-28</c:v>
                </c:pt>
                <c:pt idx="15">
                  <c:v>6.2717398594285248E-28</c:v>
                </c:pt>
                <c:pt idx="16">
                  <c:v>6.023231688413675E-28</c:v>
                </c:pt>
                <c:pt idx="17">
                  <c:v>5.7907496566019486E-28</c:v>
                </c:pt>
                <c:pt idx="18">
                  <c:v>5.5731637094977525E-28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87-41DF-85DE-4135C417F681}"/>
            </c:ext>
          </c:extLst>
        </c:ser>
        <c:ser>
          <c:idx val="0"/>
          <c:order val="1"/>
          <c:tx>
            <c:strRef>
              <c:f>'M31'!$L$1</c:f>
              <c:strCache>
                <c:ptCount val="1"/>
                <c:pt idx="0">
                  <c:v>u</c:v>
                </c:pt>
              </c:strCache>
            </c:strRef>
          </c:tx>
          <c:spPr>
            <a:ln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'M31'!$J$3:$J$21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'M31'!$L$3:$L$21</c:f>
              <c:numCache>
                <c:formatCode>0.00E+00</c:formatCode>
                <c:ptCount val="19"/>
                <c:pt idx="0">
                  <c:v>2.2E-28</c:v>
                </c:pt>
                <c:pt idx="1">
                  <c:v>2.2E-28</c:v>
                </c:pt>
                <c:pt idx="2">
                  <c:v>2.2E-28</c:v>
                </c:pt>
                <c:pt idx="3">
                  <c:v>2.2E-28</c:v>
                </c:pt>
                <c:pt idx="4">
                  <c:v>2.2E-28</c:v>
                </c:pt>
                <c:pt idx="5">
                  <c:v>2.2E-28</c:v>
                </c:pt>
                <c:pt idx="6">
                  <c:v>2.2E-28</c:v>
                </c:pt>
                <c:pt idx="7">
                  <c:v>2.2E-28</c:v>
                </c:pt>
                <c:pt idx="8">
                  <c:v>2.2E-28</c:v>
                </c:pt>
                <c:pt idx="9">
                  <c:v>2.2E-28</c:v>
                </c:pt>
                <c:pt idx="10">
                  <c:v>2.2E-28</c:v>
                </c:pt>
                <c:pt idx="11">
                  <c:v>2.2E-28</c:v>
                </c:pt>
                <c:pt idx="12">
                  <c:v>2.2E-28</c:v>
                </c:pt>
                <c:pt idx="13">
                  <c:v>2.2E-28</c:v>
                </c:pt>
                <c:pt idx="14">
                  <c:v>2.2E-28</c:v>
                </c:pt>
                <c:pt idx="15">
                  <c:v>2.2E-28</c:v>
                </c:pt>
                <c:pt idx="16">
                  <c:v>2.2E-28</c:v>
                </c:pt>
                <c:pt idx="17">
                  <c:v>2.2E-28</c:v>
                </c:pt>
                <c:pt idx="18">
                  <c:v>2.2E-28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287-41DF-85DE-4135C417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26576"/>
        <c:axId val="658937616"/>
      </c:scatterChart>
      <c:valAx>
        <c:axId val="658926576"/>
        <c:scaling>
          <c:orientation val="minMax"/>
          <c:max val="1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37616"/>
        <c:crosses val="autoZero"/>
        <c:crossBetween val="midCat"/>
      </c:valAx>
      <c:valAx>
        <c:axId val="658937616"/>
        <c:scaling>
          <c:orientation val="minMax"/>
          <c:max val="2.2000000000000011E-9"/>
          <c:min val="8.0000000000000044E-10"/>
        </c:scaling>
        <c:delete val="0"/>
        <c:axPos val="l"/>
        <c:numFmt formatCode="0.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26576"/>
        <c:crossesAt val="113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parameters'!$P$1</c:f>
              <c:strCache>
                <c:ptCount val="1"/>
                <c:pt idx="0">
                  <c:v>speed [km/s]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'M101 &amp; fit parameters'!$N$2:$N$100</c:f>
              <c:numCache>
                <c:formatCode>General</c:formatCode>
                <c:ptCount val="99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'M101 &amp; fit parameters'!$O$2:$O$100</c:f>
              <c:numCache>
                <c:formatCode>0.00E+00</c:formatCode>
                <c:ptCount val="99"/>
                <c:pt idx="0" formatCode="General">
                  <c:v>1</c:v>
                </c:pt>
                <c:pt idx="1">
                  <c:v>43.175216142384805</c:v>
                </c:pt>
                <c:pt idx="2">
                  <c:v>83.029918802309581</c:v>
                </c:pt>
                <c:pt idx="3">
                  <c:v>117.45542096652434</c:v>
                </c:pt>
                <c:pt idx="4">
                  <c:v>145.27079462694354</c:v>
                </c:pt>
                <c:pt idx="5">
                  <c:v>166.12153279543423</c:v>
                </c:pt>
                <c:pt idx="6">
                  <c:v>180.57082695777063</c:v>
                </c:pt>
                <c:pt idx="7">
                  <c:v>189.79021744933917</c:v>
                </c:pt>
                <c:pt idx="8">
                  <c:v>195.18236401030259</c:v>
                </c:pt>
                <c:pt idx="9">
                  <c:v>198.05565887510124</c:v>
                </c:pt>
                <c:pt idx="10">
                  <c:v>199.42351602660881</c:v>
                </c:pt>
                <c:pt idx="11">
                  <c:v>199.9278941290633</c:v>
                </c:pt>
                <c:pt idx="12">
                  <c:v>199.82255906807501</c:v>
                </c:pt>
                <c:pt idx="13">
                  <c:v>198.99849462603123</c:v>
                </c:pt>
                <c:pt idx="14">
                  <c:v>197.30612226830794</c:v>
                </c:pt>
                <c:pt idx="15">
                  <c:v>195.09905051594336</c:v>
                </c:pt>
                <c:pt idx="16">
                  <c:v>193.05057194679608</c:v>
                </c:pt>
                <c:pt idx="17">
                  <c:v>191.4064695719785</c:v>
                </c:pt>
                <c:pt idx="18">
                  <c:v>189.95668928483897</c:v>
                </c:pt>
                <c:pt idx="19">
                  <c:v>188.87896534542179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7-41D1-AE93-4455259C599C}"/>
            </c:ext>
          </c:extLst>
        </c:ser>
        <c:ser>
          <c:idx val="1"/>
          <c:order val="1"/>
          <c:tx>
            <c:strRef>
              <c:f>'M101 &amp; fit parameters'!$Q$1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'M101 &amp; fit parameters'!$N$3:$N$100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'M101 &amp; fit parameters'!$P$3:$P$100</c:f>
              <c:numCache>
                <c:formatCode>0.00E+00</c:formatCode>
                <c:ptCount val="98"/>
                <c:pt idx="0">
                  <c:v>44.153119225641532</c:v>
                </c:pt>
                <c:pt idx="1">
                  <c:v>84.394626118256156</c:v>
                </c:pt>
                <c:pt idx="2">
                  <c:v>119.17730374708445</c:v>
                </c:pt>
                <c:pt idx="3">
                  <c:v>147.07245025367229</c:v>
                </c:pt>
                <c:pt idx="4">
                  <c:v>167.76097425334515</c:v>
                </c:pt>
                <c:pt idx="5">
                  <c:v>181.8917324213744</c:v>
                </c:pt>
                <c:pt idx="6">
                  <c:v>190.73886873498867</c:v>
                </c:pt>
                <c:pt idx="7">
                  <c:v>195.79139990600493</c:v>
                </c:pt>
                <c:pt idx="8">
                  <c:v>198.40778749421182</c:v>
                </c:pt>
                <c:pt idx="9">
                  <c:v>199.61566060597647</c:v>
                </c:pt>
                <c:pt idx="10">
                  <c:v>200.05495540027047</c:v>
                </c:pt>
                <c:pt idx="11">
                  <c:v>199.98600510973577</c:v>
                </c:pt>
                <c:pt idx="12">
                  <c:v>199.26327065255805</c:v>
                </c:pt>
                <c:pt idx="13">
                  <c:v>197.48143208927311</c:v>
                </c:pt>
                <c:pt idx="14">
                  <c:v>194.99835424212762</c:v>
                </c:pt>
                <c:pt idx="15">
                  <c:v>192.91806149024518</c:v>
                </c:pt>
                <c:pt idx="16">
                  <c:v>191.36781056456635</c:v>
                </c:pt>
                <c:pt idx="17">
                  <c:v>189.97219566853624</c:v>
                </c:pt>
                <c:pt idx="18">
                  <c:v>188.51455523771696</c:v>
                </c:pt>
                <c:pt idx="19">
                  <c:v>188.51455523771696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7-41D1-AE93-4455259C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5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59696"/>
        <c:crosses val="autoZero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parameters'!$P$1</c:f>
              <c:strCache>
                <c:ptCount val="1"/>
                <c:pt idx="0">
                  <c:v>speed [km/s]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'M101 &amp; fit parameters'!$N$3:$N$100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'M101 &amp; fit parameters'!$O$3:$O$100</c:f>
              <c:numCache>
                <c:formatCode>0.00E+00</c:formatCode>
                <c:ptCount val="98"/>
                <c:pt idx="0">
                  <c:v>43.175216142384805</c:v>
                </c:pt>
                <c:pt idx="1">
                  <c:v>83.029918802309581</c:v>
                </c:pt>
                <c:pt idx="2">
                  <c:v>117.45542096652434</c:v>
                </c:pt>
                <c:pt idx="3">
                  <c:v>145.27079462694354</c:v>
                </c:pt>
                <c:pt idx="4">
                  <c:v>166.12153279543423</c:v>
                </c:pt>
                <c:pt idx="5">
                  <c:v>180.57082695777063</c:v>
                </c:pt>
                <c:pt idx="6">
                  <c:v>189.79021744933917</c:v>
                </c:pt>
                <c:pt idx="7">
                  <c:v>195.18236401030259</c:v>
                </c:pt>
                <c:pt idx="8">
                  <c:v>198.05565887510124</c:v>
                </c:pt>
                <c:pt idx="9">
                  <c:v>199.42351602660881</c:v>
                </c:pt>
                <c:pt idx="10">
                  <c:v>199.9278941290633</c:v>
                </c:pt>
                <c:pt idx="11">
                  <c:v>199.82255906807501</c:v>
                </c:pt>
                <c:pt idx="12">
                  <c:v>198.99849462603123</c:v>
                </c:pt>
                <c:pt idx="13">
                  <c:v>197.30612226830794</c:v>
                </c:pt>
                <c:pt idx="14">
                  <c:v>195.09905051594336</c:v>
                </c:pt>
                <c:pt idx="15">
                  <c:v>193.05057194679608</c:v>
                </c:pt>
                <c:pt idx="16">
                  <c:v>191.4064695719785</c:v>
                </c:pt>
                <c:pt idx="17">
                  <c:v>189.95668928483897</c:v>
                </c:pt>
                <c:pt idx="18">
                  <c:v>188.87896534542179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53-43F2-979A-8F5CE3D575F5}"/>
            </c:ext>
          </c:extLst>
        </c:ser>
        <c:ser>
          <c:idx val="1"/>
          <c:order val="1"/>
          <c:tx>
            <c:strRef>
              <c:f>'M101 &amp; fit parameters'!$Q$1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'M101 &amp; fit parameters'!$N$3:$N$100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'M101 &amp; fit parameters'!$Q$3:$Q$100</c:f>
              <c:numCache>
                <c:formatCode>General</c:formatCode>
                <c:ptCount val="98"/>
                <c:pt idx="0">
                  <c:v>50</c:v>
                </c:pt>
                <c:pt idx="1">
                  <c:v>90</c:v>
                </c:pt>
                <c:pt idx="2">
                  <c:v>120</c:v>
                </c:pt>
                <c:pt idx="3">
                  <c:v>145</c:v>
                </c:pt>
                <c:pt idx="4">
                  <c:v>165</c:v>
                </c:pt>
                <c:pt idx="5">
                  <c:v>180</c:v>
                </c:pt>
                <c:pt idx="6">
                  <c:v>190</c:v>
                </c:pt>
                <c:pt idx="7">
                  <c:v>198</c:v>
                </c:pt>
                <c:pt idx="8">
                  <c:v>203</c:v>
                </c:pt>
                <c:pt idx="9">
                  <c:v>203</c:v>
                </c:pt>
                <c:pt idx="10">
                  <c:v>202</c:v>
                </c:pt>
                <c:pt idx="11">
                  <c:v>201</c:v>
                </c:pt>
                <c:pt idx="12">
                  <c:v>200</c:v>
                </c:pt>
                <c:pt idx="13">
                  <c:v>198</c:v>
                </c:pt>
                <c:pt idx="14">
                  <c:v>197</c:v>
                </c:pt>
                <c:pt idx="15">
                  <c:v>195</c:v>
                </c:pt>
                <c:pt idx="16">
                  <c:v>193</c:v>
                </c:pt>
                <c:pt idx="17">
                  <c:v>191</c:v>
                </c:pt>
                <c:pt idx="18">
                  <c:v>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3-43F2-979A-8F5CE3D575F5}"/>
            </c:ext>
          </c:extLst>
        </c:ser>
        <c:ser>
          <c:idx val="2"/>
          <c:order val="2"/>
          <c:tx>
            <c:strRef>
              <c:f>'M81'!$O$1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'M81'!$N$3:$N$21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'M81'!$O$3:$O$21</c:f>
              <c:numCache>
                <c:formatCode>0.00E+00</c:formatCode>
                <c:ptCount val="19"/>
                <c:pt idx="0">
                  <c:v>142.74022699484235</c:v>
                </c:pt>
                <c:pt idx="1">
                  <c:v>228.62121886640867</c:v>
                </c:pt>
                <c:pt idx="2">
                  <c:v>259.19929613194961</c:v>
                </c:pt>
                <c:pt idx="3">
                  <c:v>262.5358195127717</c:v>
                </c:pt>
                <c:pt idx="4">
                  <c:v>248.07519112862713</c:v>
                </c:pt>
                <c:pt idx="5">
                  <c:v>224.59018971926335</c:v>
                </c:pt>
                <c:pt idx="6">
                  <c:v>210.03119296098436</c:v>
                </c:pt>
                <c:pt idx="7">
                  <c:v>203.39837419527817</c:v>
                </c:pt>
                <c:pt idx="8">
                  <c:v>196.64171136797836</c:v>
                </c:pt>
                <c:pt idx="9">
                  <c:v>189.67236012256234</c:v>
                </c:pt>
                <c:pt idx="10">
                  <c:v>182.53811606556411</c:v>
                </c:pt>
                <c:pt idx="11">
                  <c:v>175.28961575762426</c:v>
                </c:pt>
                <c:pt idx="12">
                  <c:v>167.97827990476969</c:v>
                </c:pt>
                <c:pt idx="13">
                  <c:v>160.65459036518172</c:v>
                </c:pt>
                <c:pt idx="14">
                  <c:v>153.36659309654692</c:v>
                </c:pt>
                <c:pt idx="15">
                  <c:v>146.15868607306533</c:v>
                </c:pt>
                <c:pt idx="16">
                  <c:v>139.07072357385471</c:v>
                </c:pt>
                <c:pt idx="17">
                  <c:v>132.13743966685689</c:v>
                </c:pt>
                <c:pt idx="18">
                  <c:v>127.0246668498466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3-43F2-979A-8F5CE3D575F5}"/>
            </c:ext>
          </c:extLst>
        </c:ser>
        <c:ser>
          <c:idx val="3"/>
          <c:order val="3"/>
          <c:tx>
            <c:strRef>
              <c:f>'M81'!$Q$1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'M81'!$N$3:$N$21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'M81'!$Q$3:$Q$21</c:f>
              <c:numCache>
                <c:formatCode>General</c:formatCode>
                <c:ptCount val="19"/>
                <c:pt idx="0">
                  <c:v>166</c:v>
                </c:pt>
                <c:pt idx="1">
                  <c:v>223</c:v>
                </c:pt>
                <c:pt idx="2">
                  <c:v>255</c:v>
                </c:pt>
                <c:pt idx="3">
                  <c:v>260</c:v>
                </c:pt>
                <c:pt idx="4">
                  <c:v>253</c:v>
                </c:pt>
                <c:pt idx="5">
                  <c:v>237</c:v>
                </c:pt>
                <c:pt idx="6">
                  <c:v>220</c:v>
                </c:pt>
                <c:pt idx="7">
                  <c:v>210</c:v>
                </c:pt>
                <c:pt idx="8">
                  <c:v>198</c:v>
                </c:pt>
                <c:pt idx="9">
                  <c:v>187</c:v>
                </c:pt>
                <c:pt idx="10">
                  <c:v>178</c:v>
                </c:pt>
                <c:pt idx="11">
                  <c:v>168</c:v>
                </c:pt>
                <c:pt idx="12">
                  <c:v>160</c:v>
                </c:pt>
                <c:pt idx="13">
                  <c:v>153</c:v>
                </c:pt>
                <c:pt idx="14">
                  <c:v>150</c:v>
                </c:pt>
                <c:pt idx="15">
                  <c:v>147</c:v>
                </c:pt>
                <c:pt idx="16">
                  <c:v>144</c:v>
                </c:pt>
                <c:pt idx="17">
                  <c:v>142</c:v>
                </c:pt>
                <c:pt idx="18">
                  <c:v>141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753-43F2-979A-8F5CE3D575F5}"/>
            </c:ext>
          </c:extLst>
        </c:ser>
        <c:ser>
          <c:idx val="4"/>
          <c:order val="4"/>
          <c:tx>
            <c:strRef>
              <c:f>'M31'!$O$1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'M31'!$N$3:$N$21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'M31'!$O$3:$O$21</c:f>
              <c:numCache>
                <c:formatCode>0.00E+00</c:formatCode>
                <c:ptCount val="19"/>
                <c:pt idx="0">
                  <c:v>64.337157552128645</c:v>
                </c:pt>
                <c:pt idx="1">
                  <c:v>143.20671690798974</c:v>
                </c:pt>
                <c:pt idx="2">
                  <c:v>214.75986618709129</c:v>
                </c:pt>
                <c:pt idx="3">
                  <c:v>255.73395483090729</c:v>
                </c:pt>
                <c:pt idx="4">
                  <c:v>270.07236227887608</c:v>
                </c:pt>
                <c:pt idx="5">
                  <c:v>271.9591430954971</c:v>
                </c:pt>
                <c:pt idx="6">
                  <c:v>263.62453977140871</c:v>
                </c:pt>
                <c:pt idx="7">
                  <c:v>247.58324118445657</c:v>
                </c:pt>
                <c:pt idx="8">
                  <c:v>236.99686778354265</c:v>
                </c:pt>
                <c:pt idx="9">
                  <c:v>233.75714449848283</c:v>
                </c:pt>
                <c:pt idx="10">
                  <c:v>231.6605321271638</c:v>
                </c:pt>
                <c:pt idx="11">
                  <c:v>229.51639840234736</c:v>
                </c:pt>
                <c:pt idx="12">
                  <c:v>227.30624335374472</c:v>
                </c:pt>
                <c:pt idx="13">
                  <c:v>225.03028708446229</c:v>
                </c:pt>
                <c:pt idx="14">
                  <c:v>222.68919396943224</c:v>
                </c:pt>
                <c:pt idx="15">
                  <c:v>220.2839118843857</c:v>
                </c:pt>
                <c:pt idx="16">
                  <c:v>217.81566493515129</c:v>
                </c:pt>
                <c:pt idx="17">
                  <c:v>215.28594703986963</c:v>
                </c:pt>
                <c:pt idx="18">
                  <c:v>213.35843985558907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53-43F2-979A-8F5CE3D575F5}"/>
            </c:ext>
          </c:extLst>
        </c:ser>
        <c:ser>
          <c:idx val="5"/>
          <c:order val="5"/>
          <c:tx>
            <c:strRef>
              <c:f>'M31'!$Q$1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'M31'!$N$4:$N$21</c:f>
              <c:numCache>
                <c:formatCode>General</c:formatCode>
                <c:ptCount val="18"/>
                <c:pt idx="0">
                  <c:v>10.1</c:v>
                </c:pt>
                <c:pt idx="1">
                  <c:v>15.1</c:v>
                </c:pt>
                <c:pt idx="2">
                  <c:v>20.100000000000001</c:v>
                </c:pt>
                <c:pt idx="3">
                  <c:v>25.1</c:v>
                </c:pt>
                <c:pt idx="4">
                  <c:v>30.1</c:v>
                </c:pt>
                <c:pt idx="5">
                  <c:v>35.1</c:v>
                </c:pt>
                <c:pt idx="6">
                  <c:v>40.1</c:v>
                </c:pt>
                <c:pt idx="7">
                  <c:v>45.1</c:v>
                </c:pt>
                <c:pt idx="8">
                  <c:v>50.1</c:v>
                </c:pt>
                <c:pt idx="9">
                  <c:v>55.1</c:v>
                </c:pt>
                <c:pt idx="10">
                  <c:v>60.1</c:v>
                </c:pt>
                <c:pt idx="11">
                  <c:v>65.099999999999994</c:v>
                </c:pt>
                <c:pt idx="12">
                  <c:v>70.099999999999994</c:v>
                </c:pt>
                <c:pt idx="13">
                  <c:v>75.099999999999994</c:v>
                </c:pt>
                <c:pt idx="14">
                  <c:v>80.099999999999994</c:v>
                </c:pt>
                <c:pt idx="15">
                  <c:v>85.1</c:v>
                </c:pt>
                <c:pt idx="16">
                  <c:v>90.1</c:v>
                </c:pt>
                <c:pt idx="17">
                  <c:v>95.1</c:v>
                </c:pt>
              </c:numCache>
            </c:numRef>
          </c:xVal>
          <c:yVal>
            <c:numRef>
              <c:f>'M31'!$Q$4:$Q$21</c:f>
              <c:numCache>
                <c:formatCode>General</c:formatCode>
                <c:ptCount val="18"/>
                <c:pt idx="0">
                  <c:v>110</c:v>
                </c:pt>
                <c:pt idx="1">
                  <c:v>200</c:v>
                </c:pt>
                <c:pt idx="2">
                  <c:v>240</c:v>
                </c:pt>
                <c:pt idx="3">
                  <c:v>265</c:v>
                </c:pt>
                <c:pt idx="4">
                  <c:v>270</c:v>
                </c:pt>
                <c:pt idx="5">
                  <c:v>263</c:v>
                </c:pt>
                <c:pt idx="6">
                  <c:v>252</c:v>
                </c:pt>
                <c:pt idx="7">
                  <c:v>242</c:v>
                </c:pt>
                <c:pt idx="8">
                  <c:v>232</c:v>
                </c:pt>
                <c:pt idx="9">
                  <c:v>225</c:v>
                </c:pt>
                <c:pt idx="10">
                  <c:v>222</c:v>
                </c:pt>
                <c:pt idx="11">
                  <c:v>221</c:v>
                </c:pt>
                <c:pt idx="12">
                  <c:v>220</c:v>
                </c:pt>
                <c:pt idx="13">
                  <c:v>219</c:v>
                </c:pt>
                <c:pt idx="14">
                  <c:v>218</c:v>
                </c:pt>
                <c:pt idx="15">
                  <c:v>217</c:v>
                </c:pt>
                <c:pt idx="16">
                  <c:v>216</c:v>
                </c:pt>
                <c:pt idx="17">
                  <c:v>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753-43F2-979A-8F5CE3D575F5}"/>
            </c:ext>
          </c:extLst>
        </c:ser>
        <c:ser>
          <c:idx val="6"/>
          <c:order val="6"/>
          <c:tx>
            <c:strRef>
              <c:f>'M31 with &amp; without universe'!$O$1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'M31 with &amp; without universe'!$N$3:$N$21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universe'!$O$3:$O$21</c:f>
              <c:numCache>
                <c:formatCode>0.00E+00</c:formatCode>
                <c:ptCount val="19"/>
                <c:pt idx="0">
                  <c:v>64.337215025458647</c:v>
                </c:pt>
                <c:pt idx="1">
                  <c:v>143.20682456757905</c:v>
                </c:pt>
                <c:pt idx="2">
                  <c:v>214.76023349631177</c:v>
                </c:pt>
                <c:pt idx="3">
                  <c:v>255.73680217583973</c:v>
                </c:pt>
                <c:pt idx="4">
                  <c:v>270.11556554974646</c:v>
                </c:pt>
                <c:pt idx="5">
                  <c:v>273.04053438461551</c:v>
                </c:pt>
                <c:pt idx="6">
                  <c:v>273.38150500701624</c:v>
                </c:pt>
                <c:pt idx="7">
                  <c:v>273.40458265756553</c:v>
                </c:pt>
                <c:pt idx="8">
                  <c:v>273.4061852722441</c:v>
                </c:pt>
                <c:pt idx="9">
                  <c:v>273.40700003916828</c:v>
                </c:pt>
                <c:pt idx="10">
                  <c:v>273.40782501904357</c:v>
                </c:pt>
                <c:pt idx="11">
                  <c:v>273.4086719428758</c:v>
                </c:pt>
                <c:pt idx="12">
                  <c:v>273.40953535484027</c:v>
                </c:pt>
                <c:pt idx="13">
                  <c:v>273.41041020803095</c:v>
                </c:pt>
                <c:pt idx="14">
                  <c:v>273.41129203854916</c:v>
                </c:pt>
                <c:pt idx="15">
                  <c:v>273.41217690814426</c:v>
                </c:pt>
                <c:pt idx="16">
                  <c:v>273.41306135119083</c:v>
                </c:pt>
                <c:pt idx="17">
                  <c:v>273.41394232717363</c:v>
                </c:pt>
                <c:pt idx="18">
                  <c:v>273.41460045029856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7B-4D4F-ACD7-6E5BB8A8F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10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59696"/>
        <c:crosses val="autoZero"/>
        <c:crossBetween val="midCat"/>
        <c:minorUnit val="25"/>
      </c:valAx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'M31 with &amp; without universe'!$K$1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'M31 with &amp; without universe'!$J$3:$J$21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universe'!$K$3:$K$21</c:f>
              <c:numCache>
                <c:formatCode>0.00E+00</c:formatCode>
                <c:ptCount val="19"/>
                <c:pt idx="0">
                  <c:v>8.1406721410114114E-23</c:v>
                </c:pt>
                <c:pt idx="1">
                  <c:v>2.0201673620893446E-22</c:v>
                </c:pt>
                <c:pt idx="2">
                  <c:v>1.2605055628200444E-22</c:v>
                </c:pt>
                <c:pt idx="3">
                  <c:v>2.9007280149669819E-23</c:v>
                </c:pt>
                <c:pt idx="4">
                  <c:v>3.2540331494489185E-24</c:v>
                </c:pt>
                <c:pt idx="5">
                  <c:v>1.9602277517378547E-25</c:v>
                </c:pt>
                <c:pt idx="6">
                  <c:v>7.5560744630608395E-27</c:v>
                </c:pt>
                <c:pt idx="7">
                  <c:v>1.0329842121069113E-27</c:v>
                </c:pt>
                <c:pt idx="8">
                  <c:v>8.5965940968719734E-28</c:v>
                </c:pt>
                <c:pt idx="9">
                  <c:v>8.1777284945457986E-28</c:v>
                </c:pt>
                <c:pt idx="10">
                  <c:v>7.8023052561295058E-28</c:v>
                </c:pt>
                <c:pt idx="11">
                  <c:v>7.4525607372252233E-28</c:v>
                </c:pt>
                <c:pt idx="12">
                  <c:v>7.1263587065579363E-28</c:v>
                </c:pt>
                <c:pt idx="13">
                  <c:v>6.8218863375710387E-28</c:v>
                </c:pt>
                <c:pt idx="14">
                  <c:v>6.5375078726327918E-28</c:v>
                </c:pt>
                <c:pt idx="15">
                  <c:v>6.2717398594285248E-28</c:v>
                </c:pt>
                <c:pt idx="16">
                  <c:v>6.023231688413675E-28</c:v>
                </c:pt>
                <c:pt idx="17">
                  <c:v>5.7907496566019486E-28</c:v>
                </c:pt>
                <c:pt idx="18">
                  <c:v>5.5731637094977525E-28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F3-4C79-B276-27957C2724DD}"/>
            </c:ext>
          </c:extLst>
        </c:ser>
        <c:ser>
          <c:idx val="0"/>
          <c:order val="1"/>
          <c:tx>
            <c:strRef>
              <c:f>'M31 with &amp; without universe'!$L$1</c:f>
              <c:strCache>
                <c:ptCount val="1"/>
                <c:pt idx="0">
                  <c:v>u</c:v>
                </c:pt>
              </c:strCache>
            </c:strRef>
          </c:tx>
          <c:spPr>
            <a:ln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'M31 with &amp; without universe'!$J$3:$J$21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universe'!$L$3:$L$21</c:f>
              <c:numCache>
                <c:formatCode>0.00E+00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F3-4C79-B276-27957C27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26576"/>
        <c:axId val="658937616"/>
      </c:scatterChart>
      <c:valAx>
        <c:axId val="658926576"/>
        <c:scaling>
          <c:orientation val="minMax"/>
          <c:max val="1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37616"/>
        <c:crosses val="autoZero"/>
        <c:crossBetween val="midCat"/>
      </c:valAx>
      <c:valAx>
        <c:axId val="658937616"/>
        <c:scaling>
          <c:orientation val="minMax"/>
          <c:max val="2.2000000000000011E-9"/>
          <c:min val="8.0000000000000044E-10"/>
        </c:scaling>
        <c:delete val="0"/>
        <c:axPos val="l"/>
        <c:numFmt formatCode="0.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26576"/>
        <c:crossesAt val="113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'M31 with &amp; without universe'!$O$1</c:f>
              <c:strCache>
                <c:ptCount val="1"/>
                <c:pt idx="0">
                  <c:v>speed smth</c:v>
                </c:pt>
              </c:strCache>
            </c:strRef>
          </c:tx>
          <c:marker>
            <c:symbol val="none"/>
          </c:marker>
          <c:xVal>
            <c:numRef>
              <c:f>'M31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universe'!$O$3:$O$100</c:f>
              <c:numCache>
                <c:formatCode>0.00E+00</c:formatCode>
                <c:ptCount val="98"/>
                <c:pt idx="0">
                  <c:v>64.337215025458647</c:v>
                </c:pt>
                <c:pt idx="1">
                  <c:v>143.20682456757905</c:v>
                </c:pt>
                <c:pt idx="2">
                  <c:v>214.76023349631177</c:v>
                </c:pt>
                <c:pt idx="3">
                  <c:v>255.73680217583973</c:v>
                </c:pt>
                <c:pt idx="4">
                  <c:v>270.11556554974646</c:v>
                </c:pt>
                <c:pt idx="5">
                  <c:v>273.04053438461551</c:v>
                </c:pt>
                <c:pt idx="6">
                  <c:v>273.38150500701624</c:v>
                </c:pt>
                <c:pt idx="7">
                  <c:v>273.40458265756553</c:v>
                </c:pt>
                <c:pt idx="8">
                  <c:v>273.4061852722441</c:v>
                </c:pt>
                <c:pt idx="9">
                  <c:v>273.40700003916828</c:v>
                </c:pt>
                <c:pt idx="10">
                  <c:v>273.40782501904357</c:v>
                </c:pt>
                <c:pt idx="11">
                  <c:v>273.4086719428758</c:v>
                </c:pt>
                <c:pt idx="12">
                  <c:v>273.40953535484027</c:v>
                </c:pt>
                <c:pt idx="13">
                  <c:v>273.41041020803095</c:v>
                </c:pt>
                <c:pt idx="14">
                  <c:v>273.41129203854916</c:v>
                </c:pt>
                <c:pt idx="15">
                  <c:v>273.41217690814426</c:v>
                </c:pt>
                <c:pt idx="16">
                  <c:v>273.41306135119083</c:v>
                </c:pt>
                <c:pt idx="17">
                  <c:v>273.41394232717363</c:v>
                </c:pt>
                <c:pt idx="18">
                  <c:v>273.41460045029856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4A-4796-B958-08906152EF74}"/>
            </c:ext>
          </c:extLst>
        </c:ser>
        <c:ser>
          <c:idx val="1"/>
          <c:order val="1"/>
          <c:tx>
            <c:strRef>
              <c:f>'M31 with &amp; without universe'!$Q$1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'M31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universe'!$P$3:$P$100</c:f>
              <c:numCache>
                <c:formatCode>0.00E+00</c:formatCode>
                <c:ptCount val="98"/>
                <c:pt idx="0">
                  <c:v>55.634654800632582</c:v>
                </c:pt>
                <c:pt idx="1">
                  <c:v>146.07955050056944</c:v>
                </c:pt>
                <c:pt idx="2">
                  <c:v>225.03354246854477</c:v>
                </c:pt>
                <c:pt idx="3">
                  <c:v>262.89429854758816</c:v>
                </c:pt>
                <c:pt idx="4">
                  <c:v>272.12506913963784</c:v>
                </c:pt>
                <c:pt idx="5">
                  <c:v>273.31782537212206</c:v>
                </c:pt>
                <c:pt idx="6">
                  <c:v>273.40141765458003</c:v>
                </c:pt>
                <c:pt idx="7">
                  <c:v>273.40535934678297</c:v>
                </c:pt>
                <c:pt idx="8">
                  <c:v>273.40619428211613</c:v>
                </c:pt>
                <c:pt idx="9">
                  <c:v>273.40699317796117</c:v>
                </c:pt>
                <c:pt idx="10">
                  <c:v>273.40781951863465</c:v>
                </c:pt>
                <c:pt idx="11">
                  <c:v>273.40866786094364</c:v>
                </c:pt>
                <c:pt idx="12">
                  <c:v>273.40953253098144</c:v>
                </c:pt>
                <c:pt idx="13">
                  <c:v>273.41040849645452</c:v>
                </c:pt>
                <c:pt idx="14">
                  <c:v>273.41129130823327</c:v>
                </c:pt>
                <c:pt idx="15">
                  <c:v>273.41217704127547</c:v>
                </c:pt>
                <c:pt idx="16">
                  <c:v>273.41306224179277</c:v>
                </c:pt>
                <c:pt idx="17">
                  <c:v>273.41394387990221</c:v>
                </c:pt>
                <c:pt idx="18">
                  <c:v>273.41481930709739</c:v>
                </c:pt>
                <c:pt idx="19">
                  <c:v>273.41481930709739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4A-4796-B958-08906152E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5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59696"/>
        <c:crosses val="autoZero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'M31 with &amp; without universe'!$O$1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'M31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universe'!$O$3:$O$100</c:f>
              <c:numCache>
                <c:formatCode>0.00E+00</c:formatCode>
                <c:ptCount val="98"/>
                <c:pt idx="0">
                  <c:v>64.337215025458647</c:v>
                </c:pt>
                <c:pt idx="1">
                  <c:v>143.20682456757905</c:v>
                </c:pt>
                <c:pt idx="2">
                  <c:v>214.76023349631177</c:v>
                </c:pt>
                <c:pt idx="3">
                  <c:v>255.73680217583973</c:v>
                </c:pt>
                <c:pt idx="4">
                  <c:v>270.11556554974646</c:v>
                </c:pt>
                <c:pt idx="5">
                  <c:v>273.04053438461551</c:v>
                </c:pt>
                <c:pt idx="6">
                  <c:v>273.38150500701624</c:v>
                </c:pt>
                <c:pt idx="7">
                  <c:v>273.40458265756553</c:v>
                </c:pt>
                <c:pt idx="8">
                  <c:v>273.4061852722441</c:v>
                </c:pt>
                <c:pt idx="9">
                  <c:v>273.40700003916828</c:v>
                </c:pt>
                <c:pt idx="10">
                  <c:v>273.40782501904357</c:v>
                </c:pt>
                <c:pt idx="11">
                  <c:v>273.4086719428758</c:v>
                </c:pt>
                <c:pt idx="12">
                  <c:v>273.40953535484027</c:v>
                </c:pt>
                <c:pt idx="13">
                  <c:v>273.41041020803095</c:v>
                </c:pt>
                <c:pt idx="14">
                  <c:v>273.41129203854916</c:v>
                </c:pt>
                <c:pt idx="15">
                  <c:v>273.41217690814426</c:v>
                </c:pt>
                <c:pt idx="16">
                  <c:v>273.41306135119083</c:v>
                </c:pt>
                <c:pt idx="17">
                  <c:v>273.41394232717363</c:v>
                </c:pt>
                <c:pt idx="18">
                  <c:v>273.41460045029856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E4-46F2-9AE0-2C02962561CA}"/>
            </c:ext>
          </c:extLst>
        </c:ser>
        <c:ser>
          <c:idx val="1"/>
          <c:order val="1"/>
          <c:tx>
            <c:strRef>
              <c:f>'M31 with &amp; without universe'!$Q$1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'M31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 with &amp; without universe'!$Q$3:$Q$100</c:f>
              <c:numCache>
                <c:formatCode>General</c:formatCode>
                <c:ptCount val="98"/>
                <c:pt idx="0">
                  <c:v>50</c:v>
                </c:pt>
                <c:pt idx="1">
                  <c:v>110</c:v>
                </c:pt>
                <c:pt idx="2">
                  <c:v>200</c:v>
                </c:pt>
                <c:pt idx="3">
                  <c:v>240</c:v>
                </c:pt>
                <c:pt idx="4">
                  <c:v>265</c:v>
                </c:pt>
                <c:pt idx="5">
                  <c:v>270</c:v>
                </c:pt>
                <c:pt idx="6">
                  <c:v>263</c:v>
                </c:pt>
                <c:pt idx="7">
                  <c:v>252</c:v>
                </c:pt>
                <c:pt idx="8">
                  <c:v>242</c:v>
                </c:pt>
                <c:pt idx="9">
                  <c:v>232</c:v>
                </c:pt>
                <c:pt idx="10">
                  <c:v>225</c:v>
                </c:pt>
                <c:pt idx="11">
                  <c:v>222</c:v>
                </c:pt>
                <c:pt idx="12">
                  <c:v>221</c:v>
                </c:pt>
                <c:pt idx="13">
                  <c:v>220</c:v>
                </c:pt>
                <c:pt idx="14">
                  <c:v>219</c:v>
                </c:pt>
                <c:pt idx="15">
                  <c:v>218</c:v>
                </c:pt>
                <c:pt idx="16">
                  <c:v>217</c:v>
                </c:pt>
                <c:pt idx="17">
                  <c:v>216</c:v>
                </c:pt>
                <c:pt idx="18">
                  <c:v>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E4-46F2-9AE0-2C02962561CA}"/>
            </c:ext>
          </c:extLst>
        </c:ser>
        <c:ser>
          <c:idx val="2"/>
          <c:order val="2"/>
          <c:tx>
            <c:strRef>
              <c:f>'M31'!$O$1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'M31'!$N$2:$N$21</c:f>
              <c:numCache>
                <c:formatCode>General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'M31'!$O$2:$O$21</c:f>
              <c:numCache>
                <c:formatCode>0.00E+00</c:formatCode>
                <c:ptCount val="20"/>
                <c:pt idx="0" formatCode="General">
                  <c:v>1</c:v>
                </c:pt>
                <c:pt idx="1">
                  <c:v>64.337157552128645</c:v>
                </c:pt>
                <c:pt idx="2">
                  <c:v>143.20671690798974</c:v>
                </c:pt>
                <c:pt idx="3">
                  <c:v>214.75986618709129</c:v>
                </c:pt>
                <c:pt idx="4">
                  <c:v>255.73395483090729</c:v>
                </c:pt>
                <c:pt idx="5">
                  <c:v>270.07236227887608</c:v>
                </c:pt>
                <c:pt idx="6">
                  <c:v>271.9591430954971</c:v>
                </c:pt>
                <c:pt idx="7">
                  <c:v>263.62453977140871</c:v>
                </c:pt>
                <c:pt idx="8">
                  <c:v>247.58324118445657</c:v>
                </c:pt>
                <c:pt idx="9">
                  <c:v>236.99686778354265</c:v>
                </c:pt>
                <c:pt idx="10">
                  <c:v>233.75714449848283</c:v>
                </c:pt>
                <c:pt idx="11">
                  <c:v>231.6605321271638</c:v>
                </c:pt>
                <c:pt idx="12">
                  <c:v>229.51639840234736</c:v>
                </c:pt>
                <c:pt idx="13">
                  <c:v>227.30624335374472</c:v>
                </c:pt>
                <c:pt idx="14">
                  <c:v>225.03028708446229</c:v>
                </c:pt>
                <c:pt idx="15">
                  <c:v>222.68919396943224</c:v>
                </c:pt>
                <c:pt idx="16">
                  <c:v>220.2839118843857</c:v>
                </c:pt>
                <c:pt idx="17">
                  <c:v>217.81566493515129</c:v>
                </c:pt>
                <c:pt idx="18">
                  <c:v>215.28594703986963</c:v>
                </c:pt>
                <c:pt idx="19">
                  <c:v>213.35843985558907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E4-46F2-9AE0-2C029625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10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59696"/>
        <c:crosses val="autoZero"/>
        <c:crossBetween val="midCat"/>
        <c:minorUnit val="25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parameters'!$D$1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'M101 &amp; fit parameters'!$A$2:$A$21</c:f>
              <c:numCache>
                <c:formatCode>0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'M101 &amp; fit parameters'!$D$2:$D$21</c:f>
              <c:numCache>
                <c:formatCode>0.00E+00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74-4CF7-B38F-65967EE8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57456"/>
        <c:axId val="133976176"/>
      </c:scatterChart>
      <c:valAx>
        <c:axId val="13395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76176"/>
        <c:crosses val="autoZero"/>
        <c:crossBetween val="midCat"/>
      </c:valAx>
      <c:valAx>
        <c:axId val="1339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20245398773006E-2"/>
          <c:y val="4.9109722222222221E-2"/>
          <c:w val="0.9326475800954328"/>
          <c:h val="0.8973907407407407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'M81 with &amp; without universe'!$K$1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'M81 with &amp; without universe'!$J$3:$J$21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 with &amp; without universe'!$K$3:$K$21</c:f>
              <c:numCache>
                <c:formatCode>0.00E+00</c:formatCode>
                <c:ptCount val="19"/>
                <c:pt idx="0">
                  <c:v>6.0969055093900761E-22</c:v>
                </c:pt>
                <c:pt idx="1">
                  <c:v>1.2453615490290174E-22</c:v>
                </c:pt>
                <c:pt idx="2">
                  <c:v>8.9473333690961202E-24</c:v>
                </c:pt>
                <c:pt idx="3">
                  <c:v>2.2685971579889155E-25</c:v>
                </c:pt>
                <c:pt idx="4">
                  <c:v>2.7363114739541892E-27</c:v>
                </c:pt>
                <c:pt idx="5">
                  <c:v>6.5560233304643411E-28</c:v>
                </c:pt>
                <c:pt idx="6">
                  <c:v>5.8467725874936346E-28</c:v>
                </c:pt>
                <c:pt idx="7">
                  <c:v>5.3094502956923585E-28</c:v>
                </c:pt>
                <c:pt idx="8">
                  <c:v>4.8600774754495023E-28</c:v>
                </c:pt>
                <c:pt idx="9">
                  <c:v>4.4821739211280367E-28</c:v>
                </c:pt>
                <c:pt idx="10">
                  <c:v>4.1629211320552741E-28</c:v>
                </c:pt>
                <c:pt idx="11">
                  <c:v>3.8921573612435205E-28</c:v>
                </c:pt>
                <c:pt idx="12">
                  <c:v>3.6617307191964268E-28</c:v>
                </c:pt>
                <c:pt idx="13">
                  <c:v>3.4650376199605189E-28</c:v>
                </c:pt>
                <c:pt idx="14">
                  <c:v>3.2966849214509501E-28</c:v>
                </c:pt>
                <c:pt idx="15">
                  <c:v>3.1522374054431138E-28</c:v>
                </c:pt>
                <c:pt idx="16">
                  <c:v>3.0280257588892891E-28</c:v>
                </c:pt>
                <c:pt idx="17">
                  <c:v>2.9209984315951199E-28</c:v>
                </c:pt>
                <c:pt idx="18">
                  <c:v>2.8286059288304423E-28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03-4C15-908E-8F3E9D456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26576"/>
        <c:axId val="658937616"/>
      </c:scatterChart>
      <c:valAx>
        <c:axId val="658926576"/>
        <c:scaling>
          <c:orientation val="minMax"/>
          <c:max val="1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37616"/>
        <c:crosses val="autoZero"/>
        <c:crossBetween val="midCat"/>
      </c:valAx>
      <c:valAx>
        <c:axId val="658937616"/>
        <c:scaling>
          <c:orientation val="minMax"/>
          <c:max val="2.2000000000000011E-9"/>
          <c:min val="8.0000000000000044E-10"/>
        </c:scaling>
        <c:delete val="0"/>
        <c:axPos val="l"/>
        <c:numFmt formatCode="0.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26576"/>
        <c:crossesAt val="113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'M81 with &amp; without universe'!$O$1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'M81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 with &amp; without universe'!$O$3:$O$100</c:f>
              <c:numCache>
                <c:formatCode>0.00E+00</c:formatCode>
                <c:ptCount val="98"/>
                <c:pt idx="0">
                  <c:v>142.74029552445114</c:v>
                </c:pt>
                <c:pt idx="1">
                  <c:v>228.6221447058665</c:v>
                </c:pt>
                <c:pt idx="2">
                  <c:v>259.23320025915672</c:v>
                </c:pt>
                <c:pt idx="3">
                  <c:v>265.32904049982534</c:v>
                </c:pt>
                <c:pt idx="4">
                  <c:v>265.85134546822718</c:v>
                </c:pt>
                <c:pt idx="5">
                  <c:v>265.86810437498832</c:v>
                </c:pt>
                <c:pt idx="6">
                  <c:v>265.86864009743789</c:v>
                </c:pt>
                <c:pt idx="7">
                  <c:v>265.8689926105269</c:v>
                </c:pt>
                <c:pt idx="8">
                  <c:v>265.86933365035668</c:v>
                </c:pt>
                <c:pt idx="9">
                  <c:v>265.8696605255094</c:v>
                </c:pt>
                <c:pt idx="10">
                  <c:v>265.86997111692153</c:v>
                </c:pt>
                <c:pt idx="11">
                  <c:v>265.87026421185249</c:v>
                </c:pt>
                <c:pt idx="12">
                  <c:v>265.87053926298483</c:v>
                </c:pt>
                <c:pt idx="13">
                  <c:v>265.87079620728468</c:v>
                </c:pt>
                <c:pt idx="14">
                  <c:v>265.87103532958076</c:v>
                </c:pt>
                <c:pt idx="15">
                  <c:v>265.87125715954153</c:v>
                </c:pt>
                <c:pt idx="16">
                  <c:v>265.87146239382315</c:v>
                </c:pt>
                <c:pt idx="17">
                  <c:v>265.87165183732429</c:v>
                </c:pt>
                <c:pt idx="18">
                  <c:v>265.87178629097644</c:v>
                </c:pt>
                <c:pt idx="22">
                  <c:v>8.3945199051564325E-7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33-4788-A26A-F2D652257ADA}"/>
            </c:ext>
          </c:extLst>
        </c:ser>
        <c:ser>
          <c:idx val="1"/>
          <c:order val="1"/>
          <c:tx>
            <c:strRef>
              <c:f>'M81 with &amp; without universe'!$Q$1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'M81 with &amp; without universe'!$N$2:$N$100</c:f>
              <c:numCache>
                <c:formatCode>General</c:formatCode>
                <c:ptCount val="99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 with &amp; without universe'!$P$2:$P$100</c:f>
              <c:numCache>
                <c:formatCode>0.00E+00</c:formatCode>
                <c:ptCount val="99"/>
                <c:pt idx="0">
                  <c:v>0</c:v>
                </c:pt>
                <c:pt idx="1">
                  <c:v>163.75912931524095</c:v>
                </c:pt>
                <c:pt idx="2">
                  <c:v>243.44292346732266</c:v>
                </c:pt>
                <c:pt idx="3">
                  <c:v>263.84360257357974</c:v>
                </c:pt>
                <c:pt idx="4">
                  <c:v>265.80267242214478</c:v>
                </c:pt>
                <c:pt idx="5">
                  <c:v>265.86721458143217</c:v>
                </c:pt>
                <c:pt idx="6">
                  <c:v>265.86828028789955</c:v>
                </c:pt>
                <c:pt idx="7">
                  <c:v>265.86864234272213</c:v>
                </c:pt>
                <c:pt idx="8">
                  <c:v>265.86899541640776</c:v>
                </c:pt>
                <c:pt idx="9">
                  <c:v>265.86933726656991</c:v>
                </c:pt>
                <c:pt idx="10">
                  <c:v>265.86966465187908</c:v>
                </c:pt>
                <c:pt idx="11">
                  <c:v>265.86997553170954</c:v>
                </c:pt>
                <c:pt idx="12">
                  <c:v>265.87026875238809</c:v>
                </c:pt>
                <c:pt idx="13">
                  <c:v>265.87054381092423</c:v>
                </c:pt>
                <c:pt idx="14">
                  <c:v>265.8708006777029</c:v>
                </c:pt>
                <c:pt idx="15">
                  <c:v>265.87103966280858</c:v>
                </c:pt>
                <c:pt idx="16">
                  <c:v>265.87126131500298</c:v>
                </c:pt>
                <c:pt idx="17">
                  <c:v>265.87146634535168</c:v>
                </c:pt>
                <c:pt idx="18">
                  <c:v>265.87165556958621</c:v>
                </c:pt>
                <c:pt idx="19">
                  <c:v>265.87182986477319</c:v>
                </c:pt>
                <c:pt idx="20">
                  <c:v>265.87182986477319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33-4788-A26A-F2D65225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5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59696"/>
        <c:crosses val="autoZero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'M81 with &amp; without universe'!$O$1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'M81 with &amp; without universe'!$N$3:$N$100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 with &amp; without universe'!$O$3:$O$100</c:f>
              <c:numCache>
                <c:formatCode>0.00E+00</c:formatCode>
                <c:ptCount val="98"/>
                <c:pt idx="0">
                  <c:v>142.74029552445114</c:v>
                </c:pt>
                <c:pt idx="1">
                  <c:v>228.6221447058665</c:v>
                </c:pt>
                <c:pt idx="2">
                  <c:v>259.23320025915672</c:v>
                </c:pt>
                <c:pt idx="3">
                  <c:v>265.32904049982534</c:v>
                </c:pt>
                <c:pt idx="4">
                  <c:v>265.85134546822718</c:v>
                </c:pt>
                <c:pt idx="5">
                  <c:v>265.86810437498832</c:v>
                </c:pt>
                <c:pt idx="6">
                  <c:v>265.86864009743789</c:v>
                </c:pt>
                <c:pt idx="7">
                  <c:v>265.8689926105269</c:v>
                </c:pt>
                <c:pt idx="8">
                  <c:v>265.86933365035668</c:v>
                </c:pt>
                <c:pt idx="9">
                  <c:v>265.8696605255094</c:v>
                </c:pt>
                <c:pt idx="10">
                  <c:v>265.86997111692153</c:v>
                </c:pt>
                <c:pt idx="11">
                  <c:v>265.87026421185249</c:v>
                </c:pt>
                <c:pt idx="12">
                  <c:v>265.87053926298483</c:v>
                </c:pt>
                <c:pt idx="13">
                  <c:v>265.87079620728468</c:v>
                </c:pt>
                <c:pt idx="14">
                  <c:v>265.87103532958076</c:v>
                </c:pt>
                <c:pt idx="15">
                  <c:v>265.87125715954153</c:v>
                </c:pt>
                <c:pt idx="16">
                  <c:v>265.87146239382315</c:v>
                </c:pt>
                <c:pt idx="17">
                  <c:v>265.87165183732429</c:v>
                </c:pt>
                <c:pt idx="18">
                  <c:v>265.87178629097644</c:v>
                </c:pt>
                <c:pt idx="22">
                  <c:v>8.3945199051564325E-7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A-4ADA-99B9-A0C7BE937FAB}"/>
            </c:ext>
          </c:extLst>
        </c:ser>
        <c:ser>
          <c:idx val="1"/>
          <c:order val="1"/>
          <c:tx>
            <c:strRef>
              <c:f>'M81 with &amp; without universe'!$Q$1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'M81 with &amp; without universe'!$N$2:$N$100</c:f>
              <c:numCache>
                <c:formatCode>General</c:formatCode>
                <c:ptCount val="99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 with &amp; without universe'!$Q$2:$Q$100</c:f>
              <c:numCache>
                <c:formatCode>General</c:formatCode>
                <c:ptCount val="99"/>
                <c:pt idx="0">
                  <c:v>0</c:v>
                </c:pt>
                <c:pt idx="1">
                  <c:v>166</c:v>
                </c:pt>
                <c:pt idx="2">
                  <c:v>223</c:v>
                </c:pt>
                <c:pt idx="3">
                  <c:v>255</c:v>
                </c:pt>
                <c:pt idx="4">
                  <c:v>260</c:v>
                </c:pt>
                <c:pt idx="5">
                  <c:v>253</c:v>
                </c:pt>
                <c:pt idx="6">
                  <c:v>237</c:v>
                </c:pt>
                <c:pt idx="7">
                  <c:v>220</c:v>
                </c:pt>
                <c:pt idx="8">
                  <c:v>210</c:v>
                </c:pt>
                <c:pt idx="9">
                  <c:v>198</c:v>
                </c:pt>
                <c:pt idx="10">
                  <c:v>187</c:v>
                </c:pt>
                <c:pt idx="11">
                  <c:v>178</c:v>
                </c:pt>
                <c:pt idx="12">
                  <c:v>168</c:v>
                </c:pt>
                <c:pt idx="13">
                  <c:v>160</c:v>
                </c:pt>
                <c:pt idx="14">
                  <c:v>153</c:v>
                </c:pt>
                <c:pt idx="15">
                  <c:v>150</c:v>
                </c:pt>
                <c:pt idx="16">
                  <c:v>147</c:v>
                </c:pt>
                <c:pt idx="17">
                  <c:v>144</c:v>
                </c:pt>
                <c:pt idx="18">
                  <c:v>142</c:v>
                </c:pt>
                <c:pt idx="19">
                  <c:v>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A-4ADA-99B9-A0C7BE937FAB}"/>
            </c:ext>
          </c:extLst>
        </c:ser>
        <c:ser>
          <c:idx val="2"/>
          <c:order val="2"/>
          <c:tx>
            <c:strRef>
              <c:f>'M81'!$O$1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'M81'!$N$2:$N$21</c:f>
              <c:numCache>
                <c:formatCode>General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'M81'!$O$2:$O$21</c:f>
              <c:numCache>
                <c:formatCode>0.00E+00</c:formatCode>
                <c:ptCount val="20"/>
                <c:pt idx="0" formatCode="General">
                  <c:v>1</c:v>
                </c:pt>
                <c:pt idx="1">
                  <c:v>142.74022699484235</c:v>
                </c:pt>
                <c:pt idx="2">
                  <c:v>228.62121886640867</c:v>
                </c:pt>
                <c:pt idx="3">
                  <c:v>259.19929613194961</c:v>
                </c:pt>
                <c:pt idx="4">
                  <c:v>262.5358195127717</c:v>
                </c:pt>
                <c:pt idx="5">
                  <c:v>248.07519112862713</c:v>
                </c:pt>
                <c:pt idx="6">
                  <c:v>224.59018971926335</c:v>
                </c:pt>
                <c:pt idx="7">
                  <c:v>210.03119296098436</c:v>
                </c:pt>
                <c:pt idx="8">
                  <c:v>203.39837419527817</c:v>
                </c:pt>
                <c:pt idx="9">
                  <c:v>196.64171136797836</c:v>
                </c:pt>
                <c:pt idx="10">
                  <c:v>189.67236012256234</c:v>
                </c:pt>
                <c:pt idx="11">
                  <c:v>182.53811606556411</c:v>
                </c:pt>
                <c:pt idx="12">
                  <c:v>175.28961575762426</c:v>
                </c:pt>
                <c:pt idx="13">
                  <c:v>167.97827990476969</c:v>
                </c:pt>
                <c:pt idx="14">
                  <c:v>160.65459036518172</c:v>
                </c:pt>
                <c:pt idx="15">
                  <c:v>153.36659309654692</c:v>
                </c:pt>
                <c:pt idx="16">
                  <c:v>146.15868607306533</c:v>
                </c:pt>
                <c:pt idx="17">
                  <c:v>139.07072357385471</c:v>
                </c:pt>
                <c:pt idx="18">
                  <c:v>132.13743966685689</c:v>
                </c:pt>
                <c:pt idx="19">
                  <c:v>127.0246668498466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3A-4ADA-99B9-A0C7BE937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10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59696"/>
        <c:crosses val="autoZero"/>
        <c:crossBetween val="midCat"/>
        <c:minorUnit val="25"/>
      </c:valAx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parameters'!$D$1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'M101 &amp; fit parameters'!$A$2:$A$21</c:f>
              <c:numCache>
                <c:formatCode>0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'M101 &amp; fit parameters'!$D$2:$D$21</c:f>
              <c:numCache>
                <c:formatCode>0.00E+00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F9-4C84-BC99-FFE4CC03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57456"/>
        <c:axId val="133976176"/>
      </c:scatterChart>
      <c:valAx>
        <c:axId val="13395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76176"/>
        <c:crosses val="autoZero"/>
        <c:crossBetween val="midCat"/>
      </c:valAx>
      <c:valAx>
        <c:axId val="1339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'M31'!$O$1</c:f>
              <c:strCache>
                <c:ptCount val="1"/>
                <c:pt idx="0">
                  <c:v>speed smth</c:v>
                </c:pt>
              </c:strCache>
            </c:strRef>
          </c:tx>
          <c:marker>
            <c:symbol val="none"/>
          </c:marker>
          <c:xVal>
            <c:numRef>
              <c:f>'M31'!$N$3:$N$100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'M31'!$O$3:$O$100</c:f>
              <c:numCache>
                <c:formatCode>0.00E+00</c:formatCode>
                <c:ptCount val="98"/>
                <c:pt idx="0">
                  <c:v>64.337157552128645</c:v>
                </c:pt>
                <c:pt idx="1">
                  <c:v>143.20671690798974</c:v>
                </c:pt>
                <c:pt idx="2">
                  <c:v>214.75986618709129</c:v>
                </c:pt>
                <c:pt idx="3">
                  <c:v>255.73395483090729</c:v>
                </c:pt>
                <c:pt idx="4">
                  <c:v>270.07236227887608</c:v>
                </c:pt>
                <c:pt idx="5">
                  <c:v>271.9591430954971</c:v>
                </c:pt>
                <c:pt idx="6">
                  <c:v>263.62453977140871</c:v>
                </c:pt>
                <c:pt idx="7">
                  <c:v>247.58324118445657</c:v>
                </c:pt>
                <c:pt idx="8">
                  <c:v>236.99686778354265</c:v>
                </c:pt>
                <c:pt idx="9">
                  <c:v>233.75714449848283</c:v>
                </c:pt>
                <c:pt idx="10">
                  <c:v>231.6605321271638</c:v>
                </c:pt>
                <c:pt idx="11">
                  <c:v>229.51639840234736</c:v>
                </c:pt>
                <c:pt idx="12">
                  <c:v>227.30624335374472</c:v>
                </c:pt>
                <c:pt idx="13">
                  <c:v>225.03028708446229</c:v>
                </c:pt>
                <c:pt idx="14">
                  <c:v>222.68919396943224</c:v>
                </c:pt>
                <c:pt idx="15">
                  <c:v>220.2839118843857</c:v>
                </c:pt>
                <c:pt idx="16">
                  <c:v>217.81566493515129</c:v>
                </c:pt>
                <c:pt idx="17">
                  <c:v>215.28594703986963</c:v>
                </c:pt>
                <c:pt idx="18">
                  <c:v>213.35843985558907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E-44EB-A7AB-D8668B007079}"/>
            </c:ext>
          </c:extLst>
        </c:ser>
        <c:ser>
          <c:idx val="1"/>
          <c:order val="1"/>
          <c:tx>
            <c:strRef>
              <c:f>'M31'!$Q$1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'M31'!$N$3:$N$100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'M31'!$P$3:$P$100</c:f>
              <c:numCache>
                <c:formatCode>0.00E+00</c:formatCode>
                <c:ptCount val="98"/>
                <c:pt idx="0">
                  <c:v>55.634579624823303</c:v>
                </c:pt>
                <c:pt idx="1">
                  <c:v>146.07947095886794</c:v>
                </c:pt>
                <c:pt idx="2">
                  <c:v>225.03334608939974</c:v>
                </c:pt>
                <c:pt idx="3">
                  <c:v>262.89330161069773</c:v>
                </c:pt>
                <c:pt idx="4">
                  <c:v>272.11587001283397</c:v>
                </c:pt>
                <c:pt idx="5">
                  <c:v>273.16440747913873</c:v>
                </c:pt>
                <c:pt idx="6">
                  <c:v>269.39188741087685</c:v>
                </c:pt>
                <c:pt idx="7">
                  <c:v>242.54997678474234</c:v>
                </c:pt>
                <c:pt idx="8">
                  <c:v>235.84112375746471</c:v>
                </c:pt>
                <c:pt idx="9">
                  <c:v>233.75524683449882</c:v>
                </c:pt>
                <c:pt idx="10">
                  <c:v>231.67696056746902</c:v>
                </c:pt>
                <c:pt idx="11">
                  <c:v>229.53296053921841</c:v>
                </c:pt>
                <c:pt idx="12">
                  <c:v>227.32271196348356</c:v>
                </c:pt>
                <c:pt idx="13">
                  <c:v>225.04658894879333</c:v>
                </c:pt>
                <c:pt idx="14">
                  <c:v>222.70525847677891</c:v>
                </c:pt>
                <c:pt idx="15">
                  <c:v>220.29966997537784</c:v>
                </c:pt>
                <c:pt idx="16">
                  <c:v>217.83104911000822</c:v>
                </c:pt>
                <c:pt idx="17">
                  <c:v>215.3008915452109</c:v>
                </c:pt>
                <c:pt idx="18">
                  <c:v>212.71095595904845</c:v>
                </c:pt>
                <c:pt idx="19">
                  <c:v>212.71095595904845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EE-44EB-A7AB-D8668B00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5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59696"/>
        <c:crosses val="autoZero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'M31'!$O$1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'M31'!$N$3:$N$100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'M31'!$O$3:$O$100</c:f>
              <c:numCache>
                <c:formatCode>0.00E+00</c:formatCode>
                <c:ptCount val="98"/>
                <c:pt idx="0">
                  <c:v>64.337157552128645</c:v>
                </c:pt>
                <c:pt idx="1">
                  <c:v>143.20671690798974</c:v>
                </c:pt>
                <c:pt idx="2">
                  <c:v>214.75986618709129</c:v>
                </c:pt>
                <c:pt idx="3">
                  <c:v>255.73395483090729</c:v>
                </c:pt>
                <c:pt idx="4">
                  <c:v>270.07236227887608</c:v>
                </c:pt>
                <c:pt idx="5">
                  <c:v>271.9591430954971</c:v>
                </c:pt>
                <c:pt idx="6">
                  <c:v>263.62453977140871</c:v>
                </c:pt>
                <c:pt idx="7">
                  <c:v>247.58324118445657</c:v>
                </c:pt>
                <c:pt idx="8">
                  <c:v>236.99686778354265</c:v>
                </c:pt>
                <c:pt idx="9">
                  <c:v>233.75714449848283</c:v>
                </c:pt>
                <c:pt idx="10">
                  <c:v>231.6605321271638</c:v>
                </c:pt>
                <c:pt idx="11">
                  <c:v>229.51639840234736</c:v>
                </c:pt>
                <c:pt idx="12">
                  <c:v>227.30624335374472</c:v>
                </c:pt>
                <c:pt idx="13">
                  <c:v>225.03028708446229</c:v>
                </c:pt>
                <c:pt idx="14">
                  <c:v>222.68919396943224</c:v>
                </c:pt>
                <c:pt idx="15">
                  <c:v>220.2839118843857</c:v>
                </c:pt>
                <c:pt idx="16">
                  <c:v>217.81566493515129</c:v>
                </c:pt>
                <c:pt idx="17">
                  <c:v>215.28594703986963</c:v>
                </c:pt>
                <c:pt idx="18">
                  <c:v>213.35843985558907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8-4C85-AB2F-AB8FDB1C25AE}"/>
            </c:ext>
          </c:extLst>
        </c:ser>
        <c:ser>
          <c:idx val="1"/>
          <c:order val="1"/>
          <c:tx>
            <c:strRef>
              <c:f>'M31'!$Q$1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'M31'!$N$3:$N$100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'M31'!$Q$3:$Q$100</c:f>
              <c:numCache>
                <c:formatCode>General</c:formatCode>
                <c:ptCount val="98"/>
                <c:pt idx="0">
                  <c:v>50</c:v>
                </c:pt>
                <c:pt idx="1">
                  <c:v>110</c:v>
                </c:pt>
                <c:pt idx="2">
                  <c:v>200</c:v>
                </c:pt>
                <c:pt idx="3">
                  <c:v>240</c:v>
                </c:pt>
                <c:pt idx="4">
                  <c:v>265</c:v>
                </c:pt>
                <c:pt idx="5">
                  <c:v>270</c:v>
                </c:pt>
                <c:pt idx="6">
                  <c:v>263</c:v>
                </c:pt>
                <c:pt idx="7">
                  <c:v>252</c:v>
                </c:pt>
                <c:pt idx="8">
                  <c:v>242</c:v>
                </c:pt>
                <c:pt idx="9">
                  <c:v>232</c:v>
                </c:pt>
                <c:pt idx="10">
                  <c:v>225</c:v>
                </c:pt>
                <c:pt idx="11">
                  <c:v>222</c:v>
                </c:pt>
                <c:pt idx="12">
                  <c:v>221</c:v>
                </c:pt>
                <c:pt idx="13">
                  <c:v>220</c:v>
                </c:pt>
                <c:pt idx="14">
                  <c:v>219</c:v>
                </c:pt>
                <c:pt idx="15">
                  <c:v>218</c:v>
                </c:pt>
                <c:pt idx="16">
                  <c:v>217</c:v>
                </c:pt>
                <c:pt idx="17">
                  <c:v>216</c:v>
                </c:pt>
                <c:pt idx="18">
                  <c:v>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8-4C85-AB2F-AB8FDB1C2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10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59696"/>
        <c:crosses val="autoZero"/>
        <c:crossBetween val="midCat"/>
        <c:minorUnit val="25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parameters'!$D$1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'M101 &amp; fit parameters'!$A$2:$A$21</c:f>
              <c:numCache>
                <c:formatCode>0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'M101 &amp; fit parameters'!$D$2:$D$21</c:f>
              <c:numCache>
                <c:formatCode>0.00E+00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33-46BC-9F77-FB813A78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57456"/>
        <c:axId val="133976176"/>
      </c:scatterChart>
      <c:valAx>
        <c:axId val="13395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76176"/>
        <c:crosses val="autoZero"/>
        <c:crossBetween val="midCat"/>
      </c:valAx>
      <c:valAx>
        <c:axId val="1339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20245398773006E-2"/>
          <c:y val="4.9109722222222221E-2"/>
          <c:w val="0.9326475800954328"/>
          <c:h val="0.8973907407407407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'M81'!$K$1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'M81'!$J$3:$J$21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'M81'!$K$3:$K$21</c:f>
              <c:numCache>
                <c:formatCode>0.00E+00</c:formatCode>
                <c:ptCount val="19"/>
                <c:pt idx="0">
                  <c:v>6.0969055093900761E-22</c:v>
                </c:pt>
                <c:pt idx="1">
                  <c:v>1.2453615490290174E-22</c:v>
                </c:pt>
                <c:pt idx="2">
                  <c:v>8.9473333690961202E-24</c:v>
                </c:pt>
                <c:pt idx="3">
                  <c:v>2.2685971579889155E-25</c:v>
                </c:pt>
                <c:pt idx="4">
                  <c:v>2.7363114739541892E-27</c:v>
                </c:pt>
                <c:pt idx="5">
                  <c:v>6.5560233304643411E-28</c:v>
                </c:pt>
                <c:pt idx="6">
                  <c:v>5.8467725874936346E-28</c:v>
                </c:pt>
                <c:pt idx="7">
                  <c:v>5.3094502956923585E-28</c:v>
                </c:pt>
                <c:pt idx="8">
                  <c:v>4.8600774754495023E-28</c:v>
                </c:pt>
                <c:pt idx="9">
                  <c:v>4.4821739211280367E-28</c:v>
                </c:pt>
                <c:pt idx="10">
                  <c:v>4.1629211320552741E-28</c:v>
                </c:pt>
                <c:pt idx="11">
                  <c:v>3.8921573612435205E-28</c:v>
                </c:pt>
                <c:pt idx="12">
                  <c:v>3.6617307191964268E-28</c:v>
                </c:pt>
                <c:pt idx="13">
                  <c:v>3.4650376199605189E-28</c:v>
                </c:pt>
                <c:pt idx="14">
                  <c:v>3.2966849214509501E-28</c:v>
                </c:pt>
                <c:pt idx="15">
                  <c:v>3.1522374054431138E-28</c:v>
                </c:pt>
                <c:pt idx="16">
                  <c:v>3.0280257588892891E-28</c:v>
                </c:pt>
                <c:pt idx="17">
                  <c:v>2.9209984315951199E-28</c:v>
                </c:pt>
                <c:pt idx="18">
                  <c:v>2.8286059288304423E-28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E42-400B-A298-BD4B1AF0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26576"/>
        <c:axId val="658937616"/>
      </c:scatterChart>
      <c:valAx>
        <c:axId val="658926576"/>
        <c:scaling>
          <c:orientation val="minMax"/>
          <c:max val="1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37616"/>
        <c:crosses val="autoZero"/>
        <c:crossBetween val="midCat"/>
      </c:valAx>
      <c:valAx>
        <c:axId val="658937616"/>
        <c:scaling>
          <c:orientation val="minMax"/>
          <c:max val="2.2000000000000011E-9"/>
          <c:min val="8.0000000000000044E-10"/>
        </c:scaling>
        <c:delete val="0"/>
        <c:axPos val="l"/>
        <c:numFmt formatCode="0.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26576"/>
        <c:crossesAt val="113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'M81'!$O$1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'M81'!$N$3:$N$100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'M81'!$O$3:$O$100</c:f>
              <c:numCache>
                <c:formatCode>0.00E+00</c:formatCode>
                <c:ptCount val="98"/>
                <c:pt idx="0">
                  <c:v>142.74022699484235</c:v>
                </c:pt>
                <c:pt idx="1">
                  <c:v>228.62121886640867</c:v>
                </c:pt>
                <c:pt idx="2">
                  <c:v>259.19929613194961</c:v>
                </c:pt>
                <c:pt idx="3">
                  <c:v>262.5358195127717</c:v>
                </c:pt>
                <c:pt idx="4">
                  <c:v>248.07519112862713</c:v>
                </c:pt>
                <c:pt idx="5">
                  <c:v>224.59018971926335</c:v>
                </c:pt>
                <c:pt idx="6">
                  <c:v>210.03119296098436</c:v>
                </c:pt>
                <c:pt idx="7">
                  <c:v>203.39837419527817</c:v>
                </c:pt>
                <c:pt idx="8">
                  <c:v>196.64171136797836</c:v>
                </c:pt>
                <c:pt idx="9">
                  <c:v>189.67236012256234</c:v>
                </c:pt>
                <c:pt idx="10">
                  <c:v>182.53811606556411</c:v>
                </c:pt>
                <c:pt idx="11">
                  <c:v>175.28961575762426</c:v>
                </c:pt>
                <c:pt idx="12">
                  <c:v>167.97827990476969</c:v>
                </c:pt>
                <c:pt idx="13">
                  <c:v>160.65459036518172</c:v>
                </c:pt>
                <c:pt idx="14">
                  <c:v>153.36659309654692</c:v>
                </c:pt>
                <c:pt idx="15">
                  <c:v>146.15868607306533</c:v>
                </c:pt>
                <c:pt idx="16">
                  <c:v>139.07072357385471</c:v>
                </c:pt>
                <c:pt idx="17">
                  <c:v>132.13743966685689</c:v>
                </c:pt>
                <c:pt idx="18">
                  <c:v>127.0246668498466</c:v>
                </c:pt>
                <c:pt idx="22">
                  <c:v>8.3945199051564325E-7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5-40DD-A715-1D9741053A97}"/>
            </c:ext>
          </c:extLst>
        </c:ser>
        <c:ser>
          <c:idx val="1"/>
          <c:order val="1"/>
          <c:tx>
            <c:strRef>
              <c:f>'M81'!$Q$1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'M81'!$N$2:$N$100</c:f>
              <c:numCache>
                <c:formatCode>General</c:formatCode>
                <c:ptCount val="99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'M81'!$P$2:$P$100</c:f>
              <c:numCache>
                <c:formatCode>0.00E+00</c:formatCode>
                <c:ptCount val="99"/>
                <c:pt idx="0">
                  <c:v>0</c:v>
                </c:pt>
                <c:pt idx="1">
                  <c:v>163.75909976991534</c:v>
                </c:pt>
                <c:pt idx="2">
                  <c:v>243.44270843953873</c:v>
                </c:pt>
                <c:pt idx="3">
                  <c:v>263.84035881664192</c:v>
                </c:pt>
                <c:pt idx="4">
                  <c:v>265.67375845497594</c:v>
                </c:pt>
                <c:pt idx="5">
                  <c:v>254.95540232449295</c:v>
                </c:pt>
                <c:pt idx="6">
                  <c:v>216.71620141054663</c:v>
                </c:pt>
                <c:pt idx="7">
                  <c:v>209.97295373146719</c:v>
                </c:pt>
                <c:pt idx="8">
                  <c:v>203.46266297045651</c:v>
                </c:pt>
                <c:pt idx="9">
                  <c:v>196.69521710873244</c:v>
                </c:pt>
                <c:pt idx="10">
                  <c:v>189.71374828399206</c:v>
                </c:pt>
                <c:pt idx="11">
                  <c:v>182.56672681353285</c:v>
                </c:pt>
                <c:pt idx="12">
                  <c:v>175.30526235119868</c:v>
                </c:pt>
                <c:pt idx="13">
                  <c:v>167.98121151456681</c:v>
                </c:pt>
                <c:pt idx="14">
                  <c:v>160.64543423874647</c:v>
                </c:pt>
                <c:pt idx="15">
                  <c:v>153.3462814686672</c:v>
                </c:pt>
                <c:pt idx="16">
                  <c:v>146.12837521010681</c:v>
                </c:pt>
                <c:pt idx="17">
                  <c:v>139.03171240338051</c:v>
                </c:pt>
                <c:pt idx="18">
                  <c:v>132.09109427855097</c:v>
                </c:pt>
                <c:pt idx="19">
                  <c:v>125.33585770694512</c:v>
                </c:pt>
                <c:pt idx="20">
                  <c:v>125.33585770694512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A5-40DD-A715-1D974105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5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59696"/>
        <c:crosses val="autoZero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'M81'!$O$1</c:f>
              <c:strCache>
                <c:ptCount val="1"/>
                <c:pt idx="0">
                  <c:v>speed smth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'M81'!$N$3:$N$100</c:f>
              <c:numCache>
                <c:formatCode>General</c:formatCode>
                <c:ptCount val="98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'M81'!$O$3:$O$100</c:f>
              <c:numCache>
                <c:formatCode>0.00E+00</c:formatCode>
                <c:ptCount val="98"/>
                <c:pt idx="0">
                  <c:v>142.74022699484235</c:v>
                </c:pt>
                <c:pt idx="1">
                  <c:v>228.62121886640867</c:v>
                </c:pt>
                <c:pt idx="2">
                  <c:v>259.19929613194961</c:v>
                </c:pt>
                <c:pt idx="3">
                  <c:v>262.5358195127717</c:v>
                </c:pt>
                <c:pt idx="4">
                  <c:v>248.07519112862713</c:v>
                </c:pt>
                <c:pt idx="5">
                  <c:v>224.59018971926335</c:v>
                </c:pt>
                <c:pt idx="6">
                  <c:v>210.03119296098436</c:v>
                </c:pt>
                <c:pt idx="7">
                  <c:v>203.39837419527817</c:v>
                </c:pt>
                <c:pt idx="8">
                  <c:v>196.64171136797836</c:v>
                </c:pt>
                <c:pt idx="9">
                  <c:v>189.67236012256234</c:v>
                </c:pt>
                <c:pt idx="10">
                  <c:v>182.53811606556411</c:v>
                </c:pt>
                <c:pt idx="11">
                  <c:v>175.28961575762426</c:v>
                </c:pt>
                <c:pt idx="12">
                  <c:v>167.97827990476969</c:v>
                </c:pt>
                <c:pt idx="13">
                  <c:v>160.65459036518172</c:v>
                </c:pt>
                <c:pt idx="14">
                  <c:v>153.36659309654692</c:v>
                </c:pt>
                <c:pt idx="15">
                  <c:v>146.15868607306533</c:v>
                </c:pt>
                <c:pt idx="16">
                  <c:v>139.07072357385471</c:v>
                </c:pt>
                <c:pt idx="17">
                  <c:v>132.13743966685689</c:v>
                </c:pt>
                <c:pt idx="18">
                  <c:v>127.0246668498466</c:v>
                </c:pt>
                <c:pt idx="22">
                  <c:v>8.3945199051564325E-7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84-490D-8FDD-CDD16D3F3D33}"/>
            </c:ext>
          </c:extLst>
        </c:ser>
        <c:ser>
          <c:idx val="1"/>
          <c:order val="1"/>
          <c:tx>
            <c:strRef>
              <c:f>'M81'!$Q$1</c:f>
              <c:strCache>
                <c:ptCount val="1"/>
                <c:pt idx="0">
                  <c:v>TRUE speed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'M81'!$N$2:$N$100</c:f>
              <c:numCache>
                <c:formatCode>General</c:formatCode>
                <c:ptCount val="99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'M81'!$Q$2:$Q$100</c:f>
              <c:numCache>
                <c:formatCode>General</c:formatCode>
                <c:ptCount val="99"/>
                <c:pt idx="0">
                  <c:v>0</c:v>
                </c:pt>
                <c:pt idx="1">
                  <c:v>166</c:v>
                </c:pt>
                <c:pt idx="2">
                  <c:v>223</c:v>
                </c:pt>
                <c:pt idx="3">
                  <c:v>255</c:v>
                </c:pt>
                <c:pt idx="4">
                  <c:v>260</c:v>
                </c:pt>
                <c:pt idx="5">
                  <c:v>253</c:v>
                </c:pt>
                <c:pt idx="6">
                  <c:v>237</c:v>
                </c:pt>
                <c:pt idx="7">
                  <c:v>220</c:v>
                </c:pt>
                <c:pt idx="8">
                  <c:v>210</c:v>
                </c:pt>
                <c:pt idx="9">
                  <c:v>198</c:v>
                </c:pt>
                <c:pt idx="10">
                  <c:v>187</c:v>
                </c:pt>
                <c:pt idx="11">
                  <c:v>178</c:v>
                </c:pt>
                <c:pt idx="12">
                  <c:v>168</c:v>
                </c:pt>
                <c:pt idx="13">
                  <c:v>160</c:v>
                </c:pt>
                <c:pt idx="14">
                  <c:v>153</c:v>
                </c:pt>
                <c:pt idx="15">
                  <c:v>150</c:v>
                </c:pt>
                <c:pt idx="16">
                  <c:v>147</c:v>
                </c:pt>
                <c:pt idx="17">
                  <c:v>144</c:v>
                </c:pt>
                <c:pt idx="18">
                  <c:v>142</c:v>
                </c:pt>
                <c:pt idx="19">
                  <c:v>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84-490D-8FDD-CDD16D3F3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9696"/>
        <c:axId val="658964976"/>
      </c:scatterChart>
      <c:valAx>
        <c:axId val="65895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64976"/>
        <c:crosses val="autoZero"/>
        <c:crossBetween val="midCat"/>
        <c:minorUnit val="10"/>
      </c:valAx>
      <c:valAx>
        <c:axId val="6589649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59696"/>
        <c:crosses val="autoZero"/>
        <c:crossBetween val="midCat"/>
        <c:minorUnit val="25"/>
      </c:valAx>
      <c:spPr>
        <a:noFill/>
      </c:spPr>
    </c:plotArea>
    <c:plotVisOnly val="1"/>
    <c:dispBlanksAs val="gap"/>
    <c:showDLblsOverMax val="0"/>
    <c:extLst/>
  </c:chart>
  <c:spPr>
    <a:noFill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'M101 &amp; fit parameters'!$D$1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'M101 &amp; fit parameters'!$A$2:$A$21</c:f>
              <c:numCache>
                <c:formatCode>0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'M101 &amp; fit parameters'!$D$2:$D$21</c:f>
              <c:numCache>
                <c:formatCode>0.00E+00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6B-4467-BF9E-2DE02A949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57456"/>
        <c:axId val="133976176"/>
      </c:scatterChart>
      <c:valAx>
        <c:axId val="13395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76176"/>
        <c:crosses val="autoZero"/>
        <c:crossBetween val="midCat"/>
      </c:valAx>
      <c:valAx>
        <c:axId val="1339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'M101 &amp; fit parameters'!$K$1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'M101 &amp; fit parameters'!$J$3:$J$21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'M101 &amp; fit parameters'!$K$3:$K$21</c:f>
              <c:numCache>
                <c:formatCode>0.00E+00</c:formatCode>
                <c:ptCount val="19"/>
                <c:pt idx="0">
                  <c:v>5.0409916325965992E-23</c:v>
                </c:pt>
                <c:pt idx="1">
                  <c:v>4.3481821791011397E-23</c:v>
                </c:pt>
                <c:pt idx="2">
                  <c:v>3.403168197813264E-23</c:v>
                </c:pt>
                <c:pt idx="3">
                  <c:v>2.4168412740498075E-23</c:v>
                </c:pt>
                <c:pt idx="4">
                  <c:v>1.5574628784889789E-23</c:v>
                </c:pt>
                <c:pt idx="5">
                  <c:v>9.1081063787841287E-24</c:v>
                </c:pt>
                <c:pt idx="6">
                  <c:v>4.8345949463892365E-24</c:v>
                </c:pt>
                <c:pt idx="7">
                  <c:v>2.3302553374863212E-24</c:v>
                </c:pt>
                <c:pt idx="8">
                  <c:v>1.0210145945125037E-24</c:v>
                </c:pt>
                <c:pt idx="9">
                  <c:v>4.0785457344908831E-25</c:v>
                </c:pt>
                <c:pt idx="10">
                  <c:v>1.4975423462740633E-25</c:v>
                </c:pt>
                <c:pt idx="11">
                  <c:v>5.1765975680797453E-26</c:v>
                </c:pt>
                <c:pt idx="12">
                  <c:v>1.8015426380901045E-26</c:v>
                </c:pt>
                <c:pt idx="13">
                  <c:v>7.3100819716634682E-27</c:v>
                </c:pt>
                <c:pt idx="14">
                  <c:v>4.0389459094974393E-27</c:v>
                </c:pt>
                <c:pt idx="15">
                  <c:v>2.9481621368507442E-27</c:v>
                </c:pt>
                <c:pt idx="16">
                  <c:v>2.4579882711164644E-27</c:v>
                </c:pt>
                <c:pt idx="17">
                  <c:v>2.1401589575612397E-27</c:v>
                </c:pt>
                <c:pt idx="18">
                  <c:v>1.8873472688731335E-27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76A-4BDB-8CCA-109D7D2E6727}"/>
            </c:ext>
          </c:extLst>
        </c:ser>
        <c:ser>
          <c:idx val="3"/>
          <c:order val="1"/>
          <c:tx>
            <c:strRef>
              <c:f>'M81'!$K$1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'M81'!$J$2:$J$21</c:f>
              <c:numCache>
                <c:formatCode>General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'M81'!$K$2:$K$21</c:f>
              <c:numCache>
                <c:formatCode>0.00E+00</c:formatCode>
                <c:ptCount val="20"/>
                <c:pt idx="0">
                  <c:v>5.0000002199999997E-21</c:v>
                </c:pt>
                <c:pt idx="1">
                  <c:v>6.0969055093900761E-22</c:v>
                </c:pt>
                <c:pt idx="2">
                  <c:v>1.2453615490290174E-22</c:v>
                </c:pt>
                <c:pt idx="3">
                  <c:v>8.9473333690961202E-24</c:v>
                </c:pt>
                <c:pt idx="4">
                  <c:v>2.2685971579889155E-25</c:v>
                </c:pt>
                <c:pt idx="5">
                  <c:v>2.7363114739541892E-27</c:v>
                </c:pt>
                <c:pt idx="6">
                  <c:v>6.5560233304643411E-28</c:v>
                </c:pt>
                <c:pt idx="7">
                  <c:v>5.8467725874936346E-28</c:v>
                </c:pt>
                <c:pt idx="8">
                  <c:v>5.3094502956923585E-28</c:v>
                </c:pt>
                <c:pt idx="9">
                  <c:v>4.8600774754495023E-28</c:v>
                </c:pt>
                <c:pt idx="10">
                  <c:v>4.4821739211280367E-28</c:v>
                </c:pt>
                <c:pt idx="11">
                  <c:v>4.1629211320552741E-28</c:v>
                </c:pt>
                <c:pt idx="12">
                  <c:v>3.8921573612435205E-28</c:v>
                </c:pt>
                <c:pt idx="13">
                  <c:v>3.6617307191964268E-28</c:v>
                </c:pt>
                <c:pt idx="14">
                  <c:v>3.4650376199605189E-28</c:v>
                </c:pt>
                <c:pt idx="15">
                  <c:v>3.2966849214509501E-28</c:v>
                </c:pt>
                <c:pt idx="16">
                  <c:v>3.1522374054431138E-28</c:v>
                </c:pt>
                <c:pt idx="17">
                  <c:v>3.0280257588892891E-28</c:v>
                </c:pt>
                <c:pt idx="18">
                  <c:v>2.9209984315951199E-28</c:v>
                </c:pt>
                <c:pt idx="19">
                  <c:v>2.8286059288304423E-28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76A-4BDB-8CCA-109D7D2E6727}"/>
            </c:ext>
          </c:extLst>
        </c:ser>
        <c:ser>
          <c:idx val="0"/>
          <c:order val="2"/>
          <c:tx>
            <c:strRef>
              <c:f>'M31'!$K$1</c:f>
              <c:strCache>
                <c:ptCount val="1"/>
                <c:pt idx="0">
                  <c:v>dens [kg/m3]</c:v>
                </c:pt>
              </c:strCache>
            </c:strRef>
          </c:tx>
          <c:spPr>
            <a:ln w="15875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'M31'!$J$3:$J$21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10.1</c:v>
                </c:pt>
                <c:pt idx="2">
                  <c:v>15.1</c:v>
                </c:pt>
                <c:pt idx="3">
                  <c:v>20.100000000000001</c:v>
                </c:pt>
                <c:pt idx="4">
                  <c:v>25.1</c:v>
                </c:pt>
                <c:pt idx="5">
                  <c:v>30.1</c:v>
                </c:pt>
                <c:pt idx="6">
                  <c:v>35.1</c:v>
                </c:pt>
                <c:pt idx="7">
                  <c:v>40.1</c:v>
                </c:pt>
                <c:pt idx="8">
                  <c:v>45.1</c:v>
                </c:pt>
                <c:pt idx="9">
                  <c:v>50.1</c:v>
                </c:pt>
                <c:pt idx="10">
                  <c:v>55.1</c:v>
                </c:pt>
                <c:pt idx="11">
                  <c:v>60.1</c:v>
                </c:pt>
                <c:pt idx="12">
                  <c:v>65.099999999999994</c:v>
                </c:pt>
                <c:pt idx="13">
                  <c:v>70.099999999999994</c:v>
                </c:pt>
                <c:pt idx="14">
                  <c:v>75.099999999999994</c:v>
                </c:pt>
                <c:pt idx="15">
                  <c:v>80.099999999999994</c:v>
                </c:pt>
                <c:pt idx="16">
                  <c:v>85.1</c:v>
                </c:pt>
                <c:pt idx="17">
                  <c:v>90.1</c:v>
                </c:pt>
                <c:pt idx="18">
                  <c:v>95.1</c:v>
                </c:pt>
              </c:numCache>
            </c:numRef>
          </c:xVal>
          <c:yVal>
            <c:numRef>
              <c:f>'M31'!$K$3:$K$21</c:f>
              <c:numCache>
                <c:formatCode>0.00E+00</c:formatCode>
                <c:ptCount val="19"/>
                <c:pt idx="0">
                  <c:v>8.1406721410114114E-23</c:v>
                </c:pt>
                <c:pt idx="1">
                  <c:v>2.0201673620893446E-22</c:v>
                </c:pt>
                <c:pt idx="2">
                  <c:v>1.2605055628200444E-22</c:v>
                </c:pt>
                <c:pt idx="3">
                  <c:v>2.9007280149669819E-23</c:v>
                </c:pt>
                <c:pt idx="4">
                  <c:v>3.2540331494489185E-24</c:v>
                </c:pt>
                <c:pt idx="5">
                  <c:v>1.9602277517378547E-25</c:v>
                </c:pt>
                <c:pt idx="6">
                  <c:v>7.5560744630608395E-27</c:v>
                </c:pt>
                <c:pt idx="7">
                  <c:v>1.0329842121069113E-27</c:v>
                </c:pt>
                <c:pt idx="8">
                  <c:v>8.5965940968719734E-28</c:v>
                </c:pt>
                <c:pt idx="9">
                  <c:v>8.1777284945457986E-28</c:v>
                </c:pt>
                <c:pt idx="10">
                  <c:v>7.8023052561295058E-28</c:v>
                </c:pt>
                <c:pt idx="11">
                  <c:v>7.4525607372252233E-28</c:v>
                </c:pt>
                <c:pt idx="12">
                  <c:v>7.1263587065579363E-28</c:v>
                </c:pt>
                <c:pt idx="13">
                  <c:v>6.8218863375710387E-28</c:v>
                </c:pt>
                <c:pt idx="14">
                  <c:v>6.5375078726327918E-28</c:v>
                </c:pt>
                <c:pt idx="15">
                  <c:v>6.2717398594285248E-28</c:v>
                </c:pt>
                <c:pt idx="16">
                  <c:v>6.023231688413675E-28</c:v>
                </c:pt>
                <c:pt idx="17">
                  <c:v>5.7907496566019486E-28</c:v>
                </c:pt>
                <c:pt idx="18">
                  <c:v>5.5731637094977525E-28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6A-4BDB-8CCA-109D7D2E6727}"/>
            </c:ext>
          </c:extLst>
        </c:ser>
        <c:ser>
          <c:idx val="1"/>
          <c:order val="3"/>
          <c:tx>
            <c:strRef>
              <c:f>'M31'!$L$1</c:f>
              <c:strCache>
                <c:ptCount val="1"/>
                <c:pt idx="0">
                  <c:v>u</c:v>
                </c:pt>
              </c:strCache>
            </c:strRef>
          </c:tx>
          <c:spPr>
            <a:ln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'M31'!$J$2:$J$21</c:f>
              <c:numCache>
                <c:formatCode>General</c:formatCode>
                <c:ptCount val="20"/>
                <c:pt idx="0">
                  <c:v>0.1</c:v>
                </c:pt>
                <c:pt idx="1">
                  <c:v>5.0999999999999996</c:v>
                </c:pt>
                <c:pt idx="2">
                  <c:v>10.1</c:v>
                </c:pt>
                <c:pt idx="3">
                  <c:v>15.1</c:v>
                </c:pt>
                <c:pt idx="4">
                  <c:v>20.100000000000001</c:v>
                </c:pt>
                <c:pt idx="5">
                  <c:v>25.1</c:v>
                </c:pt>
                <c:pt idx="6">
                  <c:v>30.1</c:v>
                </c:pt>
                <c:pt idx="7">
                  <c:v>35.1</c:v>
                </c:pt>
                <c:pt idx="8">
                  <c:v>40.1</c:v>
                </c:pt>
                <c:pt idx="9">
                  <c:v>45.1</c:v>
                </c:pt>
                <c:pt idx="10">
                  <c:v>50.1</c:v>
                </c:pt>
                <c:pt idx="11">
                  <c:v>55.1</c:v>
                </c:pt>
                <c:pt idx="12">
                  <c:v>60.1</c:v>
                </c:pt>
                <c:pt idx="13">
                  <c:v>65.099999999999994</c:v>
                </c:pt>
                <c:pt idx="14">
                  <c:v>70.099999999999994</c:v>
                </c:pt>
                <c:pt idx="15">
                  <c:v>75.099999999999994</c:v>
                </c:pt>
                <c:pt idx="16">
                  <c:v>80.099999999999994</c:v>
                </c:pt>
                <c:pt idx="17">
                  <c:v>85.1</c:v>
                </c:pt>
                <c:pt idx="18">
                  <c:v>90.1</c:v>
                </c:pt>
                <c:pt idx="19">
                  <c:v>95.1</c:v>
                </c:pt>
              </c:numCache>
            </c:numRef>
          </c:xVal>
          <c:yVal>
            <c:numRef>
              <c:f>'M31'!$L$2:$L$21</c:f>
              <c:numCache>
                <c:formatCode>0.00E+00</c:formatCode>
                <c:ptCount val="20"/>
                <c:pt idx="0">
                  <c:v>2.2E-28</c:v>
                </c:pt>
                <c:pt idx="1">
                  <c:v>2.2E-28</c:v>
                </c:pt>
                <c:pt idx="2">
                  <c:v>2.2E-28</c:v>
                </c:pt>
                <c:pt idx="3">
                  <c:v>2.2E-28</c:v>
                </c:pt>
                <c:pt idx="4">
                  <c:v>2.2E-28</c:v>
                </c:pt>
                <c:pt idx="5">
                  <c:v>2.2E-28</c:v>
                </c:pt>
                <c:pt idx="6">
                  <c:v>2.2E-28</c:v>
                </c:pt>
                <c:pt idx="7">
                  <c:v>2.2E-28</c:v>
                </c:pt>
                <c:pt idx="8">
                  <c:v>2.2E-28</c:v>
                </c:pt>
                <c:pt idx="9">
                  <c:v>2.2E-28</c:v>
                </c:pt>
                <c:pt idx="10">
                  <c:v>2.2E-28</c:v>
                </c:pt>
                <c:pt idx="11">
                  <c:v>2.2E-28</c:v>
                </c:pt>
                <c:pt idx="12">
                  <c:v>2.2E-28</c:v>
                </c:pt>
                <c:pt idx="13">
                  <c:v>2.2E-28</c:v>
                </c:pt>
                <c:pt idx="14">
                  <c:v>2.2E-28</c:v>
                </c:pt>
                <c:pt idx="15">
                  <c:v>2.2E-28</c:v>
                </c:pt>
                <c:pt idx="16">
                  <c:v>2.2E-28</c:v>
                </c:pt>
                <c:pt idx="17">
                  <c:v>2.2E-28</c:v>
                </c:pt>
                <c:pt idx="18">
                  <c:v>2.2E-28</c:v>
                </c:pt>
                <c:pt idx="19">
                  <c:v>2.2E-28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76A-4BDB-8CCA-109D7D2E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26576"/>
        <c:axId val="658937616"/>
      </c:scatterChart>
      <c:valAx>
        <c:axId val="658926576"/>
        <c:scaling>
          <c:orientation val="minMax"/>
          <c:max val="1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937616"/>
        <c:crosses val="autoZero"/>
        <c:crossBetween val="midCat"/>
      </c:valAx>
      <c:valAx>
        <c:axId val="658937616"/>
        <c:scaling>
          <c:logBase val="10"/>
          <c:orientation val="minMax"/>
          <c:max val="2.0000000000000023E-20"/>
          <c:min val="2.0000000000000031E-28"/>
        </c:scaling>
        <c:delete val="0"/>
        <c:axPos val="l"/>
        <c:numFmt formatCode="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926576"/>
        <c:crossesAt val="115"/>
        <c:crossBetween val="midCat"/>
      </c:valAx>
      <c:spPr>
        <a:noFill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749831</xdr:colOff>
      <xdr:row>51</xdr:row>
      <xdr:rowOff>155576</xdr:rowOff>
    </xdr:from>
    <xdr:to>
      <xdr:col>21</xdr:col>
      <xdr:colOff>247987</xdr:colOff>
      <xdr:row>74</xdr:row>
      <xdr:rowOff>94076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7918A4-9C0A-4E4B-AEE1-0180AF6EA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296069</xdr:colOff>
      <xdr:row>51</xdr:row>
      <xdr:rowOff>65645</xdr:rowOff>
    </xdr:from>
    <xdr:to>
      <xdr:col>10</xdr:col>
      <xdr:colOff>443706</xdr:colOff>
      <xdr:row>77</xdr:row>
      <xdr:rowOff>127240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19CE2E-9D27-4E02-B1B9-481F48592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725" y="9781145"/>
          <a:ext cx="5660231" cy="5014595"/>
        </a:xfrm>
        <a:prstGeom prst="rect">
          <a:avLst/>
        </a:prstGeom>
      </xdr:spPr>
    </xdr:pic>
    <xdr:clientData/>
  </xdr:twoCellAnchor>
  <xdr:twoCellAnchor>
    <xdr:from>
      <xdr:col>1</xdr:col>
      <xdr:colOff>51856</xdr:colOff>
      <xdr:row>50</xdr:row>
      <xdr:rowOff>8996</xdr:rowOff>
    </xdr:from>
    <xdr:to>
      <xdr:col>10</xdr:col>
      <xdr:colOff>244424</xdr:colOff>
      <xdr:row>76</xdr:row>
      <xdr:rowOff>132373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CA40FD9-BE74-4F2B-8DF4-5FF5FA1FA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333375</xdr:colOff>
      <xdr:row>22</xdr:row>
      <xdr:rowOff>119062</xdr:rowOff>
    </xdr:from>
    <xdr:to>
      <xdr:col>12</xdr:col>
      <xdr:colOff>101718</xdr:colOff>
      <xdr:row>45</xdr:row>
      <xdr:rowOff>57562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2E14802-4890-479A-AB4D-22FDD36A5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354542</xdr:colOff>
      <xdr:row>78</xdr:row>
      <xdr:rowOff>76992</xdr:rowOff>
    </xdr:from>
    <xdr:to>
      <xdr:col>38</xdr:col>
      <xdr:colOff>321467</xdr:colOff>
      <xdr:row>92</xdr:row>
      <xdr:rowOff>153192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30FEA9B-9558-45EC-B8BD-050FAD78C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309300</xdr:colOff>
      <xdr:row>23</xdr:row>
      <xdr:rowOff>167483</xdr:rowOff>
    </xdr:from>
    <xdr:to>
      <xdr:col>18</xdr:col>
      <xdr:colOff>498019</xdr:colOff>
      <xdr:row>46</xdr:row>
      <xdr:rowOff>105983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25B141-43E1-4898-8A16-FB9021235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534194</xdr:colOff>
      <xdr:row>50</xdr:row>
      <xdr:rowOff>29925</xdr:rowOff>
    </xdr:from>
    <xdr:to>
      <xdr:col>16</xdr:col>
      <xdr:colOff>396081</xdr:colOff>
      <xdr:row>76</xdr:row>
      <xdr:rowOff>67707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93D56C-446B-4A43-B3AE-B96B4AF7A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3163" y="9554925"/>
          <a:ext cx="5660231" cy="5014595"/>
        </a:xfrm>
        <a:prstGeom prst="rect">
          <a:avLst/>
        </a:prstGeom>
      </xdr:spPr>
    </xdr:pic>
    <xdr:clientData/>
  </xdr:twoCellAnchor>
  <xdr:twoCellAnchor>
    <xdr:from>
      <xdr:col>4</xdr:col>
      <xdr:colOff>289981</xdr:colOff>
      <xdr:row>48</xdr:row>
      <xdr:rowOff>163776</xdr:rowOff>
    </xdr:from>
    <xdr:to>
      <xdr:col>16</xdr:col>
      <xdr:colOff>196799</xdr:colOff>
      <xdr:row>75</xdr:row>
      <xdr:rowOff>72840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6BFF5E-A30D-4811-BD96-03836F9A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309562</xdr:colOff>
      <xdr:row>23</xdr:row>
      <xdr:rowOff>166687</xdr:rowOff>
    </xdr:from>
    <xdr:to>
      <xdr:col>9</xdr:col>
      <xdr:colOff>125531</xdr:colOff>
      <xdr:row>46</xdr:row>
      <xdr:rowOff>105187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85E00C1-614F-4964-AACA-61E6CBC16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354542</xdr:colOff>
      <xdr:row>78</xdr:row>
      <xdr:rowOff>76992</xdr:rowOff>
    </xdr:from>
    <xdr:to>
      <xdr:col>38</xdr:col>
      <xdr:colOff>321467</xdr:colOff>
      <xdr:row>92</xdr:row>
      <xdr:rowOff>153192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105945-BF85-447F-B7CA-D5133CA8F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190240</xdr:colOff>
      <xdr:row>23</xdr:row>
      <xdr:rowOff>119857</xdr:rowOff>
    </xdr:from>
    <xdr:to>
      <xdr:col>19</xdr:col>
      <xdr:colOff>128926</xdr:colOff>
      <xdr:row>46</xdr:row>
      <xdr:rowOff>34544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F2A0F4-4C02-4CBD-B3BC-B99C7C7FB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165101</xdr:colOff>
      <xdr:row>48</xdr:row>
      <xdr:rowOff>65643</xdr:rowOff>
    </xdr:from>
    <xdr:to>
      <xdr:col>19</xdr:col>
      <xdr:colOff>96725</xdr:colOff>
      <xdr:row>74</xdr:row>
      <xdr:rowOff>127238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8F82DF-CAEB-4E30-AF65-B1F55629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9132" y="9340612"/>
          <a:ext cx="5658531" cy="5014595"/>
        </a:xfrm>
        <a:prstGeom prst="rect">
          <a:avLst/>
        </a:prstGeom>
      </xdr:spPr>
    </xdr:pic>
    <xdr:clientData/>
  </xdr:twoCellAnchor>
  <xdr:twoCellAnchor>
    <xdr:from>
      <xdr:col>8</xdr:col>
      <xdr:colOff>99482</xdr:colOff>
      <xdr:row>46</xdr:row>
      <xdr:rowOff>163775</xdr:rowOff>
    </xdr:from>
    <xdr:to>
      <xdr:col>18</xdr:col>
      <xdr:colOff>863551</xdr:colOff>
      <xdr:row>73</xdr:row>
      <xdr:rowOff>120465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053002-E49B-4020-9CAB-7659F5B11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</xdr:colOff>
      <xdr:row>23</xdr:row>
      <xdr:rowOff>11906</xdr:rowOff>
    </xdr:from>
    <xdr:to>
      <xdr:col>8</xdr:col>
      <xdr:colOff>185062</xdr:colOff>
      <xdr:row>45</xdr:row>
      <xdr:rowOff>117093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868115D-081B-468C-81C5-E1C69FA25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749831</xdr:colOff>
      <xdr:row>51</xdr:row>
      <xdr:rowOff>155576</xdr:rowOff>
    </xdr:from>
    <xdr:to>
      <xdr:col>21</xdr:col>
      <xdr:colOff>247987</xdr:colOff>
      <xdr:row>74</xdr:row>
      <xdr:rowOff>94076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69828D-91B1-40C8-8E7E-9F50219B8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296069</xdr:colOff>
      <xdr:row>51</xdr:row>
      <xdr:rowOff>65645</xdr:rowOff>
    </xdr:from>
    <xdr:to>
      <xdr:col>10</xdr:col>
      <xdr:colOff>443706</xdr:colOff>
      <xdr:row>77</xdr:row>
      <xdr:rowOff>127240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C14C72-F8FC-4349-8205-78F115A0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344" y="9781145"/>
          <a:ext cx="5653087" cy="5014595"/>
        </a:xfrm>
        <a:prstGeom prst="rect">
          <a:avLst/>
        </a:prstGeom>
      </xdr:spPr>
    </xdr:pic>
    <xdr:clientData/>
  </xdr:twoCellAnchor>
  <xdr:twoCellAnchor>
    <xdr:from>
      <xdr:col>1</xdr:col>
      <xdr:colOff>51856</xdr:colOff>
      <xdr:row>50</xdr:row>
      <xdr:rowOff>8996</xdr:rowOff>
    </xdr:from>
    <xdr:to>
      <xdr:col>10</xdr:col>
      <xdr:colOff>244424</xdr:colOff>
      <xdr:row>76</xdr:row>
      <xdr:rowOff>132373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03BD4-41BE-4AA5-969A-4724D8CF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333375</xdr:colOff>
      <xdr:row>22</xdr:row>
      <xdr:rowOff>119062</xdr:rowOff>
    </xdr:from>
    <xdr:to>
      <xdr:col>12</xdr:col>
      <xdr:colOff>101718</xdr:colOff>
      <xdr:row>45</xdr:row>
      <xdr:rowOff>57562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82D2AA-F5E0-4149-A1F7-3F3CC022D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354542</xdr:colOff>
      <xdr:row>78</xdr:row>
      <xdr:rowOff>76992</xdr:rowOff>
    </xdr:from>
    <xdr:to>
      <xdr:col>38</xdr:col>
      <xdr:colOff>321467</xdr:colOff>
      <xdr:row>92</xdr:row>
      <xdr:rowOff>153192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24A08B0-9748-41CE-9EFB-A72C15481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309300</xdr:colOff>
      <xdr:row>23</xdr:row>
      <xdr:rowOff>167483</xdr:rowOff>
    </xdr:from>
    <xdr:to>
      <xdr:col>18</xdr:col>
      <xdr:colOff>498019</xdr:colOff>
      <xdr:row>46</xdr:row>
      <xdr:rowOff>105983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8E46F7-6E8A-49E4-B979-486EF0F0D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534194</xdr:colOff>
      <xdr:row>50</xdr:row>
      <xdr:rowOff>29925</xdr:rowOff>
    </xdr:from>
    <xdr:to>
      <xdr:col>16</xdr:col>
      <xdr:colOff>396081</xdr:colOff>
      <xdr:row>76</xdr:row>
      <xdr:rowOff>67707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62D-E32B-4A1D-86DE-E34E45DC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5544" y="9554925"/>
          <a:ext cx="5653087" cy="5009832"/>
        </a:xfrm>
        <a:prstGeom prst="rect">
          <a:avLst/>
        </a:prstGeom>
      </xdr:spPr>
    </xdr:pic>
    <xdr:clientData/>
  </xdr:twoCellAnchor>
  <xdr:twoCellAnchor>
    <xdr:from>
      <xdr:col>4</xdr:col>
      <xdr:colOff>289981</xdr:colOff>
      <xdr:row>48</xdr:row>
      <xdr:rowOff>163776</xdr:rowOff>
    </xdr:from>
    <xdr:to>
      <xdr:col>16</xdr:col>
      <xdr:colOff>196799</xdr:colOff>
      <xdr:row>75</xdr:row>
      <xdr:rowOff>72840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FA23B8-859B-4D06-B0EC-4A5772B34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309562</xdr:colOff>
      <xdr:row>23</xdr:row>
      <xdr:rowOff>166687</xdr:rowOff>
    </xdr:from>
    <xdr:to>
      <xdr:col>9</xdr:col>
      <xdr:colOff>125531</xdr:colOff>
      <xdr:row>46</xdr:row>
      <xdr:rowOff>105187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E39B6B-C540-46BA-BE32-DCF557D17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354542</xdr:colOff>
      <xdr:row>78</xdr:row>
      <xdr:rowOff>76992</xdr:rowOff>
    </xdr:from>
    <xdr:to>
      <xdr:col>38</xdr:col>
      <xdr:colOff>321467</xdr:colOff>
      <xdr:row>92</xdr:row>
      <xdr:rowOff>153192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2049FF-EC94-4C7A-86AC-D073D3C34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0714-BDD6-4681-8C4E-CD9961BBF403}">
  <dimension ref="A1:AU6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K21"/>
    </sheetView>
  </sheetViews>
  <sheetFormatPr defaultRowHeight="15" x14ac:dyDescent="0.25"/>
  <cols>
    <col min="1" max="1" width="10.140625" customWidth="1"/>
    <col min="2" max="2" width="12.140625" style="1" customWidth="1"/>
    <col min="3" max="4" width="12.7109375" bestFit="1" customWidth="1"/>
    <col min="5" max="5" width="10.7109375" customWidth="1"/>
    <col min="6" max="6" width="3.85546875" customWidth="1"/>
    <col min="7" max="7" width="5.28515625" customWidth="1"/>
    <col min="8" max="8" width="13" bestFit="1" customWidth="1"/>
    <col min="9" max="9" width="3" customWidth="1"/>
    <col min="11" max="11" width="11.7109375" bestFit="1" customWidth="1"/>
    <col min="12" max="12" width="2.140625" customWidth="1"/>
    <col min="13" max="13" width="2.5703125" customWidth="1"/>
    <col min="14" max="14" width="3.5703125" customWidth="1"/>
    <col min="15" max="15" width="9.140625" style="3"/>
    <col min="16" max="16" width="12.7109375" bestFit="1" customWidth="1"/>
    <col min="17" max="17" width="9.140625" customWidth="1"/>
    <col min="19" max="19" width="10.5703125" customWidth="1"/>
    <col min="20" max="20" width="13" bestFit="1" customWidth="1"/>
    <col min="21" max="21" width="12" bestFit="1" customWidth="1"/>
    <col min="22" max="22" width="11" customWidth="1"/>
    <col min="23" max="23" width="13.5703125" bestFit="1" customWidth="1"/>
    <col min="24" max="24" width="10.85546875" bestFit="1" customWidth="1"/>
    <col min="25" max="25" width="12.7109375" bestFit="1" customWidth="1"/>
    <col min="27" max="27" width="12.7109375" bestFit="1" customWidth="1"/>
    <col min="31" max="31" width="10.5703125" customWidth="1"/>
    <col min="32" max="32" width="10.42578125" customWidth="1"/>
    <col min="33" max="33" width="10.28515625" customWidth="1"/>
    <col min="34" max="34" width="11.42578125" customWidth="1"/>
    <col min="35" max="35" width="14.7109375" customWidth="1"/>
    <col min="36" max="36" width="18.28515625" customWidth="1"/>
    <col min="37" max="37" width="10.7109375" customWidth="1"/>
    <col min="38" max="38" width="11.5703125" customWidth="1"/>
    <col min="41" max="41" width="14.42578125" customWidth="1"/>
  </cols>
  <sheetData>
    <row r="1" spans="1:47" x14ac:dyDescent="0.25">
      <c r="A1" t="s">
        <v>57</v>
      </c>
      <c r="E1" t="s">
        <v>51</v>
      </c>
      <c r="H1" t="s">
        <v>52</v>
      </c>
      <c r="J1" t="s">
        <v>39</v>
      </c>
      <c r="K1" t="s">
        <v>58</v>
      </c>
      <c r="L1" t="s">
        <v>14</v>
      </c>
      <c r="N1" t="s">
        <v>39</v>
      </c>
      <c r="O1" s="3" t="s">
        <v>48</v>
      </c>
      <c r="P1" t="s">
        <v>59</v>
      </c>
      <c r="Q1" t="s">
        <v>0</v>
      </c>
      <c r="S1" t="s">
        <v>44</v>
      </c>
      <c r="T1" t="s">
        <v>43</v>
      </c>
      <c r="U1" t="s">
        <v>42</v>
      </c>
      <c r="V1" s="1"/>
    </row>
    <row r="2" spans="1:47" x14ac:dyDescent="0.25">
      <c r="A2" s="3">
        <f>J2</f>
        <v>0.1</v>
      </c>
      <c r="C2" s="1"/>
      <c r="D2" s="1"/>
      <c r="E2" s="1">
        <f>J2*1000*ly_m*U2</f>
        <v>1.3479709917666651E-5</v>
      </c>
      <c r="H2">
        <v>0</v>
      </c>
      <c r="J2">
        <v>0.1</v>
      </c>
      <c r="K2" s="1">
        <f>U2+du</f>
        <v>1.4249384817829442E-23</v>
      </c>
      <c r="L2" s="1">
        <f>X$9</f>
        <v>2.2E-28</v>
      </c>
      <c r="N2">
        <f>J2</f>
        <v>0.1</v>
      </c>
      <c r="O2">
        <v>1</v>
      </c>
      <c r="P2" s="1">
        <f>2*PI()*SQRT(Kappa*c_ms^2/2)*SQRT(H2)*T2*c_kms</f>
        <v>0</v>
      </c>
      <c r="Q2">
        <v>0</v>
      </c>
      <c r="S2">
        <v>1</v>
      </c>
      <c r="T2" s="1">
        <f t="shared" ref="T2:T21" si="0">SQRT(U2/(X$9+U2))</f>
        <v>0.99999228033869603</v>
      </c>
      <c r="U2" s="1">
        <f t="shared" ref="U2:U21" si="1">nf*EXP(-bf*POWER(ABS(J2-U$31),kf))+pf*EXP(-mf*J2^qf)</f>
        <v>1.4249164817829441E-23</v>
      </c>
      <c r="V2" s="1"/>
      <c r="W2" t="str">
        <f>'M101 &amp; fit parameters'!W2</f>
        <v>Msun</v>
      </c>
      <c r="X2">
        <f>'M101 &amp; fit parameters'!X2</f>
        <v>2E+30</v>
      </c>
      <c r="Y2" t="str">
        <f>'M101 &amp; fit parameters'!Y2</f>
        <v>kg</v>
      </c>
      <c r="AC2" s="4"/>
      <c r="AE2" s="1"/>
      <c r="AF2" s="1"/>
      <c r="AG2" s="1"/>
      <c r="AH2" s="4"/>
      <c r="AI2" s="4"/>
      <c r="AJ2" s="4"/>
      <c r="AK2" s="4"/>
      <c r="AL2" s="4"/>
      <c r="AM2" s="4"/>
      <c r="AN2" s="4"/>
      <c r="AO2" s="4"/>
      <c r="AP2" s="4"/>
      <c r="AQ2" s="4"/>
      <c r="AU2">
        <f>SUM(AH2:AS2)</f>
        <v>0</v>
      </c>
    </row>
    <row r="3" spans="1:47" x14ac:dyDescent="0.25">
      <c r="A3" s="3">
        <f t="shared" ref="A3:A21" si="2">J3</f>
        <v>5.0999999999999996</v>
      </c>
      <c r="C3" s="1"/>
      <c r="D3" s="1"/>
      <c r="E3" s="1">
        <f>J3*1000*ly_m*U3</f>
        <v>3.9275380670323653E-3</v>
      </c>
      <c r="H3" s="1">
        <f>H2+(J3-J2)*1000*ly_m*(E3+E2)/2</f>
        <v>9.3205070424868256E+16</v>
      </c>
      <c r="J3">
        <f>J2+5</f>
        <v>5.0999999999999996</v>
      </c>
      <c r="K3" s="1">
        <f>U3+du</f>
        <v>8.1406721410114114E-23</v>
      </c>
      <c r="L3" s="1">
        <f t="shared" ref="L3:L21" si="3">X$9</f>
        <v>2.2E-28</v>
      </c>
      <c r="N3">
        <f>J3</f>
        <v>5.0999999999999996</v>
      </c>
      <c r="O3" s="1">
        <f>0.25*P2+0.5*P3+0.25*P4</f>
        <v>64.337157552128645</v>
      </c>
      <c r="P3" s="1">
        <f>2*PI()*SQRT(Kappa*c_ms^2/2)*SQRT(H3)*T3*c_kms</f>
        <v>55.634579624823303</v>
      </c>
      <c r="Q3">
        <v>50</v>
      </c>
      <c r="S3" s="1">
        <f>0.25*T2+0.5*T3+0.25*T4</f>
        <v>0.99999725833695718</v>
      </c>
      <c r="T3" s="1">
        <f t="shared" si="0"/>
        <v>0.9999986487593111</v>
      </c>
      <c r="U3" s="1">
        <f t="shared" si="1"/>
        <v>8.140650141011411E-23</v>
      </c>
      <c r="W3" t="str">
        <f>'M101 &amp; fit parameters'!W3</f>
        <v>MG</v>
      </c>
      <c r="X3">
        <f>'M101 &amp; fit parameters'!X3</f>
        <v>60000000000</v>
      </c>
      <c r="Y3" t="str">
        <f>'M101 &amp; fit parameters'!Y3</f>
        <v>Msun</v>
      </c>
      <c r="Z3" t="str">
        <f>'M101 &amp; fit parameters'!Z9</f>
        <v>1ly</v>
      </c>
      <c r="AA3">
        <f>'M101 &amp; fit parameters'!AA9</f>
        <v>9460000000000000</v>
      </c>
      <c r="AC3" s="4"/>
      <c r="AE3" s="1"/>
      <c r="AF3" s="1"/>
      <c r="AG3" s="1"/>
      <c r="AH3" s="4"/>
      <c r="AI3" s="4"/>
      <c r="AJ3" s="4"/>
      <c r="AK3" s="4"/>
      <c r="AL3" s="4"/>
      <c r="AM3" s="4"/>
      <c r="AN3" s="4"/>
      <c r="AO3" s="4"/>
      <c r="AP3" s="4"/>
      <c r="AQ3" s="4"/>
      <c r="AU3">
        <f t="shared" ref="AU3:AU21" si="4">SUM(AH3:AS3)</f>
        <v>0</v>
      </c>
    </row>
    <row r="4" spans="1:47" x14ac:dyDescent="0.25">
      <c r="A4" s="3">
        <f t="shared" si="2"/>
        <v>10.1</v>
      </c>
      <c r="C4" s="1"/>
      <c r="D4" s="1"/>
      <c r="E4" s="1">
        <f>J4*1000*ly_m*U4</f>
        <v>1.9301870057698851E-2</v>
      </c>
      <c r="H4" s="1">
        <f>H3+(J4-J3)*1000*ly_m*(E4+E3)/2</f>
        <v>6.425805725747616E+17</v>
      </c>
      <c r="J4">
        <f t="shared" ref="J4:J21" si="5">J3+5</f>
        <v>10.1</v>
      </c>
      <c r="K4" s="1">
        <f>U4+du</f>
        <v>2.0201673620893446E-22</v>
      </c>
      <c r="L4" s="1">
        <f t="shared" si="3"/>
        <v>2.2E-28</v>
      </c>
      <c r="N4">
        <f t="shared" ref="N4:N21" si="6">J4</f>
        <v>10.1</v>
      </c>
      <c r="O4" s="1">
        <f t="shared" ref="O4:O21" si="7">0.25*P3+0.5*P4+0.25*P5</f>
        <v>143.20671690798974</v>
      </c>
      <c r="P4" s="1">
        <f>2*PI()*SQRT(Kappa*c_ms^2/2)*SQRT(H4)*T4*c_kms</f>
        <v>146.07947095886794</v>
      </c>
      <c r="Q4">
        <v>110</v>
      </c>
      <c r="S4" s="1">
        <f t="shared" ref="S4:S21" si="8">0.25*T3+0.5*T4+0.25*T5</f>
        <v>0.99999917176855668</v>
      </c>
      <c r="T4" s="1">
        <f t="shared" si="0"/>
        <v>0.99999945549051028</v>
      </c>
      <c r="U4" s="1">
        <f t="shared" si="1"/>
        <v>2.0201651620893447E-22</v>
      </c>
      <c r="W4" t="str">
        <f>'M101 &amp; fit parameters'!W4</f>
        <v>MG</v>
      </c>
      <c r="X4">
        <f>'M101 &amp; fit parameters'!X4</f>
        <v>1.2000000000000001E+41</v>
      </c>
      <c r="AC4" s="4"/>
      <c r="AE4" s="1"/>
      <c r="AF4" s="1"/>
      <c r="AG4" s="1"/>
      <c r="AH4" s="4"/>
      <c r="AI4" s="4"/>
      <c r="AJ4" s="4"/>
      <c r="AK4" s="4"/>
      <c r="AL4" s="4"/>
      <c r="AM4" s="4"/>
      <c r="AN4" s="4"/>
      <c r="AO4" s="4"/>
      <c r="AP4" s="4"/>
      <c r="AQ4" s="4"/>
      <c r="AU4">
        <f t="shared" si="4"/>
        <v>0</v>
      </c>
    </row>
    <row r="5" spans="1:47" x14ac:dyDescent="0.25">
      <c r="A5" s="3">
        <f t="shared" si="2"/>
        <v>15.1</v>
      </c>
      <c r="C5" s="1"/>
      <c r="D5" s="1"/>
      <c r="E5" s="1">
        <f>J5*1000*ly_m*U5</f>
        <v>1.8005786336539209E-2</v>
      </c>
      <c r="H5" s="1">
        <f>H4+(J5-J4)*1000*ly_m*(E5+E4)/2</f>
        <v>1.5249066462984919E+18</v>
      </c>
      <c r="J5">
        <f t="shared" si="5"/>
        <v>15.1</v>
      </c>
      <c r="K5" s="1">
        <f>U5+du</f>
        <v>1.2605055628200444E-22</v>
      </c>
      <c r="L5" s="1">
        <f t="shared" si="3"/>
        <v>2.2E-28</v>
      </c>
      <c r="N5">
        <f t="shared" si="6"/>
        <v>15.1</v>
      </c>
      <c r="O5" s="1">
        <f t="shared" si="7"/>
        <v>214.75986618709129</v>
      </c>
      <c r="P5" s="1">
        <f>2*PI()*SQRT(Kappa*c_ms^2/2)*SQRT(H5)*T5*c_kms</f>
        <v>225.03334608939974</v>
      </c>
      <c r="Q5">
        <v>200</v>
      </c>
      <c r="S5" s="1">
        <f t="shared" si="8"/>
        <v>0.9999984794999105</v>
      </c>
      <c r="T5" s="1">
        <f t="shared" si="0"/>
        <v>0.99999912733389495</v>
      </c>
      <c r="U5" s="1">
        <f t="shared" si="1"/>
        <v>1.2605033628200445E-22</v>
      </c>
      <c r="AC5" s="4"/>
      <c r="AE5" s="1"/>
      <c r="AF5" s="1"/>
      <c r="AG5" s="1"/>
      <c r="AH5" s="4"/>
      <c r="AI5" s="4"/>
      <c r="AJ5" s="4"/>
      <c r="AK5" s="4"/>
      <c r="AL5" s="4"/>
      <c r="AM5" s="4"/>
      <c r="AN5" s="4"/>
      <c r="AO5" s="4"/>
      <c r="AP5" s="4"/>
      <c r="AQ5" s="4"/>
      <c r="AU5">
        <f t="shared" si="4"/>
        <v>0</v>
      </c>
    </row>
    <row r="6" spans="1:47" x14ac:dyDescent="0.25">
      <c r="A6" s="3">
        <f t="shared" si="2"/>
        <v>20.100000000000001</v>
      </c>
      <c r="C6" s="1"/>
      <c r="D6" s="1"/>
      <c r="E6" s="1">
        <f>J6*1000*ly_m*U6</f>
        <v>5.5155764592191179E-3</v>
      </c>
      <c r="H6" s="1">
        <f>H5+(J6-J5)*1000*ly_m*(E6+E5)/2</f>
        <v>2.0811868764181765E+18</v>
      </c>
      <c r="J6">
        <f t="shared" si="5"/>
        <v>20.100000000000001</v>
      </c>
      <c r="K6" s="1">
        <f>U6+du</f>
        <v>2.9007280149669819E-23</v>
      </c>
      <c r="L6" s="1">
        <f t="shared" si="3"/>
        <v>2.2E-28</v>
      </c>
      <c r="N6">
        <f t="shared" si="6"/>
        <v>20.100000000000001</v>
      </c>
      <c r="O6" s="1">
        <f t="shared" si="7"/>
        <v>255.73395483090729</v>
      </c>
      <c r="P6" s="1">
        <f>2*PI()*SQRT(Kappa*c_ms^2/2)*SQRT(H6)*T6*c_kms</f>
        <v>262.89330161069773</v>
      </c>
      <c r="Q6">
        <v>240</v>
      </c>
      <c r="S6" s="1">
        <f t="shared" si="8"/>
        <v>0.99998943456033063</v>
      </c>
      <c r="T6" s="1">
        <f t="shared" si="0"/>
        <v>0.99999620784134191</v>
      </c>
      <c r="U6" s="1">
        <f t="shared" si="1"/>
        <v>2.900706014966982E-23</v>
      </c>
      <c r="W6" t="str">
        <f>'M101 &amp; fit parameters'!W6</f>
        <v>G &lt;density&gt;</v>
      </c>
      <c r="X6">
        <f>'M101 &amp; fit parameters'!X6</f>
        <v>1.527932516313863E+36</v>
      </c>
      <c r="Y6" t="str">
        <f>'M101 &amp; fit parameters'!Y6</f>
        <v>kg/kly</v>
      </c>
      <c r="AC6" s="4"/>
      <c r="AE6" s="1"/>
      <c r="AF6" s="1"/>
      <c r="AG6" s="1"/>
      <c r="AH6" s="4"/>
      <c r="AI6" s="4"/>
      <c r="AJ6" s="4"/>
      <c r="AK6" s="4"/>
      <c r="AL6" s="4"/>
      <c r="AM6" s="4"/>
      <c r="AN6" s="4"/>
      <c r="AO6" s="4"/>
      <c r="AP6" s="4"/>
      <c r="AQ6" s="4"/>
      <c r="AU6">
        <f t="shared" si="4"/>
        <v>0</v>
      </c>
    </row>
    <row r="7" spans="1:47" x14ac:dyDescent="0.25">
      <c r="A7" s="3">
        <f t="shared" si="2"/>
        <v>25.1</v>
      </c>
      <c r="C7" s="1"/>
      <c r="D7" s="1"/>
      <c r="E7" s="1">
        <f>J7*1000*ly_m*U7</f>
        <v>7.7260491708404789E-4</v>
      </c>
      <c r="H7" s="1">
        <f>H6+(J7-J6)*1000*ly_m*(E7+E6)/2</f>
        <v>2.2299023659677463E+18</v>
      </c>
      <c r="J7">
        <f t="shared" si="5"/>
        <v>25.1</v>
      </c>
      <c r="K7" s="1">
        <f>U7+du</f>
        <v>3.2540331494489185E-24</v>
      </c>
      <c r="L7" s="1">
        <f t="shared" si="3"/>
        <v>2.2E-28</v>
      </c>
      <c r="N7">
        <f t="shared" si="6"/>
        <v>25.1</v>
      </c>
      <c r="O7" s="1">
        <f t="shared" si="7"/>
        <v>270.07236227887608</v>
      </c>
      <c r="P7" s="1">
        <f>2*PI()*SQRT(Kappa*c_ms^2/2)*SQRT(H7)*T7*c_kms</f>
        <v>272.11587001283397</v>
      </c>
      <c r="Q7">
        <v>265</v>
      </c>
      <c r="S7" s="1">
        <f t="shared" si="8"/>
        <v>0.99984182036734492</v>
      </c>
      <c r="T7" s="1">
        <f t="shared" si="0"/>
        <v>0.99996619522474361</v>
      </c>
      <c r="U7" s="1">
        <f t="shared" si="1"/>
        <v>3.2538131494489185E-24</v>
      </c>
      <c r="X7">
        <f>'M101 &amp; fit parameters'!X7</f>
        <v>1.8048069891415169E-21</v>
      </c>
      <c r="Y7" t="str">
        <f>'M101 &amp; fit parameters'!Y7</f>
        <v>kg/m3</v>
      </c>
      <c r="AC7" s="4"/>
      <c r="AE7" s="1"/>
      <c r="AF7" s="1"/>
      <c r="AG7" s="1"/>
      <c r="AH7" s="4"/>
      <c r="AI7" s="4"/>
      <c r="AJ7" s="4"/>
      <c r="AK7" s="4"/>
      <c r="AL7" s="4"/>
      <c r="AM7" s="4"/>
      <c r="AN7" s="4"/>
      <c r="AO7" s="4"/>
      <c r="AP7" s="4"/>
      <c r="AQ7" s="4"/>
      <c r="AU7">
        <f t="shared" si="4"/>
        <v>0</v>
      </c>
    </row>
    <row r="8" spans="1:47" x14ac:dyDescent="0.25">
      <c r="A8" s="3">
        <f t="shared" si="2"/>
        <v>30.1</v>
      </c>
      <c r="C8" s="1"/>
      <c r="D8" s="1"/>
      <c r="E8" s="1">
        <f>J8*1000*ly_m*U8</f>
        <v>5.5754057019634716E-5</v>
      </c>
      <c r="H8" s="1">
        <f>H7+(J8-J7)*1000*ly_m*(E8+E7)/2</f>
        <v>2.2494930557052984E+18</v>
      </c>
      <c r="J8">
        <f t="shared" si="5"/>
        <v>30.1</v>
      </c>
      <c r="K8" s="1">
        <f>U8+du</f>
        <v>1.9602277517378547E-25</v>
      </c>
      <c r="L8" s="1">
        <f t="shared" si="3"/>
        <v>2.2E-28</v>
      </c>
      <c r="N8">
        <f t="shared" si="6"/>
        <v>30.1</v>
      </c>
      <c r="O8" s="1">
        <f t="shared" si="7"/>
        <v>271.9591430954971</v>
      </c>
      <c r="P8" s="1">
        <f>2*PI()*SQRT(Kappa*c_ms^2/2)*SQRT(H8)*T8*c_kms</f>
        <v>273.16440747913873</v>
      </c>
      <c r="Q8">
        <v>270</v>
      </c>
      <c r="S8" s="1">
        <f t="shared" si="8"/>
        <v>0.99604455036867967</v>
      </c>
      <c r="T8" s="1">
        <f t="shared" si="0"/>
        <v>0.99943868317855067</v>
      </c>
      <c r="U8" s="1">
        <f t="shared" si="1"/>
        <v>1.9580277517378546E-25</v>
      </c>
      <c r="AC8" s="4"/>
      <c r="AE8" s="1"/>
      <c r="AF8" s="1"/>
      <c r="AG8" s="1"/>
      <c r="AH8" s="4"/>
      <c r="AI8" s="4"/>
      <c r="AJ8" s="4"/>
      <c r="AK8" s="4"/>
      <c r="AL8" s="4"/>
      <c r="AM8" s="4"/>
      <c r="AN8" s="4"/>
      <c r="AO8" s="4"/>
      <c r="AP8" s="4"/>
      <c r="AQ8" s="4"/>
      <c r="AU8">
        <f t="shared" si="4"/>
        <v>0</v>
      </c>
    </row>
    <row r="9" spans="1:47" x14ac:dyDescent="0.25">
      <c r="A9" s="3">
        <f t="shared" si="2"/>
        <v>35.1</v>
      </c>
      <c r="C9" s="1"/>
      <c r="D9" s="1"/>
      <c r="E9" s="1">
        <f>J9*1000*ly_m*U9</f>
        <v>2.4359141811614995E-6</v>
      </c>
      <c r="H9" s="1">
        <f>H8+(J9-J8)*1000*ly_m*(E9+E8)/2</f>
        <v>2.2508692485241974E+18</v>
      </c>
      <c r="J9">
        <f t="shared" si="5"/>
        <v>35.1</v>
      </c>
      <c r="K9" s="1">
        <f>U9+du</f>
        <v>7.5560744630608395E-27</v>
      </c>
      <c r="L9" s="1">
        <f t="shared" si="3"/>
        <v>2.2E-28</v>
      </c>
      <c r="N9">
        <f t="shared" si="6"/>
        <v>35.1</v>
      </c>
      <c r="O9" s="1">
        <f t="shared" si="7"/>
        <v>263.62453977140871</v>
      </c>
      <c r="P9" s="1">
        <f>2*PI()*SQRT(Kappa*c_ms^2/2)*SQRT(H9)*T9*c_kms</f>
        <v>269.39188741087685</v>
      </c>
      <c r="Q9">
        <v>263</v>
      </c>
      <c r="S9" s="1">
        <f t="shared" si="8"/>
        <v>0.96431303890435871</v>
      </c>
      <c r="T9" s="1">
        <f t="shared" si="0"/>
        <v>0.98533463989287395</v>
      </c>
      <c r="U9" s="1">
        <f t="shared" si="1"/>
        <v>7.3360744630608395E-27</v>
      </c>
      <c r="W9" t="str">
        <f>'M101 &amp; fit parameters'!W9</f>
        <v>U &lt;density&gt;</v>
      </c>
      <c r="X9">
        <f>'M101 &amp; fit parameters'!X9</f>
        <v>2.2E-28</v>
      </c>
      <c r="Y9" t="str">
        <f>'M101 &amp; fit parameters'!Y9</f>
        <v>kg/m3</v>
      </c>
      <c r="AC9" s="4"/>
      <c r="AE9" s="1"/>
      <c r="AF9" s="1"/>
      <c r="AG9" s="1"/>
      <c r="AH9" s="4"/>
      <c r="AI9" s="4"/>
      <c r="AJ9" s="4"/>
      <c r="AK9" s="4"/>
      <c r="AL9" s="4"/>
      <c r="AM9" s="4"/>
      <c r="AN9" s="4"/>
      <c r="AO9" s="4"/>
      <c r="AP9" s="4"/>
      <c r="AQ9" s="4"/>
      <c r="AU9">
        <f t="shared" si="4"/>
        <v>0</v>
      </c>
    </row>
    <row r="10" spans="1:47" x14ac:dyDescent="0.25">
      <c r="A10" s="3">
        <f t="shared" si="2"/>
        <v>40.1</v>
      </c>
      <c r="C10" s="1"/>
      <c r="D10" s="1"/>
      <c r="E10" s="1">
        <f>J10*1000*ly_m*U10</f>
        <v>3.0840230892590838E-7</v>
      </c>
      <c r="H10" s="1">
        <f>H9+(J10-J9)*1000*ly_m*(E10+E9)/2</f>
        <v>2.2509341516091878E+18</v>
      </c>
      <c r="J10">
        <f t="shared" si="5"/>
        <v>40.1</v>
      </c>
      <c r="K10" s="1">
        <f>U10+du</f>
        <v>1.0329842121069113E-27</v>
      </c>
      <c r="L10" s="1">
        <f t="shared" si="3"/>
        <v>2.2E-28</v>
      </c>
      <c r="N10">
        <f t="shared" si="6"/>
        <v>40.1</v>
      </c>
      <c r="O10" s="1">
        <f t="shared" si="7"/>
        <v>247.58324118445657</v>
      </c>
      <c r="P10" s="1">
        <f>2*PI()*SQRT(Kappa*c_ms^2/2)*SQRT(H10)*T10*c_kms</f>
        <v>242.54997678474234</v>
      </c>
      <c r="Q10">
        <v>252</v>
      </c>
      <c r="S10" s="1">
        <f t="shared" si="8"/>
        <v>0.90555661634770335</v>
      </c>
      <c r="T10" s="1">
        <f t="shared" si="0"/>
        <v>0.88714419265313615</v>
      </c>
      <c r="U10" s="1">
        <f t="shared" si="1"/>
        <v>8.1298421210691131E-28</v>
      </c>
      <c r="AE10" s="1"/>
      <c r="AF10" s="1"/>
      <c r="AG10" s="1"/>
      <c r="AH10" s="4"/>
      <c r="AI10" s="4"/>
      <c r="AJ10" s="4"/>
      <c r="AK10" s="4"/>
      <c r="AL10" s="4"/>
      <c r="AM10" s="4"/>
      <c r="AN10" s="4"/>
      <c r="AO10" s="4"/>
      <c r="AP10" s="4"/>
      <c r="AQ10" s="4"/>
      <c r="AU10">
        <f t="shared" si="4"/>
        <v>0</v>
      </c>
    </row>
    <row r="11" spans="1:47" x14ac:dyDescent="0.25">
      <c r="A11" s="3">
        <f t="shared" si="2"/>
        <v>45.1</v>
      </c>
      <c r="C11" s="1"/>
      <c r="D11" s="1"/>
      <c r="E11" s="1">
        <f>J11*1000*ly_m*U11</f>
        <v>2.7290812850540403E-7</v>
      </c>
      <c r="H11" s="1">
        <f>H10+(J11-J10)*1000*ly_m*(E11+E10)/2</f>
        <v>2.2509478996010332E+18</v>
      </c>
      <c r="J11">
        <f t="shared" si="5"/>
        <v>45.1</v>
      </c>
      <c r="K11" s="1">
        <f>U11+du</f>
        <v>8.5965940968719734E-28</v>
      </c>
      <c r="L11" s="1">
        <f t="shared" si="3"/>
        <v>2.2E-28</v>
      </c>
      <c r="N11">
        <f t="shared" si="6"/>
        <v>45.1</v>
      </c>
      <c r="O11" s="1">
        <f t="shared" si="7"/>
        <v>236.99686778354265</v>
      </c>
      <c r="P11" s="1">
        <f>2*PI()*SQRT(Kappa*c_ms^2/2)*SQRT(H11)*T11*c_kms</f>
        <v>235.84112375746471</v>
      </c>
      <c r="Q11">
        <v>242</v>
      </c>
      <c r="S11" s="1">
        <f t="shared" si="8"/>
        <v>0.86683069790900702</v>
      </c>
      <c r="T11" s="1">
        <f t="shared" si="0"/>
        <v>0.86260344019166735</v>
      </c>
      <c r="U11" s="1">
        <f t="shared" si="1"/>
        <v>6.3965940968719739E-28</v>
      </c>
      <c r="AE11" s="1"/>
      <c r="AF11" s="1"/>
      <c r="AG11" s="1"/>
      <c r="AH11" s="4"/>
      <c r="AI11" s="4"/>
      <c r="AJ11" s="4"/>
      <c r="AK11" s="4"/>
      <c r="AL11" s="4"/>
      <c r="AM11" s="4"/>
      <c r="AN11" s="4"/>
      <c r="AO11" s="4"/>
      <c r="AP11" s="4"/>
      <c r="AQ11" s="4"/>
      <c r="AU11">
        <f t="shared" si="4"/>
        <v>0</v>
      </c>
    </row>
    <row r="12" spans="1:47" x14ac:dyDescent="0.25">
      <c r="A12" s="3">
        <f t="shared" si="2"/>
        <v>50.1</v>
      </c>
      <c r="C12" s="1"/>
      <c r="D12" s="1"/>
      <c r="E12" s="1">
        <f>J12*1000*ly_m*U12</f>
        <v>2.8331205090760029E-7</v>
      </c>
      <c r="H12" s="1">
        <f>H11+(J12-J11)*1000*ly_m*(E12+E11)/2</f>
        <v>2.2509610542082762E+18</v>
      </c>
      <c r="J12">
        <f t="shared" si="5"/>
        <v>50.1</v>
      </c>
      <c r="K12" s="1">
        <f>U12+du</f>
        <v>8.1777284945457986E-28</v>
      </c>
      <c r="L12" s="1">
        <f t="shared" si="3"/>
        <v>2.2E-28</v>
      </c>
      <c r="N12">
        <f t="shared" si="6"/>
        <v>50.1</v>
      </c>
      <c r="O12" s="1">
        <f t="shared" si="7"/>
        <v>233.75714449848283</v>
      </c>
      <c r="P12" s="1">
        <f>2*PI()*SQRT(Kappa*c_ms^2/2)*SQRT(H12)*T12*c_kms</f>
        <v>233.75524683449882</v>
      </c>
      <c r="Q12">
        <v>232</v>
      </c>
      <c r="S12" s="1">
        <f t="shared" si="8"/>
        <v>0.85497864926703937</v>
      </c>
      <c r="T12" s="1">
        <f t="shared" si="0"/>
        <v>0.85497171859955701</v>
      </c>
      <c r="U12" s="1">
        <f t="shared" si="1"/>
        <v>5.9777284945457982E-28</v>
      </c>
      <c r="AE12" s="1"/>
      <c r="AF12" s="1"/>
      <c r="AG12" s="1"/>
      <c r="AH12" s="4"/>
      <c r="AI12" s="4"/>
      <c r="AJ12" s="4"/>
      <c r="AK12" s="4"/>
      <c r="AL12" s="4"/>
      <c r="AM12" s="4"/>
      <c r="AN12" s="4"/>
      <c r="AO12" s="4"/>
      <c r="AP12" s="4"/>
      <c r="AQ12" s="4"/>
      <c r="AU12">
        <f t="shared" si="4"/>
        <v>0</v>
      </c>
    </row>
    <row r="13" spans="1:47" x14ac:dyDescent="0.25">
      <c r="A13" s="3">
        <f t="shared" si="2"/>
        <v>55.1</v>
      </c>
      <c r="C13" s="1"/>
      <c r="D13" s="1"/>
      <c r="E13" s="1">
        <f>J13*1000*ly_m*U13</f>
        <v>2.9201792055364801E-7</v>
      </c>
      <c r="H13" s="1">
        <f>H12+(J13-J12)*1000*ly_m*(E13+E12)/2</f>
        <v>2.2509746607621012E+18</v>
      </c>
      <c r="J13">
        <f t="shared" si="5"/>
        <v>55.1</v>
      </c>
      <c r="K13" s="1">
        <f>U13+du</f>
        <v>7.8023052561295058E-28</v>
      </c>
      <c r="L13" s="1">
        <f t="shared" si="3"/>
        <v>2.2E-28</v>
      </c>
      <c r="N13">
        <f t="shared" si="6"/>
        <v>55.1</v>
      </c>
      <c r="O13" s="1">
        <f t="shared" si="7"/>
        <v>231.6605321271638</v>
      </c>
      <c r="P13" s="1">
        <f>2*PI()*SQRT(Kappa*c_ms^2/2)*SQRT(H13)*T13*c_kms</f>
        <v>231.67696056746902</v>
      </c>
      <c r="Q13">
        <v>225</v>
      </c>
      <c r="S13" s="1">
        <f t="shared" si="8"/>
        <v>0.84730762678518357</v>
      </c>
      <c r="T13" s="1">
        <f t="shared" si="0"/>
        <v>0.84736771967737601</v>
      </c>
      <c r="U13" s="1">
        <f t="shared" si="1"/>
        <v>5.6023052561295054E-28</v>
      </c>
      <c r="W13" t="str">
        <f>'M101 &amp; fit parameters'!W13</f>
        <v>c_kms</v>
      </c>
      <c r="X13" s="1">
        <f>'M101 &amp; fit parameters'!X13</f>
        <v>300000</v>
      </c>
      <c r="Y13" t="str">
        <f>'M101 &amp; fit parameters'!Y13</f>
        <v>km/s</v>
      </c>
      <c r="Z13" t="str">
        <f>'M101 &amp; fit parameters'!Z13</f>
        <v>Kuc2</v>
      </c>
      <c r="AA13">
        <f>'M101 &amp; fit parameters'!AA13</f>
        <v>4.1124599999999997E-54</v>
      </c>
      <c r="AE13" s="1"/>
      <c r="AF13" s="1"/>
      <c r="AG13" s="1"/>
      <c r="AH13" s="4"/>
      <c r="AI13" s="4"/>
      <c r="AJ13" s="4"/>
      <c r="AK13" s="4"/>
      <c r="AL13" s="4"/>
      <c r="AM13" s="4"/>
      <c r="AN13" s="4"/>
      <c r="AO13" s="4"/>
      <c r="AP13" s="4"/>
      <c r="AQ13" s="4"/>
      <c r="AU13">
        <f t="shared" si="4"/>
        <v>0</v>
      </c>
    </row>
    <row r="14" spans="1:47" x14ac:dyDescent="0.25">
      <c r="A14" s="3">
        <f t="shared" si="2"/>
        <v>60.1</v>
      </c>
      <c r="C14" s="1"/>
      <c r="D14" s="1"/>
      <c r="E14" s="1">
        <f>J14*1000*ly_m*U14</f>
        <v>2.9863223969064514E-7</v>
      </c>
      <c r="H14" s="1">
        <f>H13+(J14-J13)*1000*ly_m*(E14+E13)/2</f>
        <v>2.250988629638391E+18</v>
      </c>
      <c r="J14">
        <f t="shared" si="5"/>
        <v>60.1</v>
      </c>
      <c r="K14" s="1">
        <f>U14+du</f>
        <v>7.4525607372252233E-28</v>
      </c>
      <c r="L14" s="1">
        <f t="shared" si="3"/>
        <v>2.2E-28</v>
      </c>
      <c r="N14">
        <f t="shared" si="6"/>
        <v>60.1</v>
      </c>
      <c r="O14" s="1">
        <f t="shared" si="7"/>
        <v>229.51639840234736</v>
      </c>
      <c r="P14" s="1">
        <f>2*PI()*SQRT(Kappa*c_ms^2/2)*SQRT(H14)*T14*c_kms</f>
        <v>229.53296053921841</v>
      </c>
      <c r="Q14">
        <v>222</v>
      </c>
      <c r="S14" s="1">
        <f t="shared" si="8"/>
        <v>0.83946277264317448</v>
      </c>
      <c r="T14" s="1">
        <f t="shared" si="0"/>
        <v>0.83952334918642535</v>
      </c>
      <c r="U14" s="1">
        <f t="shared" si="1"/>
        <v>5.2525607372252229E-28</v>
      </c>
      <c r="W14" t="str">
        <f>'M101 &amp; fit parameters'!W14</f>
        <v>c_ms</v>
      </c>
      <c r="X14" s="1">
        <f>'M101 &amp; fit parameters'!X14</f>
        <v>300000000</v>
      </c>
      <c r="Y14" t="str">
        <f>'M101 &amp; fit parameters'!Y14</f>
        <v>m/s</v>
      </c>
      <c r="AE14" s="1"/>
      <c r="AF14" s="1"/>
      <c r="AG14" s="1"/>
      <c r="AH14" s="4"/>
      <c r="AI14" s="4"/>
      <c r="AJ14" s="4"/>
      <c r="AK14" s="4"/>
      <c r="AL14" s="4"/>
      <c r="AM14" s="4"/>
      <c r="AN14" s="4"/>
      <c r="AO14" s="4"/>
      <c r="AP14" s="4"/>
      <c r="AQ14" s="4"/>
      <c r="AU14">
        <f t="shared" si="4"/>
        <v>0</v>
      </c>
    </row>
    <row r="15" spans="1:47" x14ac:dyDescent="0.25">
      <c r="A15" s="3">
        <f t="shared" si="2"/>
        <v>65.099999999999994</v>
      </c>
      <c r="C15" s="1"/>
      <c r="D15" s="1"/>
      <c r="E15" s="1">
        <f>J15*1000*ly_m*U15</f>
        <v>3.0338783039988784E-7</v>
      </c>
      <c r="H15" s="1">
        <f>H14+(J15-J14)*1000*ly_m*(E15+E14)/2</f>
        <v>2.2510028674130486E+18</v>
      </c>
      <c r="J15">
        <f t="shared" si="5"/>
        <v>65.099999999999994</v>
      </c>
      <c r="K15" s="1">
        <f>U15+du</f>
        <v>7.1263587065579363E-28</v>
      </c>
      <c r="L15" s="1">
        <f t="shared" si="3"/>
        <v>2.2E-28</v>
      </c>
      <c r="N15">
        <f t="shared" si="6"/>
        <v>65.099999999999994</v>
      </c>
      <c r="O15" s="1">
        <f t="shared" si="7"/>
        <v>227.30624335374472</v>
      </c>
      <c r="P15" s="1">
        <f>2*PI()*SQRT(Kappa*c_ms^2/2)*SQRT(H15)*T15*c_kms</f>
        <v>227.32271196348356</v>
      </c>
      <c r="Q15">
        <v>221</v>
      </c>
      <c r="S15" s="1">
        <f t="shared" si="8"/>
        <v>0.83137644277957268</v>
      </c>
      <c r="T15" s="1">
        <f t="shared" si="0"/>
        <v>0.83143667252247122</v>
      </c>
      <c r="U15" s="1">
        <f t="shared" si="1"/>
        <v>4.9263587065579359E-28</v>
      </c>
      <c r="W15" t="str">
        <f>'M101 &amp; fit parameters'!W15</f>
        <v>K</v>
      </c>
      <c r="X15">
        <f>'M101 &amp; fit parameters'!X15</f>
        <v>2.0769999999999998E-43</v>
      </c>
      <c r="Y15" t="str">
        <f>'M101 &amp; fit parameters'!Y15</f>
        <v>N-1</v>
      </c>
      <c r="AE15" s="1"/>
      <c r="AF15" s="1"/>
      <c r="AG15" s="1"/>
      <c r="AH15" s="4"/>
      <c r="AI15" s="4"/>
      <c r="AJ15" s="4"/>
      <c r="AK15" s="4"/>
      <c r="AL15" s="4"/>
      <c r="AM15" s="4"/>
      <c r="AN15" s="4"/>
      <c r="AO15" s="4"/>
      <c r="AP15" s="4"/>
      <c r="AQ15" s="4"/>
      <c r="AU15">
        <f t="shared" si="4"/>
        <v>0</v>
      </c>
    </row>
    <row r="16" spans="1:47" x14ac:dyDescent="0.25">
      <c r="A16" s="3">
        <f t="shared" si="2"/>
        <v>70.099999999999994</v>
      </c>
      <c r="C16" s="1"/>
      <c r="D16" s="1"/>
      <c r="E16" s="1">
        <f>J16*1000*ly_m*U16</f>
        <v>3.0649854372148843E-7</v>
      </c>
      <c r="H16" s="1">
        <f>H15+(J16-J15)*1000*ly_m*(E16+E15)/2</f>
        <v>2.2510172912257966E+18</v>
      </c>
      <c r="J16">
        <f t="shared" si="5"/>
        <v>70.099999999999994</v>
      </c>
      <c r="K16" s="1">
        <f>U16+du</f>
        <v>6.8218863375710387E-28</v>
      </c>
      <c r="L16" s="1">
        <f t="shared" si="3"/>
        <v>2.2E-28</v>
      </c>
      <c r="N16">
        <f t="shared" si="6"/>
        <v>70.099999999999994</v>
      </c>
      <c r="O16" s="1">
        <f t="shared" si="7"/>
        <v>225.03028708446229</v>
      </c>
      <c r="P16" s="1">
        <f>2*PI()*SQRT(Kappa*c_ms^2/2)*SQRT(H16)*T16*c_kms</f>
        <v>225.04658894879333</v>
      </c>
      <c r="Q16">
        <v>220</v>
      </c>
      <c r="S16" s="1">
        <f t="shared" si="8"/>
        <v>0.82304946116487077</v>
      </c>
      <c r="T16" s="1">
        <f t="shared" si="0"/>
        <v>0.82310907688692336</v>
      </c>
      <c r="U16" s="1">
        <f t="shared" si="1"/>
        <v>4.6218863375710392E-28</v>
      </c>
      <c r="AE16" s="1"/>
      <c r="AF16" s="1"/>
      <c r="AG16" s="1"/>
      <c r="AH16" s="4"/>
      <c r="AI16" s="4"/>
      <c r="AJ16" s="4"/>
      <c r="AK16" s="4"/>
      <c r="AL16" s="4"/>
      <c r="AM16" s="4"/>
      <c r="AN16" s="4"/>
      <c r="AO16" s="4"/>
      <c r="AP16" s="4"/>
      <c r="AQ16" s="4"/>
      <c r="AU16">
        <f t="shared" si="4"/>
        <v>0</v>
      </c>
    </row>
    <row r="17" spans="1:47" x14ac:dyDescent="0.25">
      <c r="A17" s="3">
        <f t="shared" si="2"/>
        <v>75.099999999999994</v>
      </c>
      <c r="C17" s="1"/>
      <c r="D17" s="1"/>
      <c r="E17" s="1">
        <f>J17*1000*ly_m*U17</f>
        <v>3.0815651180804764E-7</v>
      </c>
      <c r="H17" s="1">
        <f>H16+(J17-J16)*1000*ly_m*(E17+E16)/2</f>
        <v>2.2510318278178598E+18</v>
      </c>
      <c r="J17">
        <f t="shared" si="5"/>
        <v>75.099999999999994</v>
      </c>
      <c r="K17" s="1">
        <f>U17+du</f>
        <v>6.5375078726327918E-28</v>
      </c>
      <c r="L17" s="1">
        <f t="shared" si="3"/>
        <v>2.2E-28</v>
      </c>
      <c r="N17">
        <f t="shared" si="6"/>
        <v>75.099999999999994</v>
      </c>
      <c r="O17" s="1">
        <f t="shared" si="7"/>
        <v>222.68919396943224</v>
      </c>
      <c r="P17" s="1">
        <f>2*PI()*SQRT(Kappa*c_ms^2/2)*SQRT(H17)*T17*c_kms</f>
        <v>222.70525847677891</v>
      </c>
      <c r="Q17">
        <v>219</v>
      </c>
      <c r="S17" s="1">
        <f t="shared" si="8"/>
        <v>0.81448427440000459</v>
      </c>
      <c r="T17" s="1">
        <f t="shared" si="0"/>
        <v>0.81454301836316512</v>
      </c>
      <c r="U17" s="1">
        <f t="shared" si="1"/>
        <v>4.3375078726327914E-28</v>
      </c>
      <c r="Z17">
        <f>'M101 &amp; fit parameters'!Z20</f>
        <v>0</v>
      </c>
      <c r="AA17">
        <f>'M101 &amp; fit parameters'!AA20</f>
        <v>0</v>
      </c>
      <c r="AE17" s="1"/>
      <c r="AF17" s="1"/>
      <c r="AG17" s="1"/>
      <c r="AH17" s="4"/>
      <c r="AI17" s="4"/>
      <c r="AJ17" s="4"/>
      <c r="AK17" s="4"/>
      <c r="AL17" s="4"/>
      <c r="AM17" s="4"/>
      <c r="AN17" s="4"/>
      <c r="AO17" s="4"/>
      <c r="AP17" s="4"/>
      <c r="AQ17" s="4"/>
      <c r="AU17">
        <f t="shared" si="4"/>
        <v>0</v>
      </c>
    </row>
    <row r="18" spans="1:47" x14ac:dyDescent="0.25">
      <c r="A18" s="3">
        <f t="shared" si="2"/>
        <v>80.099999999999994</v>
      </c>
      <c r="C18" s="1"/>
      <c r="D18" s="1"/>
      <c r="E18" s="1">
        <f>J18*1000*ly_m*U18</f>
        <v>3.0853445915225264E-7</v>
      </c>
      <c r="H18" s="1">
        <f>H17+(J18-J17)*1000*ly_m*(E18+E17)/2</f>
        <v>2.2510464125593231E+18</v>
      </c>
      <c r="J18">
        <f t="shared" si="5"/>
        <v>80.099999999999994</v>
      </c>
      <c r="K18" s="1">
        <f>U18+du</f>
        <v>6.2717398594285248E-28</v>
      </c>
      <c r="L18" s="1">
        <f t="shared" si="3"/>
        <v>2.2E-28</v>
      </c>
      <c r="N18">
        <f t="shared" si="6"/>
        <v>80.099999999999994</v>
      </c>
      <c r="O18" s="1">
        <f t="shared" si="7"/>
        <v>220.2839118843857</v>
      </c>
      <c r="P18" s="1">
        <f>2*PI()*SQRT(Kappa*c_ms^2/2)*SQRT(H18)*T18*c_kms</f>
        <v>220.29966997537784</v>
      </c>
      <c r="Q18">
        <v>218</v>
      </c>
      <c r="S18" s="1">
        <f t="shared" si="8"/>
        <v>0.80568436388960563</v>
      </c>
      <c r="T18" s="1">
        <f t="shared" si="0"/>
        <v>0.80574198398676466</v>
      </c>
      <c r="U18" s="1">
        <f t="shared" si="1"/>
        <v>4.0717398594285244E-28</v>
      </c>
      <c r="W18" t="str">
        <f>'M101 &amp; fit parameters'!W18</f>
        <v>min dens</v>
      </c>
      <c r="X18">
        <f>'M101 &amp; fit parameters'!X18</f>
        <v>1.8873472688731335E-27</v>
      </c>
      <c r="AE18" s="1"/>
      <c r="AF18" s="1"/>
      <c r="AG18" s="1"/>
      <c r="AH18" s="4"/>
      <c r="AI18" s="4"/>
      <c r="AJ18" s="4"/>
      <c r="AK18" s="4"/>
      <c r="AL18" s="4"/>
      <c r="AM18" s="4"/>
      <c r="AN18" s="4"/>
      <c r="AO18" s="4"/>
      <c r="AP18" s="4"/>
      <c r="AQ18" s="4"/>
      <c r="AU18">
        <f t="shared" si="4"/>
        <v>0</v>
      </c>
    </row>
    <row r="19" spans="1:47" x14ac:dyDescent="0.25">
      <c r="A19" s="3">
        <f t="shared" si="2"/>
        <v>85.1</v>
      </c>
      <c r="C19" s="1"/>
      <c r="D19" s="1"/>
      <c r="E19" s="1">
        <f>J19*1000*ly_m*U19</f>
        <v>3.0778773778306759E-7</v>
      </c>
      <c r="H19" s="1">
        <f>H18+(J19-J18)*1000*ly_m*(E19+E18)/2</f>
        <v>2.2510609885792806E+18</v>
      </c>
      <c r="J19">
        <f t="shared" si="5"/>
        <v>85.1</v>
      </c>
      <c r="K19" s="1">
        <f>U19+du</f>
        <v>6.023231688413675E-28</v>
      </c>
      <c r="L19" s="1">
        <f t="shared" si="3"/>
        <v>2.2E-28</v>
      </c>
      <c r="N19">
        <f t="shared" si="6"/>
        <v>85.1</v>
      </c>
      <c r="O19" s="1">
        <f t="shared" si="7"/>
        <v>217.81566493515129</v>
      </c>
      <c r="P19" s="1">
        <f>2*PI()*SQRT(Kappa*c_ms^2/2)*SQRT(H19)*T19*c_kms</f>
        <v>217.83104911000822</v>
      </c>
      <c r="Q19">
        <v>217</v>
      </c>
      <c r="S19" s="1">
        <f t="shared" si="8"/>
        <v>0.79665421943512427</v>
      </c>
      <c r="T19" s="1">
        <f t="shared" si="0"/>
        <v>0.79671046922172795</v>
      </c>
      <c r="U19" s="1">
        <f t="shared" si="1"/>
        <v>3.823231688413675E-28</v>
      </c>
      <c r="AE19" s="1"/>
      <c r="AF19" s="1"/>
      <c r="AG19" s="1"/>
      <c r="AH19" s="4"/>
      <c r="AI19" s="4"/>
      <c r="AJ19" s="4"/>
      <c r="AK19" s="4"/>
      <c r="AL19" s="4"/>
      <c r="AM19" s="4"/>
      <c r="AN19" s="4"/>
      <c r="AO19" s="4"/>
      <c r="AP19" s="4"/>
      <c r="AQ19" s="4"/>
      <c r="AU19">
        <f t="shared" si="4"/>
        <v>0</v>
      </c>
    </row>
    <row r="20" spans="1:47" x14ac:dyDescent="0.25">
      <c r="A20" s="3">
        <f t="shared" si="2"/>
        <v>90.1</v>
      </c>
      <c r="C20" s="1"/>
      <c r="D20" s="1"/>
      <c r="E20" s="1">
        <f>J20*1000*ly_m*U20</f>
        <v>3.0605611068060447E-7</v>
      </c>
      <c r="H20" s="1">
        <f>H19+(J20-J19)*1000*ly_m*(E20+E19)/2</f>
        <v>2.2510755059862968E+18</v>
      </c>
      <c r="J20">
        <f t="shared" si="5"/>
        <v>90.1</v>
      </c>
      <c r="K20" s="1">
        <f>U20+du</f>
        <v>5.7907496566019486E-28</v>
      </c>
      <c r="L20" s="1">
        <f t="shared" si="3"/>
        <v>2.2E-28</v>
      </c>
      <c r="N20">
        <f t="shared" si="6"/>
        <v>90.1</v>
      </c>
      <c r="O20" s="1">
        <f t="shared" si="7"/>
        <v>215.28594703986963</v>
      </c>
      <c r="P20" s="1">
        <f>2*PI()*SQRT(Kappa*c_ms^2/2)*SQRT(H20)*T20*c_kms</f>
        <v>215.3008915452109</v>
      </c>
      <c r="Q20">
        <v>216</v>
      </c>
      <c r="S20" s="1">
        <f t="shared" si="8"/>
        <v>0.78739931592898005</v>
      </c>
      <c r="T20" s="1">
        <f t="shared" si="0"/>
        <v>0.78745395531027629</v>
      </c>
      <c r="U20" s="1">
        <f t="shared" si="1"/>
        <v>3.5907496566019491E-28</v>
      </c>
      <c r="W20" t="s">
        <v>4</v>
      </c>
      <c r="X20" s="1">
        <f>SUMXMY2(O2:O21,Q2:Q21)</f>
        <v>2040.8626496575628</v>
      </c>
      <c r="AE20" s="1"/>
      <c r="AF20" s="1"/>
      <c r="AG20" s="1"/>
      <c r="AH20" s="4"/>
      <c r="AI20" s="4"/>
      <c r="AJ20" s="4"/>
      <c r="AK20" s="4"/>
      <c r="AL20" s="4"/>
      <c r="AM20" s="4"/>
      <c r="AN20" s="4"/>
      <c r="AO20" s="4"/>
      <c r="AP20" s="4"/>
      <c r="AQ20" s="4"/>
      <c r="AU20">
        <f t="shared" si="4"/>
        <v>0</v>
      </c>
    </row>
    <row r="21" spans="1:47" x14ac:dyDescent="0.25">
      <c r="A21" s="3">
        <f t="shared" si="2"/>
        <v>95.1</v>
      </c>
      <c r="C21" s="1"/>
      <c r="D21" s="1"/>
      <c r="E21" s="1">
        <f>J21*1000*ly_m*U21</f>
        <v>3.0346532385948156E-7</v>
      </c>
      <c r="H21" s="1">
        <f>H20+(J21-J20)*1000*ly_m*(E21+E20)/2</f>
        <v>2.2510899211682237E+18</v>
      </c>
      <c r="J21">
        <f t="shared" si="5"/>
        <v>95.1</v>
      </c>
      <c r="K21" s="1">
        <f>U21+du</f>
        <v>5.5731637094977525E-28</v>
      </c>
      <c r="L21" s="1">
        <f t="shared" si="3"/>
        <v>2.2E-28</v>
      </c>
      <c r="N21">
        <f t="shared" si="6"/>
        <v>95.1</v>
      </c>
      <c r="O21" s="1">
        <f t="shared" si="7"/>
        <v>213.35843985558907</v>
      </c>
      <c r="P21" s="1">
        <f>2*PI()*SQRT(Kappa*c_ms^2/2)*SQRT(H21)*T21*c_kms</f>
        <v>212.71095595904845</v>
      </c>
      <c r="Q21">
        <v>215</v>
      </c>
      <c r="S21" s="1">
        <f t="shared" si="8"/>
        <v>0.78034765173279874</v>
      </c>
      <c r="T21" s="1">
        <f t="shared" si="0"/>
        <v>0.77797888387363945</v>
      </c>
      <c r="U21" s="1">
        <f t="shared" si="1"/>
        <v>3.373163709497753E-28</v>
      </c>
      <c r="AE21" s="1"/>
      <c r="AF21" s="1"/>
      <c r="AG21" s="1"/>
      <c r="AH21" s="4"/>
      <c r="AI21" s="4"/>
      <c r="AJ21" s="4"/>
      <c r="AK21" s="4"/>
      <c r="AL21" s="4"/>
      <c r="AM21" s="4"/>
      <c r="AN21" s="4"/>
      <c r="AO21" s="4"/>
      <c r="AP21" s="4"/>
      <c r="AQ21" s="4"/>
      <c r="AU21">
        <f t="shared" si="4"/>
        <v>0</v>
      </c>
    </row>
    <row r="22" spans="1:47" x14ac:dyDescent="0.25">
      <c r="K22" s="1"/>
      <c r="P22" s="1">
        <f>P21</f>
        <v>212.71095595904845</v>
      </c>
      <c r="T22" s="1">
        <f>T21</f>
        <v>0.77797888387363945</v>
      </c>
      <c r="AE22" s="1"/>
      <c r="AF22" s="1"/>
      <c r="AG22" s="1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7" x14ac:dyDescent="0.25">
      <c r="K23" s="1">
        <f>SUMPRODUCT(J2:J6,K2:K6)</f>
        <v>4.9433779842502325E-21</v>
      </c>
      <c r="W23" s="1"/>
    </row>
    <row r="24" spans="1:47" x14ac:dyDescent="0.25">
      <c r="X24" s="1"/>
      <c r="AE24" s="1"/>
    </row>
    <row r="25" spans="1:47" x14ac:dyDescent="0.25">
      <c r="T25" t="str">
        <f>'M101 &amp; fit parameters'!T25</f>
        <v>a</v>
      </c>
      <c r="U25" s="5">
        <f>'M101 &amp; fit parameters'!W25</f>
        <v>2.1000000000000001E-22</v>
      </c>
      <c r="AD25" s="1"/>
    </row>
    <row r="26" spans="1:47" x14ac:dyDescent="0.25">
      <c r="T26" t="str">
        <f>'M101 &amp; fit parameters'!T26</f>
        <v>b</v>
      </c>
      <c r="U26" s="5">
        <f>'M101 &amp; fit parameters'!W26</f>
        <v>4.6366772332019864E-2</v>
      </c>
      <c r="V26" s="1"/>
      <c r="W26" s="1"/>
      <c r="AD26" s="1"/>
    </row>
    <row r="27" spans="1:47" x14ac:dyDescent="0.25">
      <c r="T27" t="str">
        <f>'M101 &amp; fit parameters'!T27</f>
        <v>k</v>
      </c>
      <c r="U27" s="5">
        <f>'M101 &amp; fit parameters'!W27</f>
        <v>1.7</v>
      </c>
      <c r="V27" s="1"/>
      <c r="W27" s="1"/>
      <c r="AD27" s="1"/>
    </row>
    <row r="28" spans="1:47" x14ac:dyDescent="0.25">
      <c r="T28" t="str">
        <f>'M101 &amp; fit parameters'!T28</f>
        <v>p</v>
      </c>
      <c r="U28" s="5">
        <f>'M101 &amp; fit parameters'!W28</f>
        <v>1.2E-27</v>
      </c>
      <c r="W28" s="1"/>
      <c r="AH28" s="2"/>
      <c r="AI28" s="2"/>
      <c r="AJ28" s="2"/>
      <c r="AK28" s="2"/>
      <c r="AL28" s="2"/>
    </row>
    <row r="29" spans="1:47" x14ac:dyDescent="0.25">
      <c r="T29" t="str">
        <f>'M101 &amp; fit parameters'!T29</f>
        <v>m</v>
      </c>
      <c r="U29" s="5">
        <f>'M101 &amp; fit parameters'!W29</f>
        <v>1.7922348587774872E-2</v>
      </c>
      <c r="W29" s="1"/>
      <c r="AH29" s="1"/>
      <c r="AN29" s="4"/>
    </row>
    <row r="30" spans="1:47" x14ac:dyDescent="0.25">
      <c r="T30" t="s">
        <v>9</v>
      </c>
      <c r="U30" s="5">
        <f>'M101 &amp; fit parameters'!W30</f>
        <v>0.93524615178066073</v>
      </c>
      <c r="AH30" s="1"/>
      <c r="AN30" s="4"/>
    </row>
    <row r="31" spans="1:47" x14ac:dyDescent="0.25">
      <c r="U31" s="5">
        <f>'M101 &amp; fit parameters'!W32</f>
        <v>11</v>
      </c>
      <c r="W31" s="1"/>
      <c r="AH31" s="1"/>
      <c r="AN31" s="4"/>
    </row>
    <row r="32" spans="1:47" x14ac:dyDescent="0.25">
      <c r="AH32" s="1"/>
      <c r="AN32" s="4"/>
    </row>
    <row r="33" spans="20:40" x14ac:dyDescent="0.25">
      <c r="T33" t="str">
        <f>'M101 &amp; fit parameters'!T37</f>
        <v>ρu in eq. 43</v>
      </c>
      <c r="U33" s="5">
        <f>'M101 &amp; fit parameters'!W37</f>
        <v>2.2E-28</v>
      </c>
      <c r="AH33" s="1"/>
      <c r="AN33" s="4"/>
    </row>
    <row r="34" spans="20:40" x14ac:dyDescent="0.25">
      <c r="AH34" s="1"/>
      <c r="AN34" s="4"/>
    </row>
    <row r="35" spans="20:40" x14ac:dyDescent="0.25">
      <c r="T35" t="s">
        <v>10</v>
      </c>
      <c r="U35" s="1">
        <f>SUMXMY2(Q4:Q21,O4:O21)+0*SUMXMY2(O14:O21,Q14:Q21)</f>
        <v>1834.3085629830036</v>
      </c>
      <c r="AH35" s="1"/>
      <c r="AN35" s="4"/>
    </row>
    <row r="36" spans="20:40" x14ac:dyDescent="0.25">
      <c r="AH36" s="1"/>
      <c r="AN36" s="4"/>
    </row>
    <row r="37" spans="20:40" x14ac:dyDescent="0.25">
      <c r="AH37" s="1"/>
      <c r="AN37" s="4"/>
    </row>
    <row r="38" spans="20:40" x14ac:dyDescent="0.25">
      <c r="W38" s="1"/>
      <c r="AH38" s="1"/>
      <c r="AN38" s="4"/>
    </row>
    <row r="39" spans="20:40" x14ac:dyDescent="0.25">
      <c r="W39" s="1"/>
      <c r="AH39" s="1"/>
      <c r="AN39" s="4"/>
    </row>
    <row r="40" spans="20:40" x14ac:dyDescent="0.25">
      <c r="U40" s="1"/>
      <c r="W40" s="1"/>
      <c r="AH40" s="1"/>
      <c r="AN40" s="4"/>
    </row>
    <row r="41" spans="20:40" x14ac:dyDescent="0.25">
      <c r="AH41" s="1"/>
      <c r="AN41" s="4"/>
    </row>
    <row r="42" spans="20:40" x14ac:dyDescent="0.25">
      <c r="AH42" s="1"/>
      <c r="AN42" s="4"/>
    </row>
    <row r="43" spans="20:40" x14ac:dyDescent="0.25">
      <c r="U43" s="1">
        <v>745.92387390778958</v>
      </c>
      <c r="AH43" s="1"/>
      <c r="AN43" s="4"/>
    </row>
    <row r="44" spans="20:40" x14ac:dyDescent="0.25">
      <c r="AH44" s="1"/>
      <c r="AN44" s="4"/>
    </row>
    <row r="45" spans="20:40" x14ac:dyDescent="0.25">
      <c r="AH45" s="1"/>
      <c r="AN45" s="4"/>
    </row>
    <row r="46" spans="20:40" x14ac:dyDescent="0.25">
      <c r="U46" s="1"/>
      <c r="AH46" s="1"/>
      <c r="AN46" s="4"/>
    </row>
    <row r="47" spans="20:40" x14ac:dyDescent="0.25">
      <c r="U47" s="1"/>
      <c r="AH47" s="1"/>
      <c r="AN47" s="4"/>
    </row>
    <row r="48" spans="20:40" x14ac:dyDescent="0.25">
      <c r="AH48" s="1"/>
      <c r="AN48" s="4"/>
    </row>
    <row r="49" spans="1:40" x14ac:dyDescent="0.25">
      <c r="AH49" s="1"/>
      <c r="AN49" s="4"/>
    </row>
    <row r="50" spans="1:40" x14ac:dyDescent="0.25">
      <c r="AH50" s="1"/>
      <c r="AN50" s="4"/>
    </row>
    <row r="51" spans="1:40" x14ac:dyDescent="0.25">
      <c r="AH51" s="1"/>
      <c r="AN51" s="4"/>
    </row>
    <row r="52" spans="1:40" x14ac:dyDescent="0.25">
      <c r="AH52" s="1"/>
      <c r="AN52" s="4"/>
    </row>
    <row r="62" spans="1:40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5" spans="5:5" x14ac:dyDescent="0.25">
      <c r="E65" s="1"/>
    </row>
  </sheetData>
  <conditionalFormatting sqref="L2:L21">
    <cfRule type="cellIs" dxfId="27" priority="1" operator="lessThan">
      <formula>0</formula>
    </cfRule>
  </conditionalFormatting>
  <conditionalFormatting sqref="X23:X24">
    <cfRule type="cellIs" dxfId="26" priority="94" operator="lessThan">
      <formula>0</formula>
    </cfRule>
  </conditionalFormatting>
  <conditionalFormatting sqref="AC2">
    <cfRule type="colorScale" priority="10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3">
    <cfRule type="colorScale" priority="10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4">
    <cfRule type="colorScale" priority="10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5">
    <cfRule type="colorScale" priority="9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6">
    <cfRule type="colorScale" priority="9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7">
    <cfRule type="colorScale" priority="9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8">
    <cfRule type="colorScale" priority="9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9">
    <cfRule type="colorScale" priority="9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E24">
    <cfRule type="cellIs" dxfId="25" priority="69" operator="lessThan">
      <formula>0</formula>
    </cfRule>
  </conditionalFormatting>
  <conditionalFormatting sqref="AH29:AK29">
    <cfRule type="colorScale" priority="2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0:AK30">
    <cfRule type="colorScale" priority="2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1:AK31">
    <cfRule type="colorScale" priority="2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2:AK32">
    <cfRule type="colorScale" priority="2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3:AK33">
    <cfRule type="colorScale" priority="2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4:AK34">
    <cfRule type="colorScale" priority="2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5:AK35">
    <cfRule type="colorScale" priority="1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6:AK36">
    <cfRule type="colorScale" priority="1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7:AK37">
    <cfRule type="colorScale" priority="1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8:AK38">
    <cfRule type="colorScale" priority="1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9:AK39">
    <cfRule type="colorScale" priority="1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0:AK40">
    <cfRule type="colorScale" priority="1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1:AK41">
    <cfRule type="colorScale" priority="1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2:AK42">
    <cfRule type="colorScale" priority="1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3:AK43">
    <cfRule type="colorScale" priority="1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4:AK44">
    <cfRule type="colorScale" priority="1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5:AK45">
    <cfRule type="colorScale" priority="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6:AK46">
    <cfRule type="colorScale" priority="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7:AK47">
    <cfRule type="colorScale" priority="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8:AK48">
    <cfRule type="colorScale" priority="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9:AL52">
    <cfRule type="colorScale" priority="10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:AQ2">
    <cfRule type="colorScale" priority="4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:AQ3">
    <cfRule type="colorScale" priority="4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:AQ4">
    <cfRule type="colorScale" priority="4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5:AQ5">
    <cfRule type="colorScale" priority="4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6:AQ6">
    <cfRule type="colorScale" priority="4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7:AQ7">
    <cfRule type="colorScale" priority="4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8:AQ8">
    <cfRule type="colorScale" priority="3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9:AQ9">
    <cfRule type="colorScale" priority="3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0:AQ10">
    <cfRule type="colorScale" priority="3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1:AQ11">
    <cfRule type="colorScale" priority="3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2:AQ12">
    <cfRule type="colorScale" priority="3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3:AQ13">
    <cfRule type="colorScale" priority="3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4:AQ14">
    <cfRule type="colorScale" priority="3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5:AQ15">
    <cfRule type="colorScale" priority="3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6:AQ16">
    <cfRule type="colorScale" priority="3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7:AQ17">
    <cfRule type="colorScale" priority="3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8:AQ18">
    <cfRule type="colorScale" priority="2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9:AQ19">
    <cfRule type="colorScale" priority="2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0:AQ20">
    <cfRule type="colorScale" priority="2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1:AQ21">
    <cfRule type="colorScale" priority="2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2:AS22">
    <cfRule type="colorScale" priority="10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29">
    <cfRule type="colorScale" priority="6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0">
    <cfRule type="colorScale" priority="6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1">
    <cfRule type="colorScale" priority="6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2">
    <cfRule type="colorScale" priority="6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3">
    <cfRule type="colorScale" priority="6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4">
    <cfRule type="colorScale" priority="6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5">
    <cfRule type="colorScale" priority="6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6">
    <cfRule type="colorScale" priority="6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7">
    <cfRule type="colorScale" priority="6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8">
    <cfRule type="colorScale" priority="5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9">
    <cfRule type="colorScale" priority="5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0">
    <cfRule type="colorScale" priority="5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1">
    <cfRule type="colorScale" priority="5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2">
    <cfRule type="colorScale" priority="5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3">
    <cfRule type="colorScale" priority="5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4">
    <cfRule type="colorScale" priority="5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5">
    <cfRule type="colorScale" priority="5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6">
    <cfRule type="colorScale" priority="5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7">
    <cfRule type="colorScale" priority="5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8">
    <cfRule type="colorScale" priority="4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S2:AS21">
    <cfRule type="cellIs" dxfId="24" priority="104" operator="lessThan">
      <formula>0</formula>
    </cfRule>
  </conditionalFormatting>
  <conditionalFormatting sqref="AU2:AU22">
    <cfRule type="cellIs" dxfId="23" priority="9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BEF-F921-4385-BD84-FE3CCAED4594}">
  <dimension ref="A1:AU6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30" sqref="X30"/>
    </sheetView>
  </sheetViews>
  <sheetFormatPr defaultRowHeight="15" x14ac:dyDescent="0.25"/>
  <cols>
    <col min="1" max="1" width="10.140625" customWidth="1"/>
    <col min="2" max="2" width="12.140625" style="1" customWidth="1"/>
    <col min="3" max="4" width="12.7109375" bestFit="1" customWidth="1"/>
    <col min="5" max="5" width="10.7109375" customWidth="1"/>
    <col min="6" max="6" width="3.85546875" customWidth="1"/>
    <col min="7" max="7" width="5.28515625" customWidth="1"/>
    <col min="8" max="8" width="13" bestFit="1" customWidth="1"/>
    <col min="9" max="9" width="3" customWidth="1"/>
    <col min="11" max="11" width="11.7109375" bestFit="1" customWidth="1"/>
    <col min="12" max="12" width="2.140625" customWidth="1"/>
    <col min="13" max="13" width="2.5703125" customWidth="1"/>
    <col min="14" max="14" width="3.5703125" customWidth="1"/>
    <col min="15" max="15" width="9.140625" style="3"/>
    <col min="16" max="16" width="12.7109375" bestFit="1" customWidth="1"/>
    <col min="17" max="17" width="9.140625" customWidth="1"/>
    <col min="19" max="19" width="10.5703125" customWidth="1"/>
    <col min="20" max="20" width="13" bestFit="1" customWidth="1"/>
    <col min="21" max="21" width="12" bestFit="1" customWidth="1"/>
    <col min="22" max="22" width="11" customWidth="1"/>
    <col min="23" max="23" width="13.5703125" bestFit="1" customWidth="1"/>
    <col min="25" max="25" width="12.7109375" bestFit="1" customWidth="1"/>
    <col min="27" max="27" width="12.7109375" bestFit="1" customWidth="1"/>
    <col min="31" max="31" width="10.5703125" customWidth="1"/>
    <col min="32" max="32" width="10.42578125" customWidth="1"/>
    <col min="33" max="33" width="10.28515625" customWidth="1"/>
    <col min="34" max="34" width="11.42578125" customWidth="1"/>
    <col min="35" max="35" width="14.7109375" customWidth="1"/>
    <col min="36" max="36" width="18.28515625" customWidth="1"/>
    <col min="37" max="37" width="10.7109375" customWidth="1"/>
    <col min="38" max="38" width="11.5703125" customWidth="1"/>
    <col min="41" max="41" width="14.42578125" customWidth="1"/>
  </cols>
  <sheetData>
    <row r="1" spans="1:47" x14ac:dyDescent="0.25">
      <c r="A1" t="s">
        <v>57</v>
      </c>
      <c r="E1" t="s">
        <v>51</v>
      </c>
      <c r="H1" t="s">
        <v>52</v>
      </c>
      <c r="J1" t="s">
        <v>39</v>
      </c>
      <c r="K1" t="s">
        <v>58</v>
      </c>
      <c r="L1" t="s">
        <v>14</v>
      </c>
      <c r="N1" t="s">
        <v>39</v>
      </c>
      <c r="O1" s="3" t="s">
        <v>48</v>
      </c>
      <c r="P1" t="s">
        <v>59</v>
      </c>
      <c r="Q1" t="s">
        <v>0</v>
      </c>
      <c r="R1" t="str">
        <f>N1</f>
        <v>l</v>
      </c>
      <c r="S1" t="s">
        <v>44</v>
      </c>
      <c r="T1" t="s">
        <v>43</v>
      </c>
      <c r="U1" t="s">
        <v>42</v>
      </c>
      <c r="V1" s="1"/>
    </row>
    <row r="2" spans="1:47" x14ac:dyDescent="0.25">
      <c r="A2" s="3">
        <f>J2</f>
        <v>0.1</v>
      </c>
      <c r="C2" s="1"/>
      <c r="D2" s="1"/>
      <c r="E2" s="1">
        <f>J2*1000*ly_m*U2</f>
        <v>4.7299999999999998E-3</v>
      </c>
      <c r="H2">
        <v>0</v>
      </c>
      <c r="J2">
        <v>0.1</v>
      </c>
      <c r="K2" s="1">
        <f>U2+du</f>
        <v>5.0000002199999997E-21</v>
      </c>
      <c r="L2" s="1">
        <f>X$9</f>
        <v>2.2E-28</v>
      </c>
      <c r="N2">
        <f>J2</f>
        <v>0.1</v>
      </c>
      <c r="O2">
        <v>1</v>
      </c>
      <c r="P2" s="1">
        <f>2*PI()*SQRT(Kappa*c_ms^2/2)*SQRT(H2)*T2*c_kms</f>
        <v>0</v>
      </c>
      <c r="Q2">
        <v>0</v>
      </c>
      <c r="S2">
        <v>1</v>
      </c>
      <c r="T2" s="1">
        <f t="shared" ref="T2:T21" si="0">SQRT(U2/(X$9+U2))</f>
        <v>0.99999997800000073</v>
      </c>
      <c r="U2" s="1">
        <v>4.9999999999999997E-21</v>
      </c>
      <c r="V2" s="1"/>
      <c r="W2" t="str">
        <f>'M101 &amp; fit parameters'!W2</f>
        <v>Msun</v>
      </c>
      <c r="X2">
        <f>'M101 &amp; fit parameters'!X2</f>
        <v>2E+30</v>
      </c>
      <c r="Y2" t="str">
        <f>'M101 &amp; fit parameters'!Y2</f>
        <v>kg</v>
      </c>
      <c r="AB2" s="1"/>
      <c r="AC2" s="4"/>
      <c r="AE2" s="1"/>
      <c r="AF2" s="1"/>
      <c r="AG2" s="1"/>
      <c r="AH2" s="4"/>
      <c r="AI2" s="4"/>
      <c r="AJ2" s="4"/>
      <c r="AK2" s="4"/>
      <c r="AL2" s="4"/>
      <c r="AM2" s="4"/>
      <c r="AN2" s="4"/>
      <c r="AO2" s="4"/>
      <c r="AP2" s="4"/>
      <c r="AQ2" s="4"/>
      <c r="AU2">
        <f>SUM(AH2:AS2)</f>
        <v>0</v>
      </c>
    </row>
    <row r="3" spans="1:47" x14ac:dyDescent="0.25">
      <c r="A3" s="3">
        <f t="shared" ref="A3:A21" si="1">J3</f>
        <v>5.0999999999999996</v>
      </c>
      <c r="C3" s="1"/>
      <c r="D3" s="1"/>
      <c r="E3" s="1">
        <f>J3*1000*ly_m*U3</f>
        <v>2.9415119706483358E-2</v>
      </c>
      <c r="H3" s="1">
        <f>H2+(J3-J2)*1000*ly_m*(E3+E2)/2</f>
        <v>8.0753208105833139E+17</v>
      </c>
      <c r="J3">
        <f>J2+5</f>
        <v>5.0999999999999996</v>
      </c>
      <c r="K3" s="1">
        <f>U3+du</f>
        <v>6.0969055093900761E-22</v>
      </c>
      <c r="L3" s="1">
        <f t="shared" ref="L3:L21" si="2">X$9</f>
        <v>2.2E-28</v>
      </c>
      <c r="N3">
        <f>J3</f>
        <v>5.0999999999999996</v>
      </c>
      <c r="O3" s="1">
        <f>0.25*P2+0.5*P3+0.25*P4</f>
        <v>142.74022699484235</v>
      </c>
      <c r="P3" s="1">
        <f>2*PI()*SQRT(Kappa*c_ms^2/2)*SQRT(H3)*T3*c_kms</f>
        <v>163.75909976991534</v>
      </c>
      <c r="Q3">
        <v>166</v>
      </c>
      <c r="S3" s="1">
        <f>0.25*T2+0.5*T3+0.25*T4</f>
        <v>0.99999968347078938</v>
      </c>
      <c r="T3" s="1">
        <f t="shared" si="0"/>
        <v>0.99999981958058926</v>
      </c>
      <c r="U3" s="1">
        <f t="shared" ref="U3:U21" si="3">nf*EXP(-bf*J3^kf)+pf*EXP(-mf*J3^qf)</f>
        <v>6.0969033093900758E-22</v>
      </c>
      <c r="W3" t="str">
        <f>'M101 &amp; fit parameters'!W3</f>
        <v>MG</v>
      </c>
      <c r="X3">
        <f>'M101 &amp; fit parameters'!X3</f>
        <v>60000000000</v>
      </c>
      <c r="Y3" t="str">
        <f>'M101 &amp; fit parameters'!Y3</f>
        <v>Msun</v>
      </c>
      <c r="Z3" t="str">
        <f>'M101 &amp; fit parameters'!Z9</f>
        <v>1ly</v>
      </c>
      <c r="AA3">
        <f>'M101 &amp; fit parameters'!AA9</f>
        <v>9460000000000000</v>
      </c>
      <c r="AB3" s="1"/>
      <c r="AC3" s="4"/>
      <c r="AE3" s="1"/>
      <c r="AF3" s="1"/>
      <c r="AG3" s="1"/>
      <c r="AH3" s="4"/>
      <c r="AI3" s="4"/>
      <c r="AJ3" s="4"/>
      <c r="AK3" s="4"/>
      <c r="AL3" s="4"/>
      <c r="AM3" s="4"/>
      <c r="AN3" s="4"/>
      <c r="AO3" s="4"/>
      <c r="AP3" s="4"/>
      <c r="AQ3" s="4"/>
      <c r="AU3">
        <f t="shared" ref="AU3:AU21" si="4">SUM(AH3:AS3)</f>
        <v>0</v>
      </c>
    </row>
    <row r="4" spans="1:47" x14ac:dyDescent="0.25">
      <c r="A4" s="3">
        <f t="shared" si="1"/>
        <v>10.1</v>
      </c>
      <c r="C4" s="1"/>
      <c r="D4" s="1"/>
      <c r="E4" s="1">
        <f>J4*1000*ly_m*U4</f>
        <v>1.1898910436232651E-2</v>
      </c>
      <c r="H4" s="1">
        <f>H3+(J4-J3)*1000*ly_m*(E4+E3)/2</f>
        <v>1.7846088939335649E+18</v>
      </c>
      <c r="J4">
        <f t="shared" ref="J4:J21" si="5">J3+5</f>
        <v>10.1</v>
      </c>
      <c r="K4" s="1">
        <f>U4+du</f>
        <v>1.2453615490290174E-22</v>
      </c>
      <c r="L4" s="1">
        <f t="shared" si="2"/>
        <v>2.2E-28</v>
      </c>
      <c r="N4">
        <f t="shared" ref="N4:N21" si="6">J4</f>
        <v>10.1</v>
      </c>
      <c r="O4" s="1">
        <f t="shared" ref="O4:O21" si="7">0.25*P3+0.5*P4+0.25*P5</f>
        <v>228.62121886640867</v>
      </c>
      <c r="P4" s="1">
        <f>2*PI()*SQRT(Kappa*c_ms^2/2)*SQRT(H4)*T4*c_kms</f>
        <v>243.44270843953873</v>
      </c>
      <c r="Q4">
        <v>223</v>
      </c>
      <c r="S4" s="1">
        <f t="shared" ref="S4:S21" si="8">0.25*T3+0.5*T4+0.25*T5</f>
        <v>0.99999643969579022</v>
      </c>
      <c r="T4" s="1">
        <f t="shared" si="0"/>
        <v>0.99999911672197794</v>
      </c>
      <c r="U4" s="1">
        <f t="shared" si="3"/>
        <v>1.2453593490290175E-22</v>
      </c>
      <c r="W4" t="str">
        <f>'M101 &amp; fit parameters'!W4</f>
        <v>MG</v>
      </c>
      <c r="X4">
        <f>'M101 &amp; fit parameters'!X4</f>
        <v>1.2000000000000001E+41</v>
      </c>
      <c r="AB4" s="1"/>
      <c r="AC4" s="4"/>
      <c r="AE4" s="1"/>
      <c r="AF4" s="1"/>
      <c r="AG4" s="1"/>
      <c r="AH4" s="4"/>
      <c r="AI4" s="4"/>
      <c r="AJ4" s="4"/>
      <c r="AK4" s="4"/>
      <c r="AL4" s="4"/>
      <c r="AM4" s="4"/>
      <c r="AN4" s="4"/>
      <c r="AO4" s="4"/>
      <c r="AP4" s="4"/>
      <c r="AQ4" s="4"/>
      <c r="AU4">
        <f t="shared" si="4"/>
        <v>0</v>
      </c>
    </row>
    <row r="5" spans="1:47" x14ac:dyDescent="0.25">
      <c r="A5" s="3">
        <f t="shared" si="1"/>
        <v>15.1</v>
      </c>
      <c r="C5" s="1"/>
      <c r="D5" s="1"/>
      <c r="E5" s="1">
        <f>J5*1000*ly_m*U5</f>
        <v>1.2780593563219045E-3</v>
      </c>
      <c r="H5" s="1">
        <f>H4+(J5-J4)*1000*ly_m*(E5+E4)/2</f>
        <v>2.0962442295274801E+18</v>
      </c>
      <c r="J5">
        <f t="shared" si="5"/>
        <v>15.1</v>
      </c>
      <c r="K5" s="1">
        <f>U5+du</f>
        <v>8.9473333690961202E-24</v>
      </c>
      <c r="L5" s="1">
        <f t="shared" si="2"/>
        <v>2.2E-28</v>
      </c>
      <c r="N5">
        <f t="shared" si="6"/>
        <v>15.1</v>
      </c>
      <c r="O5" s="1">
        <f t="shared" si="7"/>
        <v>259.19929613194961</v>
      </c>
      <c r="P5" s="1">
        <f>2*PI()*SQRT(Kappa*c_ms^2/2)*SQRT(H5)*T5*c_kms</f>
        <v>263.84035881664192</v>
      </c>
      <c r="Q5">
        <v>255</v>
      </c>
      <c r="S5" s="1">
        <f t="shared" si="8"/>
        <v>0.99987238236920084</v>
      </c>
      <c r="T5" s="1">
        <f t="shared" si="0"/>
        <v>0.99998770575861551</v>
      </c>
      <c r="U5" s="1">
        <f t="shared" si="3"/>
        <v>8.9471133690961205E-24</v>
      </c>
      <c r="AB5" s="1"/>
      <c r="AC5" s="4"/>
      <c r="AE5" s="1"/>
      <c r="AF5" s="1"/>
      <c r="AG5" s="1"/>
      <c r="AH5" s="4"/>
      <c r="AI5" s="4"/>
      <c r="AJ5" s="4"/>
      <c r="AK5" s="4"/>
      <c r="AL5" s="4"/>
      <c r="AM5" s="4"/>
      <c r="AN5" s="4"/>
      <c r="AO5" s="4"/>
      <c r="AP5" s="4"/>
      <c r="AQ5" s="4"/>
      <c r="AU5">
        <f t="shared" si="4"/>
        <v>0</v>
      </c>
    </row>
    <row r="6" spans="1:47" x14ac:dyDescent="0.25">
      <c r="A6" s="3">
        <f t="shared" si="1"/>
        <v>20.100000000000001</v>
      </c>
      <c r="C6" s="1"/>
      <c r="D6" s="1"/>
      <c r="E6" s="1">
        <f>J6*1000*ly_m*U6</f>
        <v>4.3094635400296029E-5</v>
      </c>
      <c r="H6" s="1">
        <f>H5+(J6-J5)*1000*ly_m*(E6+E5)/2</f>
        <v>2.1274895214317102E+18</v>
      </c>
      <c r="J6">
        <f t="shared" si="5"/>
        <v>20.100000000000001</v>
      </c>
      <c r="K6" s="1">
        <f>U6+du</f>
        <v>2.2685971579889155E-25</v>
      </c>
      <c r="L6" s="1">
        <f t="shared" si="2"/>
        <v>2.2E-28</v>
      </c>
      <c r="N6">
        <f t="shared" si="6"/>
        <v>20.100000000000001</v>
      </c>
      <c r="O6" s="1">
        <f t="shared" si="7"/>
        <v>262.5358195127717</v>
      </c>
      <c r="P6" s="1">
        <f>2*PI()*SQRT(Kappa*c_ms^2/2)*SQRT(H6)*T6*c_kms</f>
        <v>265.67375845497594</v>
      </c>
      <c r="Q6">
        <v>260</v>
      </c>
      <c r="S6" s="1">
        <f t="shared" si="8"/>
        <v>0.98949384239580451</v>
      </c>
      <c r="T6" s="1">
        <f t="shared" si="0"/>
        <v>0.9995150012375944</v>
      </c>
      <c r="U6" s="1">
        <f t="shared" si="3"/>
        <v>2.2663971579889154E-25</v>
      </c>
      <c r="W6" t="str">
        <f>'M101 &amp; fit parameters'!W6</f>
        <v>G &lt;density&gt;</v>
      </c>
      <c r="X6">
        <f>'M101 &amp; fit parameters'!X6</f>
        <v>1.527932516313863E+36</v>
      </c>
      <c r="Y6" t="str">
        <f>'M101 &amp; fit parameters'!Y6</f>
        <v>kg/kly</v>
      </c>
      <c r="AB6" s="1"/>
      <c r="AC6" s="4"/>
      <c r="AE6" s="1"/>
      <c r="AF6" s="1"/>
      <c r="AG6" s="1"/>
      <c r="AH6" s="4"/>
      <c r="AI6" s="4"/>
      <c r="AJ6" s="4"/>
      <c r="AK6" s="4"/>
      <c r="AL6" s="4"/>
      <c r="AM6" s="4"/>
      <c r="AN6" s="4"/>
      <c r="AO6" s="4"/>
      <c r="AP6" s="4"/>
      <c r="AQ6" s="4"/>
      <c r="AU6">
        <f t="shared" si="4"/>
        <v>0</v>
      </c>
    </row>
    <row r="7" spans="1:47" x14ac:dyDescent="0.25">
      <c r="A7" s="3">
        <f t="shared" si="1"/>
        <v>25.1</v>
      </c>
      <c r="C7" s="1"/>
      <c r="D7" s="1"/>
      <c r="E7" s="1">
        <f>J7*1000*ly_m*U7</f>
        <v>5.9748809424452645E-7</v>
      </c>
      <c r="H7" s="1">
        <f>H6+(J7-J6)*1000*ly_m*(E7+E6)/2</f>
        <v>2.1285228401523561E+18</v>
      </c>
      <c r="J7">
        <f t="shared" si="5"/>
        <v>25.1</v>
      </c>
      <c r="K7" s="1">
        <f>U7+du</f>
        <v>2.7363114739541892E-27</v>
      </c>
      <c r="L7" s="1">
        <f t="shared" si="2"/>
        <v>2.2E-28</v>
      </c>
      <c r="N7">
        <f t="shared" si="6"/>
        <v>25.1</v>
      </c>
      <c r="O7" s="1">
        <f t="shared" si="7"/>
        <v>248.07519112862713</v>
      </c>
      <c r="P7" s="1">
        <f>2*PI()*SQRT(Kappa*c_ms^2/2)*SQRT(H7)*T7*c_kms</f>
        <v>254.95540232449295</v>
      </c>
      <c r="Q7">
        <v>253</v>
      </c>
      <c r="S7" s="1">
        <f t="shared" si="8"/>
        <v>0.93313913135923132</v>
      </c>
      <c r="T7" s="1">
        <f t="shared" si="0"/>
        <v>0.95895766134941374</v>
      </c>
      <c r="U7" s="1">
        <f t="shared" si="3"/>
        <v>2.5163114739541892E-27</v>
      </c>
      <c r="X7">
        <f>'M101 &amp; fit parameters'!X7</f>
        <v>1.8048069891415169E-21</v>
      </c>
      <c r="Y7" t="str">
        <f>'M101 &amp; fit parameters'!Y7</f>
        <v>kg/m3</v>
      </c>
      <c r="AB7" s="1"/>
      <c r="AC7" s="4"/>
      <c r="AE7" s="1"/>
      <c r="AF7" s="1"/>
      <c r="AG7" s="1"/>
      <c r="AH7" s="4"/>
      <c r="AI7" s="4"/>
      <c r="AJ7" s="4"/>
      <c r="AK7" s="4"/>
      <c r="AL7" s="4"/>
      <c r="AM7" s="4"/>
      <c r="AN7" s="4"/>
      <c r="AO7" s="4"/>
      <c r="AP7" s="4"/>
      <c r="AQ7" s="4"/>
      <c r="AU7">
        <f t="shared" si="4"/>
        <v>0</v>
      </c>
    </row>
    <row r="8" spans="1:47" x14ac:dyDescent="0.25">
      <c r="A8" s="3">
        <f t="shared" si="1"/>
        <v>30.1</v>
      </c>
      <c r="C8" s="1"/>
      <c r="D8" s="1"/>
      <c r="E8" s="1">
        <f>J8*1000*ly_m*U8</f>
        <v>1.2403602192563994E-7</v>
      </c>
      <c r="H8" s="1">
        <f>H7+(J8-J7)*1000*ly_m*(E8+E7)/2</f>
        <v>2.1285399041977034E+18</v>
      </c>
      <c r="J8">
        <f t="shared" si="5"/>
        <v>30.1</v>
      </c>
      <c r="K8" s="1">
        <f>U8+du</f>
        <v>6.5560233304643411E-28</v>
      </c>
      <c r="L8" s="1">
        <f t="shared" si="2"/>
        <v>2.2E-28</v>
      </c>
      <c r="N8">
        <f t="shared" si="6"/>
        <v>30.1</v>
      </c>
      <c r="O8" s="1">
        <f t="shared" si="7"/>
        <v>224.59018971926335</v>
      </c>
      <c r="P8" s="1">
        <f>2*PI()*SQRT(Kappa*c_ms^2/2)*SQRT(H8)*T8*c_kms</f>
        <v>216.71620141054663</v>
      </c>
      <c r="Q8">
        <v>237</v>
      </c>
      <c r="S8" s="1">
        <f t="shared" si="8"/>
        <v>0.84474301892509096</v>
      </c>
      <c r="T8" s="1">
        <f t="shared" si="0"/>
        <v>0.81512620150050308</v>
      </c>
      <c r="U8" s="1">
        <f t="shared" si="3"/>
        <v>4.3560233304643416E-28</v>
      </c>
      <c r="AB8" s="1"/>
      <c r="AC8" s="4"/>
      <c r="AE8" s="1"/>
      <c r="AF8" s="1"/>
      <c r="AG8" s="1"/>
      <c r="AH8" s="4"/>
      <c r="AI8" s="4"/>
      <c r="AJ8" s="4"/>
      <c r="AK8" s="4"/>
      <c r="AL8" s="4"/>
      <c r="AM8" s="4"/>
      <c r="AN8" s="4"/>
      <c r="AO8" s="4"/>
      <c r="AP8" s="4"/>
      <c r="AQ8" s="4"/>
      <c r="AU8">
        <f t="shared" si="4"/>
        <v>0</v>
      </c>
    </row>
    <row r="9" spans="1:47" x14ac:dyDescent="0.25">
      <c r="A9" s="3">
        <f t="shared" si="1"/>
        <v>35.1</v>
      </c>
      <c r="C9" s="1"/>
      <c r="D9" s="1"/>
      <c r="E9" s="1">
        <f>J9*1000*ly_m*U9</f>
        <v>1.2108962505869115E-7</v>
      </c>
      <c r="H9" s="1">
        <f>H8+(J9-J8)*1000*ly_m*(E9+E8)/2</f>
        <v>2.1285457014192545E+18</v>
      </c>
      <c r="J9">
        <f t="shared" si="5"/>
        <v>35.1</v>
      </c>
      <c r="K9" s="1">
        <f>U9+du</f>
        <v>5.8467725874936346E-28</v>
      </c>
      <c r="L9" s="1">
        <f t="shared" si="2"/>
        <v>2.2E-28</v>
      </c>
      <c r="N9">
        <f t="shared" si="6"/>
        <v>35.1</v>
      </c>
      <c r="O9" s="1">
        <f t="shared" si="7"/>
        <v>210.03119296098436</v>
      </c>
      <c r="P9" s="1">
        <f>2*PI()*SQRT(Kappa*c_ms^2/2)*SQRT(H9)*T9*c_kms</f>
        <v>209.97295373146719</v>
      </c>
      <c r="Q9">
        <v>220</v>
      </c>
      <c r="S9" s="1">
        <f t="shared" si="8"/>
        <v>0.7899810874303651</v>
      </c>
      <c r="T9" s="1">
        <f t="shared" si="0"/>
        <v>0.78976201134994428</v>
      </c>
      <c r="U9" s="1">
        <f t="shared" si="3"/>
        <v>3.6467725874936347E-28</v>
      </c>
      <c r="W9" t="str">
        <f>'M101 &amp; fit parameters'!W9</f>
        <v>U &lt;density&gt;</v>
      </c>
      <c r="X9">
        <f>'M101 &amp; fit parameters'!X9</f>
        <v>2.2E-28</v>
      </c>
      <c r="Y9" t="str">
        <f>'M101 &amp; fit parameters'!Y9</f>
        <v>kg/m3</v>
      </c>
      <c r="AB9" s="1"/>
      <c r="AC9" s="4"/>
      <c r="AE9" s="1"/>
      <c r="AF9" s="1"/>
      <c r="AG9" s="1"/>
      <c r="AH9" s="4"/>
      <c r="AI9" s="4"/>
      <c r="AJ9" s="4"/>
      <c r="AK9" s="4"/>
      <c r="AL9" s="4"/>
      <c r="AM9" s="4"/>
      <c r="AN9" s="4"/>
      <c r="AO9" s="4"/>
      <c r="AP9" s="4"/>
      <c r="AQ9" s="4"/>
      <c r="AU9">
        <f t="shared" si="4"/>
        <v>0</v>
      </c>
    </row>
    <row r="10" spans="1:47" x14ac:dyDescent="0.25">
      <c r="A10" s="3">
        <f t="shared" si="1"/>
        <v>40.1</v>
      </c>
      <c r="C10" s="1"/>
      <c r="D10" s="1"/>
      <c r="E10" s="1">
        <f>J10*1000*ly_m*U10</f>
        <v>1.1795575318697136E-7</v>
      </c>
      <c r="H10" s="1">
        <f>H9+(J10-J9)*1000*ly_m*(E10+E9)/2</f>
        <v>2.1285513548424499E+18</v>
      </c>
      <c r="J10">
        <f t="shared" si="5"/>
        <v>40.1</v>
      </c>
      <c r="K10" s="1">
        <f>U10+du</f>
        <v>5.3094502956923585E-28</v>
      </c>
      <c r="L10" s="1">
        <f t="shared" si="2"/>
        <v>2.2E-28</v>
      </c>
      <c r="N10">
        <f t="shared" si="6"/>
        <v>40.1</v>
      </c>
      <c r="O10" s="1">
        <f t="shared" si="7"/>
        <v>203.39837419527817</v>
      </c>
      <c r="P10" s="1">
        <f>2*PI()*SQRT(Kappa*c_ms^2/2)*SQRT(H10)*T10*c_kms</f>
        <v>203.46266297045651</v>
      </c>
      <c r="Q10">
        <v>210</v>
      </c>
      <c r="S10" s="1">
        <f t="shared" si="8"/>
        <v>0.76503234369595408</v>
      </c>
      <c r="T10" s="1">
        <f t="shared" si="0"/>
        <v>0.76527412552106888</v>
      </c>
      <c r="U10" s="1">
        <f t="shared" si="3"/>
        <v>3.1094502956923589E-28</v>
      </c>
      <c r="AE10" s="1"/>
      <c r="AF10" s="1"/>
      <c r="AG10" s="1"/>
      <c r="AH10" s="4"/>
      <c r="AI10" s="4"/>
      <c r="AJ10" s="4"/>
      <c r="AK10" s="4"/>
      <c r="AL10" s="4"/>
      <c r="AM10" s="4"/>
      <c r="AN10" s="4"/>
      <c r="AO10" s="4"/>
      <c r="AP10" s="4"/>
      <c r="AQ10" s="4"/>
      <c r="AU10">
        <f t="shared" si="4"/>
        <v>0</v>
      </c>
    </row>
    <row r="11" spans="1:47" x14ac:dyDescent="0.25">
      <c r="A11" s="3">
        <f t="shared" si="1"/>
        <v>45.1</v>
      </c>
      <c r="C11" s="1"/>
      <c r="D11" s="1"/>
      <c r="E11" s="1">
        <f>J11*1000*ly_m*U11</f>
        <v>1.1349114145906284E-7</v>
      </c>
      <c r="H11" s="1">
        <f>H10+(J11-J10)*1000*ly_m*(E11+E10)/2</f>
        <v>2.1285568285615084E+18</v>
      </c>
      <c r="J11">
        <f t="shared" si="5"/>
        <v>45.1</v>
      </c>
      <c r="K11" s="1">
        <f>U11+du</f>
        <v>4.8600774754495023E-28</v>
      </c>
      <c r="L11" s="1">
        <f t="shared" si="2"/>
        <v>2.2E-28</v>
      </c>
      <c r="N11">
        <f t="shared" si="6"/>
        <v>45.1</v>
      </c>
      <c r="O11" s="1">
        <f t="shared" si="7"/>
        <v>196.64171136797836</v>
      </c>
      <c r="P11" s="1">
        <f>2*PI()*SQRT(Kappa*c_ms^2/2)*SQRT(H11)*T11*c_kms</f>
        <v>196.69521710873244</v>
      </c>
      <c r="Q11">
        <v>198</v>
      </c>
      <c r="S11" s="1">
        <f t="shared" si="8"/>
        <v>0.73961789046357262</v>
      </c>
      <c r="T11" s="1">
        <f t="shared" si="0"/>
        <v>0.73981911239173448</v>
      </c>
      <c r="U11" s="1">
        <f t="shared" si="3"/>
        <v>2.6600774754495023E-28</v>
      </c>
      <c r="AE11" s="1"/>
      <c r="AF11" s="1"/>
      <c r="AG11" s="1"/>
      <c r="AH11" s="4"/>
      <c r="AI11" s="4"/>
      <c r="AJ11" s="4"/>
      <c r="AK11" s="4"/>
      <c r="AL11" s="4"/>
      <c r="AM11" s="4"/>
      <c r="AN11" s="4"/>
      <c r="AO11" s="4"/>
      <c r="AP11" s="4"/>
      <c r="AQ11" s="4"/>
      <c r="AU11">
        <f t="shared" si="4"/>
        <v>0</v>
      </c>
    </row>
    <row r="12" spans="1:47" x14ac:dyDescent="0.25">
      <c r="A12" s="3">
        <f t="shared" si="1"/>
        <v>50.1</v>
      </c>
      <c r="C12" s="1"/>
      <c r="D12" s="1"/>
      <c r="E12" s="1">
        <f>J12*1000*ly_m*U12</f>
        <v>1.0816272012229483E-7</v>
      </c>
      <c r="H12" s="1">
        <f>H11+(J12-J11)*1000*ly_m*(E12+E11)/2</f>
        <v>2.1285620706753347E+18</v>
      </c>
      <c r="J12">
        <f t="shared" si="5"/>
        <v>50.1</v>
      </c>
      <c r="K12" s="1">
        <f>U12+du</f>
        <v>4.4821739211280367E-28</v>
      </c>
      <c r="L12" s="1">
        <f t="shared" si="2"/>
        <v>2.2E-28</v>
      </c>
      <c r="N12">
        <f t="shared" si="6"/>
        <v>50.1</v>
      </c>
      <c r="O12" s="1">
        <f t="shared" si="7"/>
        <v>189.67236012256234</v>
      </c>
      <c r="P12" s="1">
        <f>2*PI()*SQRT(Kappa*c_ms^2/2)*SQRT(H12)*T12*c_kms</f>
        <v>189.71374828399206</v>
      </c>
      <c r="Q12">
        <v>187</v>
      </c>
      <c r="S12" s="1">
        <f t="shared" si="8"/>
        <v>0.71340356769887059</v>
      </c>
      <c r="T12" s="1">
        <f t="shared" si="0"/>
        <v>0.71355921154975299</v>
      </c>
      <c r="U12" s="1">
        <f t="shared" si="3"/>
        <v>2.2821739211280363E-28</v>
      </c>
      <c r="AE12" s="1"/>
      <c r="AF12" s="1"/>
      <c r="AG12" s="1"/>
      <c r="AH12" s="4"/>
      <c r="AI12" s="4"/>
      <c r="AJ12" s="4"/>
      <c r="AK12" s="4"/>
      <c r="AL12" s="4"/>
      <c r="AM12" s="4"/>
      <c r="AN12" s="4"/>
      <c r="AO12" s="4"/>
      <c r="AP12" s="4"/>
      <c r="AQ12" s="4"/>
      <c r="AU12">
        <f t="shared" si="4"/>
        <v>0</v>
      </c>
    </row>
    <row r="13" spans="1:47" x14ac:dyDescent="0.25">
      <c r="A13" s="3">
        <f t="shared" si="1"/>
        <v>55.1</v>
      </c>
      <c r="C13" s="1"/>
      <c r="D13" s="1"/>
      <c r="E13" s="1">
        <f>J13*1000*ly_m*U13</f>
        <v>1.0231647883992833E-7</v>
      </c>
      <c r="H13" s="1">
        <f>H12+(J13-J12)*1000*ly_m*(E13+E12)/2</f>
        <v>2.1285670485083901E+18</v>
      </c>
      <c r="J13">
        <f t="shared" si="5"/>
        <v>55.1</v>
      </c>
      <c r="K13" s="1">
        <f>U13+du</f>
        <v>4.1629211320552741E-28</v>
      </c>
      <c r="L13" s="1">
        <f t="shared" si="2"/>
        <v>2.2E-28</v>
      </c>
      <c r="N13">
        <f t="shared" si="6"/>
        <v>55.1</v>
      </c>
      <c r="O13" s="1">
        <f t="shared" si="7"/>
        <v>182.53811606556411</v>
      </c>
      <c r="P13" s="1">
        <f>2*PI()*SQRT(Kappa*c_ms^2/2)*SQRT(H13)*T13*c_kms</f>
        <v>182.56672681353285</v>
      </c>
      <c r="Q13">
        <v>178</v>
      </c>
      <c r="S13" s="1">
        <f t="shared" si="8"/>
        <v>0.68656915029053767</v>
      </c>
      <c r="T13" s="1">
        <f t="shared" si="0"/>
        <v>0.68667673530424156</v>
      </c>
      <c r="U13" s="1">
        <f t="shared" si="3"/>
        <v>1.9629211320552739E-28</v>
      </c>
      <c r="W13" t="str">
        <f>'M101 &amp; fit parameters'!W13</f>
        <v>c_kms</v>
      </c>
      <c r="X13" s="1">
        <f>'M101 &amp; fit parameters'!X13</f>
        <v>300000</v>
      </c>
      <c r="Y13" t="str">
        <f>'M101 &amp; fit parameters'!Y13</f>
        <v>km/s</v>
      </c>
      <c r="Z13" t="str">
        <f>'M101 &amp; fit parameters'!Z13</f>
        <v>Kuc2</v>
      </c>
      <c r="AA13">
        <f>'M101 &amp; fit parameters'!AA13</f>
        <v>4.1124599999999997E-54</v>
      </c>
      <c r="AE13" s="1"/>
      <c r="AF13" s="1"/>
      <c r="AG13" s="1"/>
      <c r="AH13" s="4"/>
      <c r="AI13" s="4"/>
      <c r="AJ13" s="4"/>
      <c r="AK13" s="4"/>
      <c r="AL13" s="4"/>
      <c r="AM13" s="4"/>
      <c r="AN13" s="4"/>
      <c r="AO13" s="4"/>
      <c r="AP13" s="4"/>
      <c r="AQ13" s="4"/>
      <c r="AU13">
        <f t="shared" si="4"/>
        <v>0</v>
      </c>
    </row>
    <row r="14" spans="1:47" x14ac:dyDescent="0.25">
      <c r="A14" s="3">
        <f t="shared" si="1"/>
        <v>60.1</v>
      </c>
      <c r="C14" s="1"/>
      <c r="D14" s="1"/>
      <c r="E14" s="1">
        <f>J14*1000*ly_m*U14</f>
        <v>9.6206929910555855E-8</v>
      </c>
      <c r="H14" s="1">
        <f>H13+(J14-J13)*1000*ly_m*(E14+E13)/2</f>
        <v>2.128571743587007E+18</v>
      </c>
      <c r="J14">
        <f t="shared" si="5"/>
        <v>60.1</v>
      </c>
      <c r="K14" s="1">
        <f>U14+du</f>
        <v>3.8921573612435205E-28</v>
      </c>
      <c r="L14" s="1">
        <f t="shared" si="2"/>
        <v>2.2E-28</v>
      </c>
      <c r="N14">
        <f t="shared" si="6"/>
        <v>60.1</v>
      </c>
      <c r="O14" s="1">
        <f t="shared" si="7"/>
        <v>175.28961575762426</v>
      </c>
      <c r="P14" s="1">
        <f>2*PI()*SQRT(Kappa*c_ms^2/2)*SQRT(H14)*T14*c_kms</f>
        <v>175.30526235119868</v>
      </c>
      <c r="Q14">
        <v>168</v>
      </c>
      <c r="S14" s="1">
        <f t="shared" si="8"/>
        <v>0.65930509443779906</v>
      </c>
      <c r="T14" s="1">
        <f t="shared" si="0"/>
        <v>0.65936391900391467</v>
      </c>
      <c r="U14" s="1">
        <f t="shared" si="3"/>
        <v>1.6921573612435203E-28</v>
      </c>
      <c r="W14" t="str">
        <f>'M101 &amp; fit parameters'!W14</f>
        <v>c_ms</v>
      </c>
      <c r="X14">
        <f>'M101 &amp; fit parameters'!X14</f>
        <v>300000000</v>
      </c>
      <c r="Y14" t="str">
        <f>'M101 &amp; fit parameters'!Y14</f>
        <v>m/s</v>
      </c>
      <c r="AE14" s="1"/>
      <c r="AF14" s="1"/>
      <c r="AG14" s="1"/>
      <c r="AH14" s="4"/>
      <c r="AI14" s="4"/>
      <c r="AJ14" s="4"/>
      <c r="AK14" s="4"/>
      <c r="AL14" s="4"/>
      <c r="AM14" s="4"/>
      <c r="AN14" s="4"/>
      <c r="AO14" s="4"/>
      <c r="AP14" s="4"/>
      <c r="AQ14" s="4"/>
      <c r="AU14">
        <f t="shared" si="4"/>
        <v>0</v>
      </c>
    </row>
    <row r="15" spans="1:47" x14ac:dyDescent="0.25">
      <c r="A15" s="3">
        <f t="shared" si="1"/>
        <v>65.099999999999994</v>
      </c>
      <c r="C15" s="1"/>
      <c r="D15" s="1"/>
      <c r="E15" s="1">
        <f>J15*1000*ly_m*U15</f>
        <v>9.0020101649424241E-8</v>
      </c>
      <c r="H15" s="1">
        <f>H14+(J15-J14)*1000*ly_m*(E15+E14)/2</f>
        <v>2.1285761478563034E+18</v>
      </c>
      <c r="J15">
        <f t="shared" si="5"/>
        <v>65.099999999999994</v>
      </c>
      <c r="K15" s="1">
        <f>U15+du</f>
        <v>3.6617307191964268E-28</v>
      </c>
      <c r="L15" s="1">
        <f t="shared" si="2"/>
        <v>2.2E-28</v>
      </c>
      <c r="N15">
        <f t="shared" si="6"/>
        <v>65.099999999999994</v>
      </c>
      <c r="O15" s="1">
        <f t="shared" si="7"/>
        <v>167.97827990476969</v>
      </c>
      <c r="P15" s="1">
        <f>2*PI()*SQRT(Kappa*c_ms^2/2)*SQRT(H15)*T15*c_kms</f>
        <v>167.98121151456681</v>
      </c>
      <c r="Q15">
        <v>160</v>
      </c>
      <c r="S15" s="1">
        <f t="shared" si="8"/>
        <v>0.63180480258053529</v>
      </c>
      <c r="T15" s="1">
        <f t="shared" si="0"/>
        <v>0.63181580443912522</v>
      </c>
      <c r="U15" s="1">
        <f t="shared" si="3"/>
        <v>1.4617307191964266E-28</v>
      </c>
      <c r="W15" t="str">
        <f>'M101 &amp; fit parameters'!W15</f>
        <v>K</v>
      </c>
      <c r="X15">
        <f>'M101 &amp; fit parameters'!X15</f>
        <v>2.0769999999999998E-43</v>
      </c>
      <c r="Y15" t="str">
        <f>'M101 &amp; fit parameters'!Y15</f>
        <v>N-1</v>
      </c>
      <c r="AE15" s="1"/>
      <c r="AF15" s="1"/>
      <c r="AG15" s="1"/>
      <c r="AH15" s="4"/>
      <c r="AI15" s="4"/>
      <c r="AJ15" s="4"/>
      <c r="AK15" s="4"/>
      <c r="AL15" s="4"/>
      <c r="AM15" s="4"/>
      <c r="AN15" s="4"/>
      <c r="AO15" s="4"/>
      <c r="AP15" s="4"/>
      <c r="AQ15" s="4"/>
      <c r="AU15">
        <f t="shared" si="4"/>
        <v>0</v>
      </c>
    </row>
    <row r="16" spans="1:47" x14ac:dyDescent="0.25">
      <c r="A16" s="3">
        <f t="shared" si="1"/>
        <v>70.099999999999994</v>
      </c>
      <c r="C16" s="1"/>
      <c r="D16" s="1"/>
      <c r="E16" s="1">
        <f>J16*1000*ly_m*U16</f>
        <v>8.3890463752633803E-8</v>
      </c>
      <c r="H16" s="1">
        <f>H15+(J16-J15)*1000*ly_m*(E16+E15)/2</f>
        <v>2.128580260841175E+18</v>
      </c>
      <c r="J16">
        <f t="shared" si="5"/>
        <v>70.099999999999994</v>
      </c>
      <c r="K16" s="1">
        <f>U16+du</f>
        <v>3.4650376199605189E-28</v>
      </c>
      <c r="L16" s="1">
        <f t="shared" si="2"/>
        <v>2.2E-28</v>
      </c>
      <c r="N16">
        <f t="shared" si="6"/>
        <v>70.099999999999994</v>
      </c>
      <c r="O16" s="1">
        <f t="shared" si="7"/>
        <v>160.65459036518172</v>
      </c>
      <c r="P16" s="1">
        <f>2*PI()*SQRT(Kappa*c_ms^2/2)*SQRT(H16)*T16*c_kms</f>
        <v>160.64543423874647</v>
      </c>
      <c r="Q16">
        <v>153</v>
      </c>
      <c r="S16" s="1">
        <f t="shared" si="8"/>
        <v>0.60425814368848529</v>
      </c>
      <c r="T16" s="1">
        <f t="shared" si="0"/>
        <v>0.60422368243997593</v>
      </c>
      <c r="U16" s="1">
        <f t="shared" si="3"/>
        <v>1.2650376199605187E-28</v>
      </c>
      <c r="AE16" s="1"/>
      <c r="AF16" s="1"/>
      <c r="AG16" s="1"/>
      <c r="AH16" s="4"/>
      <c r="AI16" s="4"/>
      <c r="AJ16" s="4"/>
      <c r="AK16" s="4"/>
      <c r="AL16" s="4"/>
      <c r="AM16" s="4"/>
      <c r="AN16" s="4"/>
      <c r="AO16" s="4"/>
      <c r="AP16" s="4"/>
      <c r="AQ16" s="4"/>
      <c r="AU16">
        <f t="shared" si="4"/>
        <v>0</v>
      </c>
    </row>
    <row r="17" spans="1:47" x14ac:dyDescent="0.25">
      <c r="A17" s="3">
        <f t="shared" si="1"/>
        <v>75.099999999999994</v>
      </c>
      <c r="C17" s="1"/>
      <c r="D17" s="1"/>
      <c r="E17" s="1">
        <f>J17*1000*ly_m*U17</f>
        <v>7.7913541570514166E-8</v>
      </c>
      <c r="H17" s="1">
        <f>H16+(J17-J16)*1000*ly_m*(E17+E16)/2</f>
        <v>2.1285840875059011E+18</v>
      </c>
      <c r="J17">
        <f t="shared" si="5"/>
        <v>75.099999999999994</v>
      </c>
      <c r="K17" s="1">
        <f>U17+du</f>
        <v>3.2966849214509501E-28</v>
      </c>
      <c r="L17" s="1">
        <f t="shared" si="2"/>
        <v>2.2E-28</v>
      </c>
      <c r="N17">
        <f t="shared" si="6"/>
        <v>75.099999999999994</v>
      </c>
      <c r="O17" s="1">
        <f t="shared" si="7"/>
        <v>153.36659309654692</v>
      </c>
      <c r="P17" s="1">
        <f>2*PI()*SQRT(Kappa*c_ms^2/2)*SQRT(H17)*T17*c_kms</f>
        <v>153.3462814686672</v>
      </c>
      <c r="Q17">
        <v>150</v>
      </c>
      <c r="S17" s="1">
        <f t="shared" si="8"/>
        <v>0.57684582320438305</v>
      </c>
      <c r="T17" s="1">
        <f t="shared" si="0"/>
        <v>0.57676940543486377</v>
      </c>
      <c r="U17" s="1">
        <f t="shared" si="3"/>
        <v>1.0966849214509499E-28</v>
      </c>
      <c r="Z17">
        <f>'M101 &amp; fit parameters'!Z20</f>
        <v>0</v>
      </c>
      <c r="AA17">
        <f>'M101 &amp; fit parameters'!AA20</f>
        <v>0</v>
      </c>
      <c r="AE17" s="1"/>
      <c r="AF17" s="1"/>
      <c r="AG17" s="1"/>
      <c r="AH17" s="4"/>
      <c r="AI17" s="4"/>
      <c r="AJ17" s="4"/>
      <c r="AK17" s="4"/>
      <c r="AL17" s="4"/>
      <c r="AM17" s="4"/>
      <c r="AN17" s="4"/>
      <c r="AO17" s="4"/>
      <c r="AP17" s="4"/>
      <c r="AQ17" s="4"/>
      <c r="AU17">
        <f t="shared" si="4"/>
        <v>0</v>
      </c>
    </row>
    <row r="18" spans="1:47" x14ac:dyDescent="0.25">
      <c r="A18" s="3">
        <f t="shared" si="1"/>
        <v>80.099999999999994</v>
      </c>
      <c r="C18" s="1"/>
      <c r="D18" s="1"/>
      <c r="E18" s="1">
        <f>J18*1000*ly_m*U18</f>
        <v>7.2155408502489773E-8</v>
      </c>
      <c r="H18" s="1">
        <f>H17+(J18-J17)*1000*ly_m*(E18+E17)/2</f>
        <v>2.1285876366365704E+18</v>
      </c>
      <c r="J18">
        <f t="shared" si="5"/>
        <v>80.099999999999994</v>
      </c>
      <c r="K18" s="1">
        <f>U18+du</f>
        <v>3.1522374054431138E-28</v>
      </c>
      <c r="L18" s="1">
        <f t="shared" si="2"/>
        <v>2.2E-28</v>
      </c>
      <c r="N18">
        <f t="shared" si="6"/>
        <v>80.099999999999994</v>
      </c>
      <c r="O18" s="1">
        <f t="shared" si="7"/>
        <v>146.15868607306533</v>
      </c>
      <c r="P18" s="1">
        <f>2*PI()*SQRT(Kappa*c_ms^2/2)*SQRT(H18)*T18*c_kms</f>
        <v>146.12837521010681</v>
      </c>
      <c r="Q18">
        <v>147</v>
      </c>
      <c r="S18" s="1">
        <f t="shared" si="8"/>
        <v>0.54973482469173562</v>
      </c>
      <c r="T18" s="1">
        <f t="shared" si="0"/>
        <v>0.54962079950782883</v>
      </c>
      <c r="U18" s="1">
        <f t="shared" si="3"/>
        <v>9.5223740544311399E-29</v>
      </c>
      <c r="W18" t="str">
        <f>'M101 &amp; fit parameters'!W18</f>
        <v>min dens</v>
      </c>
      <c r="X18">
        <f>'M101 &amp; fit parameters'!X18</f>
        <v>1.8873472688731335E-27</v>
      </c>
      <c r="AE18" s="1"/>
      <c r="AF18" s="1"/>
      <c r="AG18" s="1"/>
      <c r="AH18" s="4"/>
      <c r="AI18" s="4"/>
      <c r="AJ18" s="4"/>
      <c r="AK18" s="4"/>
      <c r="AL18" s="4"/>
      <c r="AM18" s="4"/>
      <c r="AN18" s="4"/>
      <c r="AO18" s="4"/>
      <c r="AP18" s="4"/>
      <c r="AQ18" s="4"/>
      <c r="AU18">
        <f t="shared" si="4"/>
        <v>0</v>
      </c>
    </row>
    <row r="19" spans="1:47" x14ac:dyDescent="0.25">
      <c r="A19" s="3">
        <f t="shared" si="1"/>
        <v>85.1</v>
      </c>
      <c r="C19" s="1"/>
      <c r="D19" s="1"/>
      <c r="E19" s="1">
        <f>J19*1000*ly_m*U19</f>
        <v>6.6659882509078658E-8</v>
      </c>
      <c r="H19" s="1">
        <f>H18+(J19-J18)*1000*ly_m*(E19+E18)/2</f>
        <v>2.1285909196182029E+18</v>
      </c>
      <c r="J19">
        <f t="shared" si="5"/>
        <v>85.1</v>
      </c>
      <c r="K19" s="1">
        <f>U19+du</f>
        <v>3.0280257588892891E-28</v>
      </c>
      <c r="L19" s="1">
        <f t="shared" si="2"/>
        <v>2.2E-28</v>
      </c>
      <c r="N19">
        <f t="shared" si="6"/>
        <v>85.1</v>
      </c>
      <c r="O19" s="1">
        <f t="shared" si="7"/>
        <v>139.07072357385471</v>
      </c>
      <c r="P19" s="1">
        <f>2*PI()*SQRT(Kappa*c_ms^2/2)*SQRT(H19)*T19*c_kms</f>
        <v>139.03171240338051</v>
      </c>
      <c r="Q19">
        <v>144</v>
      </c>
      <c r="S19" s="1">
        <f t="shared" si="8"/>
        <v>0.52307504131608651</v>
      </c>
      <c r="T19" s="1">
        <f t="shared" si="0"/>
        <v>0.52292829431642107</v>
      </c>
      <c r="U19" s="1">
        <f t="shared" si="3"/>
        <v>8.2802575888928902E-29</v>
      </c>
      <c r="AE19" s="1"/>
      <c r="AF19" s="1"/>
      <c r="AG19" s="1"/>
      <c r="AH19" s="4"/>
      <c r="AI19" s="4"/>
      <c r="AJ19" s="4"/>
      <c r="AK19" s="4"/>
      <c r="AL19" s="4"/>
      <c r="AM19" s="4"/>
      <c r="AN19" s="4"/>
      <c r="AO19" s="4"/>
      <c r="AP19" s="4"/>
      <c r="AQ19" s="4"/>
      <c r="AU19">
        <f t="shared" si="4"/>
        <v>0</v>
      </c>
    </row>
    <row r="20" spans="1:47" x14ac:dyDescent="0.25">
      <c r="A20" s="3">
        <f t="shared" si="1"/>
        <v>90.1</v>
      </c>
      <c r="C20" s="1"/>
      <c r="D20" s="1"/>
      <c r="E20" s="1">
        <f>J20*1000*ly_m*U20</f>
        <v>6.1454012917637398E-8</v>
      </c>
      <c r="H20" s="1">
        <f>H19+(J20-J19)*1000*ly_m*(E20+E19)/2</f>
        <v>2.1285939495118298E+18</v>
      </c>
      <c r="J20">
        <f t="shared" si="5"/>
        <v>90.1</v>
      </c>
      <c r="K20" s="1">
        <f>U20+du</f>
        <v>2.9209984315951199E-28</v>
      </c>
      <c r="L20" s="1">
        <f t="shared" si="2"/>
        <v>2.2E-28</v>
      </c>
      <c r="N20">
        <f t="shared" si="6"/>
        <v>90.1</v>
      </c>
      <c r="O20" s="1">
        <f t="shared" si="7"/>
        <v>132.13743966685689</v>
      </c>
      <c r="P20" s="1">
        <f>2*PI()*SQRT(Kappa*c_ms^2/2)*SQRT(H20)*T20*c_kms</f>
        <v>132.09109427855097</v>
      </c>
      <c r="Q20">
        <v>142</v>
      </c>
      <c r="S20" s="1">
        <f t="shared" si="8"/>
        <v>0.49699710779672074</v>
      </c>
      <c r="T20" s="1">
        <f t="shared" si="0"/>
        <v>0.4968227771236749</v>
      </c>
      <c r="U20" s="1">
        <f t="shared" si="3"/>
        <v>7.2099843159511979E-29</v>
      </c>
      <c r="W20" t="s">
        <v>4</v>
      </c>
      <c r="X20" s="1">
        <f>SUMXMY2(O2:O21,Q2:Q21)</f>
        <v>1452.7800341886655</v>
      </c>
      <c r="AE20" s="1"/>
      <c r="AF20" s="1"/>
      <c r="AG20" s="1"/>
      <c r="AH20" s="4"/>
      <c r="AI20" s="4"/>
      <c r="AJ20" s="4"/>
      <c r="AK20" s="4"/>
      <c r="AL20" s="4"/>
      <c r="AM20" s="4"/>
      <c r="AN20" s="4"/>
      <c r="AO20" s="4"/>
      <c r="AP20" s="4"/>
      <c r="AQ20" s="4"/>
      <c r="AU20">
        <f t="shared" si="4"/>
        <v>0</v>
      </c>
    </row>
    <row r="21" spans="1:47" x14ac:dyDescent="0.25">
      <c r="A21" s="3">
        <f t="shared" si="1"/>
        <v>95.1</v>
      </c>
      <c r="C21" s="1"/>
      <c r="D21" s="1"/>
      <c r="E21" s="1">
        <f>J21*1000*ly_m*U21</f>
        <v>5.6552280944859197E-8</v>
      </c>
      <c r="H21" s="1">
        <f>H20+(J21-J20)*1000*ly_m*(E21+E20)/2</f>
        <v>2.1285967403606797E+18</v>
      </c>
      <c r="J21">
        <f t="shared" si="5"/>
        <v>95.1</v>
      </c>
      <c r="K21" s="1">
        <f>U21+du</f>
        <v>2.8286059288304423E-28</v>
      </c>
      <c r="L21" s="1">
        <f t="shared" si="2"/>
        <v>2.2E-28</v>
      </c>
      <c r="N21">
        <f t="shared" si="6"/>
        <v>95.1</v>
      </c>
      <c r="O21" s="1">
        <f t="shared" si="7"/>
        <v>127.0246668498466</v>
      </c>
      <c r="P21" s="1">
        <f>2*PI()*SQRT(Kappa*c_ms^2/2)*SQRT(H21)*T21*c_kms</f>
        <v>125.33585770694512</v>
      </c>
      <c r="Q21">
        <v>141</v>
      </c>
      <c r="S21" s="1">
        <f t="shared" si="8"/>
        <v>0.47776663124825275</v>
      </c>
      <c r="T21" s="1">
        <f t="shared" si="0"/>
        <v>0.47141458262311203</v>
      </c>
      <c r="U21" s="1">
        <f t="shared" si="3"/>
        <v>6.2860592883044213E-29</v>
      </c>
      <c r="AE21" s="1"/>
      <c r="AF21" s="1"/>
      <c r="AG21" s="1"/>
      <c r="AH21" s="4"/>
      <c r="AI21" s="4"/>
      <c r="AJ21" s="4"/>
      <c r="AK21" s="4"/>
      <c r="AL21" s="4"/>
      <c r="AM21" s="4"/>
      <c r="AN21" s="4"/>
      <c r="AO21" s="4"/>
      <c r="AP21" s="4"/>
      <c r="AQ21" s="4"/>
      <c r="AU21">
        <f t="shared" si="4"/>
        <v>0</v>
      </c>
    </row>
    <row r="22" spans="1:47" x14ac:dyDescent="0.25">
      <c r="K22" s="1"/>
      <c r="P22" s="1">
        <f>P21</f>
        <v>125.33585770694512</v>
      </c>
      <c r="T22" s="1">
        <f>T21</f>
        <v>0.47141458262311203</v>
      </c>
      <c r="AE22" s="1"/>
      <c r="AF22" s="1"/>
      <c r="AG22" s="1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7" x14ac:dyDescent="0.25">
      <c r="K23" s="1">
        <f>SUMPRODUCT(J2:J6,K2:K6)</f>
        <v>5.0069016104691547E-21</v>
      </c>
      <c r="W23" s="1"/>
    </row>
    <row r="24" spans="1:47" x14ac:dyDescent="0.25">
      <c r="X24" s="1"/>
      <c r="AE24" s="1"/>
    </row>
    <row r="25" spans="1:47" x14ac:dyDescent="0.25">
      <c r="J25" t="s">
        <v>15</v>
      </c>
      <c r="K25" s="1">
        <f>0.0000023*360/441</f>
        <v>1.8775510204081632E-6</v>
      </c>
      <c r="O25" s="1">
        <v>8.3945199051564325E-7</v>
      </c>
      <c r="T25" t="s">
        <v>5</v>
      </c>
      <c r="U25" s="5">
        <f>'M101 &amp; fit parameters'!V25</f>
        <v>1.0500000000000001E-21</v>
      </c>
      <c r="V25" s="1"/>
      <c r="W25" s="1"/>
      <c r="AD25" s="1"/>
    </row>
    <row r="26" spans="1:47" x14ac:dyDescent="0.25">
      <c r="T26" t="s">
        <v>7</v>
      </c>
      <c r="U26" s="5">
        <f>'M101 &amp; fit parameters'!V26</f>
        <v>2.0899501751612717E-2</v>
      </c>
      <c r="V26" s="1"/>
      <c r="W26" s="1"/>
      <c r="AD26" s="1"/>
    </row>
    <row r="27" spans="1:47" x14ac:dyDescent="0.25">
      <c r="D27" s="1"/>
      <c r="T27" t="s">
        <v>12</v>
      </c>
      <c r="U27" s="5">
        <f>'M101 &amp; fit parameters'!V27</f>
        <v>2</v>
      </c>
      <c r="V27" s="1"/>
      <c r="W27" s="1"/>
      <c r="AD27" s="1"/>
    </row>
    <row r="28" spans="1:47" x14ac:dyDescent="0.25">
      <c r="T28" t="s">
        <v>8</v>
      </c>
      <c r="U28" s="5">
        <f>'M101 &amp; fit parameters'!V28</f>
        <v>1.4178161128628128E-27</v>
      </c>
      <c r="V28" s="1"/>
      <c r="W28" s="1"/>
      <c r="AH28" s="2"/>
      <c r="AI28" s="2"/>
      <c r="AJ28" s="2"/>
      <c r="AK28" s="2"/>
      <c r="AL28" s="2"/>
    </row>
    <row r="29" spans="1:47" x14ac:dyDescent="0.25">
      <c r="T29" t="s">
        <v>6</v>
      </c>
      <c r="U29" s="5">
        <f>'M101 &amp; fit parameters'!V29</f>
        <v>7.0000000000000007E-2</v>
      </c>
      <c r="V29" s="1"/>
      <c r="W29" s="1"/>
      <c r="AH29" s="1"/>
      <c r="AN29" s="4"/>
    </row>
    <row r="30" spans="1:47" x14ac:dyDescent="0.25">
      <c r="T30" t="s">
        <v>9</v>
      </c>
      <c r="U30" s="5">
        <f>'M101 &amp; fit parameters'!V30</f>
        <v>0.83333796967029827</v>
      </c>
      <c r="AH30" s="1"/>
      <c r="AN30" s="4"/>
    </row>
    <row r="31" spans="1:47" x14ac:dyDescent="0.25">
      <c r="W31" s="1"/>
      <c r="AH31" s="1"/>
      <c r="AN31" s="4"/>
    </row>
    <row r="32" spans="1:47" x14ac:dyDescent="0.25">
      <c r="T32" t="s">
        <v>13</v>
      </c>
      <c r="U32" s="5">
        <f>'M101 &amp; fit parameters'!V37</f>
        <v>2.2E-28</v>
      </c>
      <c r="W32" s="1"/>
      <c r="AH32" s="1"/>
      <c r="AN32" s="4"/>
    </row>
    <row r="33" spans="20:40" x14ac:dyDescent="0.25">
      <c r="AH33" s="1"/>
      <c r="AN33" s="4"/>
    </row>
    <row r="34" spans="20:40" x14ac:dyDescent="0.25">
      <c r="AH34" s="1"/>
      <c r="AN34" s="4"/>
    </row>
    <row r="35" spans="20:40" x14ac:dyDescent="0.25">
      <c r="AH35" s="1"/>
      <c r="AN35" s="4"/>
    </row>
    <row r="36" spans="20:40" x14ac:dyDescent="0.25">
      <c r="AH36" s="1"/>
      <c r="AN36" s="4"/>
    </row>
    <row r="37" spans="20:40" x14ac:dyDescent="0.25">
      <c r="AH37" s="1"/>
      <c r="AN37" s="4"/>
    </row>
    <row r="38" spans="20:40" x14ac:dyDescent="0.25">
      <c r="AH38" s="1"/>
      <c r="AN38" s="4"/>
    </row>
    <row r="39" spans="20:40" x14ac:dyDescent="0.25">
      <c r="AH39" s="1"/>
      <c r="AN39" s="4"/>
    </row>
    <row r="40" spans="20:40" x14ac:dyDescent="0.25">
      <c r="AH40" s="1"/>
      <c r="AN40" s="4"/>
    </row>
    <row r="41" spans="20:40" x14ac:dyDescent="0.25">
      <c r="T41" t="s">
        <v>10</v>
      </c>
      <c r="U41" s="1">
        <f>SUMXMY2(Q3:Q21,O3:O21)</f>
        <v>1451.7800341886655</v>
      </c>
      <c r="AH41" s="1"/>
      <c r="AN41" s="4"/>
    </row>
    <row r="42" spans="20:40" x14ac:dyDescent="0.25">
      <c r="AH42" s="1"/>
      <c r="AN42" s="4"/>
    </row>
    <row r="43" spans="20:40" x14ac:dyDescent="0.25">
      <c r="U43">
        <v>0</v>
      </c>
      <c r="AH43" s="1"/>
      <c r="AN43" s="4"/>
    </row>
    <row r="44" spans="20:40" x14ac:dyDescent="0.25">
      <c r="U44" s="1">
        <f>K23</f>
        <v>5.0069016104691547E-21</v>
      </c>
      <c r="AH44" s="1"/>
      <c r="AN44" s="4"/>
    </row>
    <row r="45" spans="20:40" x14ac:dyDescent="0.25">
      <c r="AH45" s="1"/>
      <c r="AN45" s="4"/>
    </row>
    <row r="46" spans="20:40" x14ac:dyDescent="0.25">
      <c r="U46" s="1"/>
      <c r="AH46" s="1"/>
      <c r="AN46" s="4"/>
    </row>
    <row r="47" spans="20:40" x14ac:dyDescent="0.25">
      <c r="U47" s="1"/>
      <c r="AH47" s="1"/>
      <c r="AN47" s="4"/>
    </row>
    <row r="48" spans="20:40" x14ac:dyDescent="0.25">
      <c r="AH48" s="1"/>
      <c r="AN48" s="4"/>
    </row>
    <row r="49" spans="1:40" x14ac:dyDescent="0.25">
      <c r="AH49" s="1"/>
      <c r="AN49" s="4"/>
    </row>
    <row r="50" spans="1:40" x14ac:dyDescent="0.25">
      <c r="Y50" s="1"/>
      <c r="AH50" s="1"/>
      <c r="AN50" s="4"/>
    </row>
    <row r="51" spans="1:40" x14ac:dyDescent="0.25">
      <c r="V51" s="1"/>
      <c r="W51" s="1"/>
      <c r="X51" s="1"/>
      <c r="AH51" s="1"/>
      <c r="AN51" s="4"/>
    </row>
    <row r="52" spans="1:40" x14ac:dyDescent="0.25">
      <c r="V52" s="1"/>
      <c r="W52" s="1"/>
      <c r="X52" s="1"/>
      <c r="AH52" s="1"/>
      <c r="AN52" s="4"/>
    </row>
    <row r="53" spans="1:40" x14ac:dyDescent="0.25">
      <c r="V53" s="1"/>
      <c r="W53" s="1"/>
      <c r="X53" s="1"/>
    </row>
    <row r="54" spans="1:40" x14ac:dyDescent="0.25">
      <c r="V54" s="1"/>
      <c r="W54" s="1"/>
      <c r="X54" s="1"/>
    </row>
    <row r="57" spans="1:40" ht="15.75" thickBot="1" x14ac:dyDescent="0.3"/>
    <row r="58" spans="1:40" ht="15.75" thickBot="1" x14ac:dyDescent="0.3">
      <c r="V58" s="7"/>
      <c r="W58" s="1"/>
      <c r="X58" s="1"/>
    </row>
    <row r="62" spans="1:40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5" spans="5:5" x14ac:dyDescent="0.25">
      <c r="E65" s="1"/>
    </row>
  </sheetData>
  <conditionalFormatting sqref="L2:L21">
    <cfRule type="cellIs" dxfId="22" priority="1" operator="lessThan">
      <formula>0</formula>
    </cfRule>
  </conditionalFormatting>
  <conditionalFormatting sqref="X23:X24">
    <cfRule type="cellIs" dxfId="21" priority="98" operator="lessThan">
      <formula>0</formula>
    </cfRule>
  </conditionalFormatting>
  <conditionalFormatting sqref="Y50">
    <cfRule type="cellIs" dxfId="20" priority="72" operator="lessThan">
      <formula>0</formula>
    </cfRule>
  </conditionalFormatting>
  <conditionalFormatting sqref="AC2">
    <cfRule type="colorScale" priority="10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3">
    <cfRule type="colorScale" priority="10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4">
    <cfRule type="colorScale" priority="10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5">
    <cfRule type="colorScale" priority="10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6">
    <cfRule type="colorScale" priority="10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7">
    <cfRule type="colorScale" priority="10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8">
    <cfRule type="colorScale" priority="10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9">
    <cfRule type="colorScale" priority="9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E24">
    <cfRule type="cellIs" dxfId="19" priority="48" operator="lessThan">
      <formula>0</formula>
    </cfRule>
  </conditionalFormatting>
  <conditionalFormatting sqref="AH29:AK29">
    <cfRule type="colorScale" priority="2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0:AK30">
    <cfRule type="colorScale" priority="2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1:AK31">
    <cfRule type="colorScale" priority="2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2:AK32">
    <cfRule type="colorScale" priority="2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3:AK33">
    <cfRule type="colorScale" priority="2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4:AK34">
    <cfRule type="colorScale" priority="2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5:AK35">
    <cfRule type="colorScale" priority="2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6:AK36">
    <cfRule type="colorScale" priority="2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7:AK37">
    <cfRule type="colorScale" priority="1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8:AK38">
    <cfRule type="colorScale" priority="1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9:AK39">
    <cfRule type="colorScale" priority="1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0:AK40">
    <cfRule type="colorScale" priority="1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1:AK41">
    <cfRule type="colorScale" priority="1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2:AK42">
    <cfRule type="colorScale" priority="1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3:AK43">
    <cfRule type="colorScale" priority="1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4:AK44">
    <cfRule type="colorScale" priority="1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5:AK45">
    <cfRule type="colorScale" priority="1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6:AK46">
    <cfRule type="colorScale" priority="1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7:AK47">
    <cfRule type="colorScale" priority="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8:AK48">
    <cfRule type="colorScale" priority="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9:AL52">
    <cfRule type="colorScale" priority="6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:AQ2">
    <cfRule type="colorScale" priority="4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:AQ3">
    <cfRule type="colorScale" priority="4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:AQ4">
    <cfRule type="colorScale" priority="4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5:AQ5">
    <cfRule type="colorScale" priority="4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6:AQ6">
    <cfRule type="colorScale" priority="4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7:AQ7">
    <cfRule type="colorScale" priority="4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8:AQ8">
    <cfRule type="colorScale" priority="4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9:AQ9">
    <cfRule type="colorScale" priority="4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0:AQ10">
    <cfRule type="colorScale" priority="3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1:AQ11">
    <cfRule type="colorScale" priority="3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2:AQ12">
    <cfRule type="colorScale" priority="3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3:AQ13">
    <cfRule type="colorScale" priority="3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4:AQ14">
    <cfRule type="colorScale" priority="3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5:AQ15">
    <cfRule type="colorScale" priority="3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6:AQ16">
    <cfRule type="colorScale" priority="3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7:AQ17">
    <cfRule type="colorScale" priority="3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8:AQ18">
    <cfRule type="colorScale" priority="3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9:AQ19">
    <cfRule type="colorScale" priority="3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0:AQ20">
    <cfRule type="colorScale" priority="2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1:AQ21">
    <cfRule type="colorScale" priority="2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2:AS22">
    <cfRule type="colorScale" priority="7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29">
    <cfRule type="colorScale" priority="6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0">
    <cfRule type="colorScale" priority="6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1">
    <cfRule type="colorScale" priority="6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2">
    <cfRule type="colorScale" priority="6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3">
    <cfRule type="colorScale" priority="6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4">
    <cfRule type="colorScale" priority="6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5">
    <cfRule type="colorScale" priority="6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6">
    <cfRule type="colorScale" priority="6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7">
    <cfRule type="colorScale" priority="6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8">
    <cfRule type="colorScale" priority="5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9">
    <cfRule type="colorScale" priority="5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0">
    <cfRule type="colorScale" priority="5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1">
    <cfRule type="colorScale" priority="5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2">
    <cfRule type="colorScale" priority="5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3">
    <cfRule type="colorScale" priority="5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4">
    <cfRule type="colorScale" priority="5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5">
    <cfRule type="colorScale" priority="5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6">
    <cfRule type="colorScale" priority="5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7">
    <cfRule type="colorScale" priority="5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8">
    <cfRule type="colorScale" priority="4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S2:AS21">
    <cfRule type="cellIs" dxfId="18" priority="70" operator="lessThan">
      <formula>0</formula>
    </cfRule>
  </conditionalFormatting>
  <conditionalFormatting sqref="AU2:AU22">
    <cfRule type="cellIs" dxfId="17" priority="96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4350-1668-4BE9-9EE7-A22C166199C9}">
  <dimension ref="A1:AQ8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4" sqref="Z4"/>
    </sheetView>
  </sheetViews>
  <sheetFormatPr defaultRowHeight="15" x14ac:dyDescent="0.25"/>
  <cols>
    <col min="1" max="1" width="10.140625" customWidth="1"/>
    <col min="2" max="2" width="12.140625" style="1" customWidth="1"/>
    <col min="3" max="4" width="12.7109375" bestFit="1" customWidth="1"/>
    <col min="5" max="5" width="10.7109375" customWidth="1"/>
    <col min="6" max="6" width="3.85546875" customWidth="1"/>
    <col min="7" max="7" width="5.28515625" customWidth="1"/>
    <col min="8" max="8" width="13" bestFit="1" customWidth="1"/>
    <col min="9" max="9" width="3" customWidth="1"/>
    <col min="11" max="11" width="11.7109375" bestFit="1" customWidth="1"/>
    <col min="12" max="12" width="2.140625" customWidth="1"/>
    <col min="13" max="13" width="2.5703125" customWidth="1"/>
    <col min="14" max="14" width="3.5703125" customWidth="1"/>
    <col min="15" max="15" width="10.7109375" style="3" customWidth="1"/>
    <col min="16" max="16" width="12.7109375" bestFit="1" customWidth="1"/>
    <col min="17" max="17" width="9.140625" customWidth="1"/>
    <col min="18" max="18" width="11.140625" customWidth="1"/>
    <col min="19" max="19" width="13.28515625" customWidth="1"/>
    <col min="20" max="20" width="13" bestFit="1" customWidth="1"/>
    <col min="21" max="21" width="12" bestFit="1" customWidth="1"/>
    <col min="22" max="22" width="11" customWidth="1"/>
    <col min="23" max="23" width="13.5703125" bestFit="1" customWidth="1"/>
    <col min="24" max="24" width="13.140625" customWidth="1"/>
    <col min="25" max="25" width="12.7109375" bestFit="1" customWidth="1"/>
    <col min="26" max="26" width="16.28515625" customWidth="1"/>
    <col min="27" max="27" width="12.7109375" bestFit="1" customWidth="1"/>
    <col min="31" max="31" width="10.28515625" customWidth="1"/>
    <col min="32" max="32" width="11.42578125" customWidth="1"/>
    <col min="33" max="33" width="14.7109375" customWidth="1"/>
    <col min="34" max="34" width="18.28515625" customWidth="1"/>
    <col min="35" max="35" width="10.7109375" customWidth="1"/>
    <col min="36" max="36" width="11.5703125" customWidth="1"/>
    <col min="39" max="39" width="14.42578125" customWidth="1"/>
  </cols>
  <sheetData>
    <row r="1" spans="1:41" x14ac:dyDescent="0.25">
      <c r="A1" t="s">
        <v>57</v>
      </c>
      <c r="E1" t="s">
        <v>51</v>
      </c>
      <c r="H1" t="s">
        <v>52</v>
      </c>
      <c r="J1" t="s">
        <v>39</v>
      </c>
      <c r="K1" t="s">
        <v>58</v>
      </c>
      <c r="L1" t="s">
        <v>14</v>
      </c>
      <c r="N1" t="s">
        <v>39</v>
      </c>
      <c r="O1" s="3" t="s">
        <v>48</v>
      </c>
      <c r="P1" t="s">
        <v>59</v>
      </c>
      <c r="Q1" t="s">
        <v>0</v>
      </c>
      <c r="S1" t="s">
        <v>45</v>
      </c>
      <c r="T1" t="s">
        <v>43</v>
      </c>
      <c r="U1" t="s">
        <v>50</v>
      </c>
      <c r="V1" s="1"/>
    </row>
    <row r="2" spans="1:41" x14ac:dyDescent="0.25">
      <c r="A2" s="3">
        <f>J2</f>
        <v>0.1</v>
      </c>
      <c r="C2" s="1"/>
      <c r="D2" s="1"/>
      <c r="E2" s="1">
        <f>J2*1000*ly_m*U2</f>
        <v>5.0165241041944934E-5</v>
      </c>
      <c r="H2">
        <v>0</v>
      </c>
      <c r="J2">
        <v>0.1</v>
      </c>
      <c r="K2" s="1">
        <f>U2+du</f>
        <v>5.3029016027425939E-23</v>
      </c>
      <c r="L2" s="1">
        <f>X$9</f>
        <v>2.2E-28</v>
      </c>
      <c r="N2">
        <f>J2</f>
        <v>0.1</v>
      </c>
      <c r="O2">
        <v>1</v>
      </c>
      <c r="P2" s="1">
        <f>2*PI()*SQRT(Kappa*c_ms^2/2)*SQRT(H2)*T2*c_kms</f>
        <v>0</v>
      </c>
      <c r="Q2">
        <v>0</v>
      </c>
      <c r="S2">
        <v>1</v>
      </c>
      <c r="T2" s="1">
        <f t="shared" ref="T2:T21" si="0">SQRT(U2/(X$9+U2))</f>
        <v>0.9999979256617918</v>
      </c>
      <c r="U2" s="1">
        <f t="shared" ref="U2:U21" si="1">nf*EXP(-bf*J2^kf)+pf*EXP(-mf*J2^qf)</f>
        <v>5.3028796027425935E-23</v>
      </c>
      <c r="V2" s="1"/>
      <c r="W2" t="s">
        <v>29</v>
      </c>
      <c r="X2" s="1">
        <v>2E+30</v>
      </c>
      <c r="Y2" t="s">
        <v>30</v>
      </c>
      <c r="Z2" s="1"/>
      <c r="AA2" s="1"/>
      <c r="AB2" s="1"/>
      <c r="AC2" s="4"/>
      <c r="AE2" s="1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x14ac:dyDescent="0.25">
      <c r="A3" s="3">
        <f t="shared" ref="A3:A21" si="2">J3</f>
        <v>5.0999999999999996</v>
      </c>
      <c r="C3" s="1"/>
      <c r="D3" s="1"/>
      <c r="E3" s="1">
        <f>J3*1000*ly_m*U3</f>
        <v>2.4320662089425552E-3</v>
      </c>
      <c r="H3" s="1">
        <f>H2+(J3-J2)*1000*ly_m*(E3+E2)/2</f>
        <v>5.8704773792133432E+16</v>
      </c>
      <c r="J3">
        <f>J2+5</f>
        <v>5.0999999999999996</v>
      </c>
      <c r="K3" s="1">
        <f>U3+du</f>
        <v>5.0409916325965992E-23</v>
      </c>
      <c r="L3" s="1">
        <f t="shared" ref="L3:L21" si="3">X$9</f>
        <v>2.2E-28</v>
      </c>
      <c r="N3">
        <f>J3</f>
        <v>5.0999999999999996</v>
      </c>
      <c r="O3" s="1">
        <f>0.25*P2+0.5*P3+0.25*P4</f>
        <v>43.175216142384805</v>
      </c>
      <c r="P3" s="1">
        <f>2*PI()*SQRT(Kappa*c_ms^2/2)*SQRT(H3)*T3*c_kms</f>
        <v>44.153119225641532</v>
      </c>
      <c r="Q3">
        <v>50</v>
      </c>
      <c r="S3" s="1">
        <f t="shared" ref="S3:S20" si="4">0.25*T2+0.5*T3+0.25*T4</f>
        <v>0.99999775791008239</v>
      </c>
      <c r="T3" s="1">
        <f t="shared" si="0"/>
        <v>0.99999781788727238</v>
      </c>
      <c r="U3" s="1">
        <f t="shared" si="1"/>
        <v>5.0409696325965994E-23</v>
      </c>
      <c r="W3" t="s">
        <v>31</v>
      </c>
      <c r="X3" s="1">
        <v>60000000000</v>
      </c>
      <c r="Y3" t="s">
        <v>29</v>
      </c>
      <c r="Z3" s="25" t="s">
        <v>62</v>
      </c>
      <c r="AA3" s="31">
        <v>10000000000</v>
      </c>
      <c r="AB3" s="32" t="s">
        <v>29</v>
      </c>
      <c r="AC3" s="4"/>
      <c r="AE3" s="1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x14ac:dyDescent="0.25">
      <c r="A4" s="3">
        <f t="shared" si="2"/>
        <v>10.1</v>
      </c>
      <c r="C4" s="1"/>
      <c r="D4" s="1"/>
      <c r="E4" s="1">
        <f>J4*1000*ly_m*U4</f>
        <v>4.1544931247239755E-3</v>
      </c>
      <c r="H4" s="1">
        <f>H3+(J4-J3)*1000*ly_m*(E4+E3)/2</f>
        <v>2.1447690203334688E+17</v>
      </c>
      <c r="J4">
        <f t="shared" ref="J4:J21" si="5">J3+5</f>
        <v>10.1</v>
      </c>
      <c r="K4" s="1">
        <f>U4+du</f>
        <v>4.3481821791011397E-23</v>
      </c>
      <c r="L4" s="1">
        <f t="shared" si="3"/>
        <v>2.2E-28</v>
      </c>
      <c r="N4">
        <f t="shared" ref="N4:N21" si="6">J4</f>
        <v>10.1</v>
      </c>
      <c r="O4" s="1">
        <f t="shared" ref="O4:O21" si="7">0.25*P3+0.5*P4+0.25*P5</f>
        <v>83.029918802309581</v>
      </c>
      <c r="P4" s="1">
        <f>2*PI()*SQRT(Kappa*c_ms^2/2)*SQRT(H4)*T4*c_kms</f>
        <v>84.394626118256156</v>
      </c>
      <c r="Q4">
        <v>90</v>
      </c>
      <c r="S4" s="1">
        <f t="shared" si="4"/>
        <v>0.99999738150195794</v>
      </c>
      <c r="T4" s="1">
        <f t="shared" si="0"/>
        <v>0.99999747020399321</v>
      </c>
      <c r="U4" s="1">
        <f t="shared" si="1"/>
        <v>4.3481601791011399E-23</v>
      </c>
      <c r="W4" t="s">
        <v>31</v>
      </c>
      <c r="X4" s="1">
        <f>X2*X3</f>
        <v>1.2000000000000001E+41</v>
      </c>
      <c r="Y4" t="s">
        <v>30</v>
      </c>
      <c r="Z4" s="26" t="s">
        <v>53</v>
      </c>
      <c r="AA4" s="30">
        <f>3*3.26</f>
        <v>9.7799999999999994</v>
      </c>
      <c r="AB4" s="27" t="s">
        <v>60</v>
      </c>
      <c r="AC4" s="4"/>
      <c r="AE4" s="1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x14ac:dyDescent="0.25">
      <c r="A5" s="3">
        <f t="shared" si="2"/>
        <v>15.1</v>
      </c>
      <c r="C5" s="1"/>
      <c r="D5" s="1"/>
      <c r="E5" s="1">
        <f>J5*1000*ly_m*U5</f>
        <v>4.8612582177283356E-3</v>
      </c>
      <c r="H5" s="1">
        <f>H4+(J5-J4)*1000*ly_m*(E5+E4)/2</f>
        <v>4.2769942128234406E+17</v>
      </c>
      <c r="J5">
        <f t="shared" si="5"/>
        <v>15.1</v>
      </c>
      <c r="K5" s="1">
        <f>U5+du</f>
        <v>3.403168197813264E-23</v>
      </c>
      <c r="L5" s="1">
        <f t="shared" si="3"/>
        <v>2.2E-28</v>
      </c>
      <c r="N5">
        <f t="shared" si="6"/>
        <v>15.1</v>
      </c>
      <c r="O5" s="1">
        <f t="shared" si="7"/>
        <v>117.45542096652434</v>
      </c>
      <c r="P5" s="1">
        <f>2*PI()*SQRT(Kappa*c_ms^2/2)*SQRT(H5)*T5*c_kms</f>
        <v>119.17730374708445</v>
      </c>
      <c r="Q5">
        <v>120</v>
      </c>
      <c r="S5" s="1">
        <f t="shared" si="4"/>
        <v>0.99999661355587199</v>
      </c>
      <c r="T5" s="1">
        <f t="shared" si="0"/>
        <v>0.99999676771257306</v>
      </c>
      <c r="U5" s="1">
        <f t="shared" si="1"/>
        <v>3.4031461978132642E-23</v>
      </c>
      <c r="Z5" s="26"/>
      <c r="AA5" s="30"/>
      <c r="AB5" s="27"/>
      <c r="AC5" s="4"/>
      <c r="AE5" s="1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25">
      <c r="A6" s="3">
        <f t="shared" si="2"/>
        <v>20.100000000000001</v>
      </c>
      <c r="C6" s="1"/>
      <c r="D6" s="1"/>
      <c r="E6" s="1">
        <f>J6*1000*ly_m*U6</f>
        <v>4.5954851768347472E-3</v>
      </c>
      <c r="H6" s="1">
        <f>H5+(J6-J5)*1000*ly_m*(E6+E5)/2</f>
        <v>6.5135140256376102E+17</v>
      </c>
      <c r="J6">
        <f t="shared" si="5"/>
        <v>20.100000000000001</v>
      </c>
      <c r="K6" s="1">
        <f>U6+du</f>
        <v>2.4168412740498075E-23</v>
      </c>
      <c r="L6" s="1">
        <f t="shared" si="3"/>
        <v>2.2E-28</v>
      </c>
      <c r="N6">
        <f t="shared" si="6"/>
        <v>20.100000000000001</v>
      </c>
      <c r="O6" s="1">
        <f t="shared" si="7"/>
        <v>145.27079462694354</v>
      </c>
      <c r="P6" s="1">
        <f>2*PI()*SQRT(Kappa*c_ms^2/2)*SQRT(H6)*T6*c_kms</f>
        <v>147.07245025367229</v>
      </c>
      <c r="Q6">
        <v>145</v>
      </c>
      <c r="S6" s="1">
        <f t="shared" si="4"/>
        <v>0.99999515052691845</v>
      </c>
      <c r="T6" s="1">
        <f t="shared" si="0"/>
        <v>0.99999544859434875</v>
      </c>
      <c r="U6" s="1">
        <f t="shared" si="1"/>
        <v>2.4168192740498074E-23</v>
      </c>
      <c r="W6" t="s">
        <v>32</v>
      </c>
      <c r="X6" s="1">
        <f>X4/(10*3.1415*50^2)</f>
        <v>1.527932516313863E+36</v>
      </c>
      <c r="Y6" t="s">
        <v>33</v>
      </c>
      <c r="Z6" s="28" t="s">
        <v>49</v>
      </c>
      <c r="AA6" s="33">
        <f>AA3*X2/(4*PI()/3*POWER(AA4*1000*ly_m,3))</f>
        <v>6.0290850841290003E-21</v>
      </c>
      <c r="AB6" s="29" t="s">
        <v>35</v>
      </c>
      <c r="AC6" s="4"/>
      <c r="AE6" s="1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5">
      <c r="A7" s="3">
        <f t="shared" si="2"/>
        <v>25.1</v>
      </c>
      <c r="C7" s="1"/>
      <c r="D7" s="1"/>
      <c r="E7" s="1">
        <f>J7*1000*ly_m*U7</f>
        <v>3.6980810683369405E-3</v>
      </c>
      <c r="H7" s="1">
        <f>H6+(J7-J6)*1000*ly_m*(E7+E6)/2</f>
        <v>8.4749424426207142E+17</v>
      </c>
      <c r="J7">
        <f t="shared" si="5"/>
        <v>25.1</v>
      </c>
      <c r="K7" s="1">
        <f>U7+du</f>
        <v>1.5574628784889789E-23</v>
      </c>
      <c r="L7" s="1">
        <f t="shared" si="3"/>
        <v>2.2E-28</v>
      </c>
      <c r="N7">
        <f t="shared" si="6"/>
        <v>25.1</v>
      </c>
      <c r="O7" s="1">
        <f t="shared" si="7"/>
        <v>166.12153279543423</v>
      </c>
      <c r="P7" s="1">
        <f>2*PI()*SQRT(Kappa*c_ms^2/2)*SQRT(H7)*T7*c_kms</f>
        <v>167.76097425334515</v>
      </c>
      <c r="Q7">
        <v>165</v>
      </c>
      <c r="S7" s="1">
        <f t="shared" si="4"/>
        <v>0.99999231144514933</v>
      </c>
      <c r="T7" s="1">
        <f t="shared" si="0"/>
        <v>0.99999293720640314</v>
      </c>
      <c r="U7" s="1">
        <f t="shared" si="1"/>
        <v>1.5574408784889787E-23</v>
      </c>
      <c r="X7" s="1">
        <f>X6/(1000*AA9)^3</f>
        <v>1.8048069891415169E-21</v>
      </c>
      <c r="Y7" t="s">
        <v>35</v>
      </c>
      <c r="Z7" s="1"/>
      <c r="AA7" s="1"/>
      <c r="AB7" s="1"/>
      <c r="AC7" s="4"/>
      <c r="AE7" s="1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x14ac:dyDescent="0.25">
      <c r="A8" s="3">
        <f t="shared" si="2"/>
        <v>30.1</v>
      </c>
      <c r="C8" s="1"/>
      <c r="D8" s="1"/>
      <c r="E8" s="1">
        <f>J8*1000*ly_m*U8</f>
        <v>2.5934342148132656E-3</v>
      </c>
      <c r="H8" s="1">
        <f>H7+(J8-J7)*1000*ly_m*(E8+E7)/2</f>
        <v>9.9628858070857382E+17</v>
      </c>
      <c r="J8">
        <f t="shared" si="5"/>
        <v>30.1</v>
      </c>
      <c r="K8" s="1">
        <f>U8+du</f>
        <v>9.1081063787841287E-24</v>
      </c>
      <c r="L8" s="1">
        <f t="shared" si="3"/>
        <v>2.2E-28</v>
      </c>
      <c r="N8">
        <f t="shared" si="6"/>
        <v>30.1</v>
      </c>
      <c r="O8" s="1">
        <f t="shared" si="7"/>
        <v>180.57082695777063</v>
      </c>
      <c r="P8" s="1">
        <f>2*PI()*SQRT(Kappa*c_ms^2/2)*SQRT(H8)*T8*c_kms</f>
        <v>181.8917324213744</v>
      </c>
      <c r="Q8">
        <v>180</v>
      </c>
      <c r="S8" s="1">
        <f t="shared" si="4"/>
        <v>0.99998650745318285</v>
      </c>
      <c r="T8" s="1">
        <f t="shared" si="0"/>
        <v>0.99998792277344195</v>
      </c>
      <c r="U8" s="1">
        <f t="shared" si="1"/>
        <v>9.107886378784129E-24</v>
      </c>
      <c r="Z8" s="1"/>
      <c r="AA8" s="1"/>
      <c r="AB8" s="1"/>
      <c r="AC8" s="4"/>
      <c r="AE8" s="1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x14ac:dyDescent="0.25">
      <c r="A9" s="3">
        <f t="shared" si="2"/>
        <v>35.1</v>
      </c>
      <c r="C9" s="1"/>
      <c r="D9" s="1"/>
      <c r="E9" s="1">
        <f>J9*1000*ly_m*U9</f>
        <v>1.6052348634487605E-3</v>
      </c>
      <c r="H9" s="1">
        <f>H8+(J9-J8)*1000*ly_m*(E9+E8)/2</f>
        <v>1.0955871044094707E+18</v>
      </c>
      <c r="J9">
        <f t="shared" si="5"/>
        <v>35.1</v>
      </c>
      <c r="K9" s="1">
        <f>U9+du</f>
        <v>4.8345949463892365E-24</v>
      </c>
      <c r="L9" s="1">
        <f t="shared" si="3"/>
        <v>2.2E-28</v>
      </c>
      <c r="N9">
        <f t="shared" si="6"/>
        <v>35.1</v>
      </c>
      <c r="O9" s="1">
        <f t="shared" si="7"/>
        <v>189.79021744933917</v>
      </c>
      <c r="P9" s="1">
        <f>2*PI()*SQRT(Kappa*c_ms^2/2)*SQRT(H9)*T9*c_kms</f>
        <v>190.73886873498867</v>
      </c>
      <c r="Q9">
        <v>190</v>
      </c>
      <c r="S9" s="1">
        <f t="shared" si="4"/>
        <v>0.99997380266268765</v>
      </c>
      <c r="T9" s="1">
        <f t="shared" si="0"/>
        <v>0.99997724705944435</v>
      </c>
      <c r="U9" s="1">
        <f t="shared" si="1"/>
        <v>4.8343749463892368E-24</v>
      </c>
      <c r="W9" t="s">
        <v>34</v>
      </c>
      <c r="X9" s="1">
        <v>2.2E-28</v>
      </c>
      <c r="Y9" t="s">
        <v>35</v>
      </c>
      <c r="Z9" s="1" t="s">
        <v>36</v>
      </c>
      <c r="AA9" s="1">
        <v>9460000000000000</v>
      </c>
      <c r="AB9" s="1" t="s">
        <v>1</v>
      </c>
      <c r="AC9" s="4"/>
      <c r="AE9" s="1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5">
      <c r="A10" s="3">
        <f t="shared" si="2"/>
        <v>40.1</v>
      </c>
      <c r="C10" s="1"/>
      <c r="D10" s="1"/>
      <c r="E10" s="1">
        <f>J10*1000*ly_m*U10</f>
        <v>8.8388958513408594E-4</v>
      </c>
      <c r="H10" s="1">
        <f>H9+(J10-J9)*1000*ly_m*(E10+E9)/2</f>
        <v>1.154454897618455E+18</v>
      </c>
      <c r="J10">
        <f t="shared" si="5"/>
        <v>40.1</v>
      </c>
      <c r="K10" s="1">
        <f>U10+du</f>
        <v>2.3302553374863212E-24</v>
      </c>
      <c r="L10" s="1">
        <f t="shared" si="3"/>
        <v>2.2E-28</v>
      </c>
      <c r="N10">
        <f t="shared" si="6"/>
        <v>40.1</v>
      </c>
      <c r="O10" s="1">
        <f t="shared" si="7"/>
        <v>195.18236401030259</v>
      </c>
      <c r="P10" s="1">
        <f>2*PI()*SQRT(Kappa*c_ms^2/2)*SQRT(H10)*T10*c_kms</f>
        <v>195.79139990600493</v>
      </c>
      <c r="Q10">
        <v>198</v>
      </c>
      <c r="S10" s="1">
        <f t="shared" si="4"/>
        <v>0.9999437731999774</v>
      </c>
      <c r="T10" s="1">
        <f t="shared" si="0"/>
        <v>0.99995279375841994</v>
      </c>
      <c r="U10" s="1">
        <f t="shared" si="1"/>
        <v>2.3300353374863211E-24</v>
      </c>
      <c r="AE10" s="1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5">
      <c r="A11" s="3">
        <f t="shared" si="2"/>
        <v>45.1</v>
      </c>
      <c r="C11" s="1"/>
      <c r="D11" s="1"/>
      <c r="E11" s="1">
        <f>J11*1000*ly_m*U11</f>
        <v>4.3551793057038167E-4</v>
      </c>
      <c r="H11" s="1">
        <f>H10+(J11-J10)*1000*ly_m*(E11+E10)/2</f>
        <v>1.1856588853648658E+18</v>
      </c>
      <c r="J11">
        <f t="shared" si="5"/>
        <v>45.1</v>
      </c>
      <c r="K11" s="1">
        <f>U11+du</f>
        <v>1.0210145945125037E-24</v>
      </c>
      <c r="L11" s="1">
        <f t="shared" si="3"/>
        <v>2.2E-28</v>
      </c>
      <c r="N11">
        <f t="shared" si="6"/>
        <v>45.1</v>
      </c>
      <c r="O11" s="1">
        <f t="shared" si="7"/>
        <v>198.05565887510124</v>
      </c>
      <c r="P11" s="1">
        <f>2*PI()*SQRT(Kappa*c_ms^2/2)*SQRT(H11)*T11*c_kms</f>
        <v>198.40778749421182</v>
      </c>
      <c r="Q11">
        <v>203</v>
      </c>
      <c r="S11" s="1">
        <f t="shared" si="4"/>
        <v>0.99986689246248983</v>
      </c>
      <c r="T11" s="1">
        <f t="shared" si="0"/>
        <v>0.9998922582236256</v>
      </c>
      <c r="U11" s="1">
        <f t="shared" si="1"/>
        <v>1.0207945945125037E-24</v>
      </c>
      <c r="AA11" s="1"/>
      <c r="AE11" s="1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25">
      <c r="A12" s="3">
        <f t="shared" si="2"/>
        <v>50.1</v>
      </c>
      <c r="C12" s="1"/>
      <c r="D12" s="1"/>
      <c r="E12" s="1">
        <f>J12*1000*ly_m*U12</f>
        <v>1.9319677554790161E-4</v>
      </c>
      <c r="H12" s="1">
        <f>H11+(J12-J11)*1000*ly_m*(E12+E11)/2</f>
        <v>1.2005279881645632E+18</v>
      </c>
      <c r="J12">
        <f t="shared" si="5"/>
        <v>50.1</v>
      </c>
      <c r="K12" s="1">
        <f>U12+du</f>
        <v>4.0785457344908831E-25</v>
      </c>
      <c r="L12" s="1">
        <f t="shared" si="3"/>
        <v>2.2E-28</v>
      </c>
      <c r="N12">
        <f t="shared" si="6"/>
        <v>50.1</v>
      </c>
      <c r="O12" s="1">
        <f t="shared" si="7"/>
        <v>199.42351602660881</v>
      </c>
      <c r="P12" s="1">
        <f>2*PI()*SQRT(Kappa*c_ms^2/2)*SQRT(H12)*T12*c_kms</f>
        <v>199.61566060597647</v>
      </c>
      <c r="Q12">
        <v>203</v>
      </c>
      <c r="S12" s="1">
        <f t="shared" si="4"/>
        <v>0.99965449267922823</v>
      </c>
      <c r="T12" s="1">
        <f t="shared" si="0"/>
        <v>0.99973025964428841</v>
      </c>
      <c r="U12" s="1">
        <f t="shared" si="1"/>
        <v>4.076345734490883E-25</v>
      </c>
      <c r="AE12" s="1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25">
      <c r="A13" s="3">
        <f t="shared" si="2"/>
        <v>55.1</v>
      </c>
      <c r="C13" s="1"/>
      <c r="D13" s="1"/>
      <c r="E13" s="1">
        <f>J13*1000*ly_m*U13</f>
        <v>7.7944121662597041E-5</v>
      </c>
      <c r="H13" s="1">
        <f>H12+(J13-J12)*1000*ly_m*(E13+E12)/2</f>
        <v>1.2069404703835914E+18</v>
      </c>
      <c r="J13">
        <f t="shared" si="5"/>
        <v>55.1</v>
      </c>
      <c r="K13" s="1">
        <f>U13+du</f>
        <v>1.4975423462740633E-25</v>
      </c>
      <c r="L13" s="1">
        <f t="shared" si="3"/>
        <v>2.2E-28</v>
      </c>
      <c r="N13">
        <f t="shared" si="6"/>
        <v>55.1</v>
      </c>
      <c r="O13" s="1">
        <f t="shared" si="7"/>
        <v>199.9278941290633</v>
      </c>
      <c r="P13" s="1">
        <f>2*PI()*SQRT(Kappa*c_ms^2/2)*SQRT(H13)*T13*c_kms</f>
        <v>200.05495540027047</v>
      </c>
      <c r="Q13">
        <v>202</v>
      </c>
      <c r="S13" s="1">
        <f t="shared" si="4"/>
        <v>0.99903335891677147</v>
      </c>
      <c r="T13" s="1">
        <f t="shared" si="0"/>
        <v>0.99926519320471063</v>
      </c>
      <c r="U13" s="1">
        <f t="shared" si="1"/>
        <v>1.4953423462740633E-25</v>
      </c>
      <c r="W13" t="s">
        <v>55</v>
      </c>
      <c r="X13" s="1">
        <v>300000</v>
      </c>
      <c r="Y13" t="s">
        <v>2</v>
      </c>
      <c r="Z13" t="s">
        <v>38</v>
      </c>
      <c r="AA13" s="1">
        <f>X15*X9*X14^2</f>
        <v>4.1124599999999997E-54</v>
      </c>
      <c r="AE13" s="1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5">
      <c r="A14" s="3">
        <f t="shared" si="2"/>
        <v>60.1</v>
      </c>
      <c r="C14" s="1"/>
      <c r="D14" s="1"/>
      <c r="E14" s="1">
        <f>J14*1000*ly_m*U14</f>
        <v>2.9306258289414667E-5</v>
      </c>
      <c r="H14" s="1">
        <f>H13+(J14-J13)*1000*ly_m*(E14+E13)/2</f>
        <v>1.2094769418694564E+18</v>
      </c>
      <c r="J14">
        <f t="shared" si="5"/>
        <v>60.1</v>
      </c>
      <c r="K14" s="1">
        <f>U14+du</f>
        <v>5.1765975680797453E-26</v>
      </c>
      <c r="L14" s="1">
        <f t="shared" si="3"/>
        <v>2.2E-28</v>
      </c>
      <c r="N14">
        <f t="shared" si="6"/>
        <v>60.1</v>
      </c>
      <c r="O14" s="1">
        <f t="shared" si="7"/>
        <v>199.82255906807501</v>
      </c>
      <c r="P14" s="1">
        <f>2*PI()*SQRT(Kappa*c_ms^2/2)*SQRT(H14)*T14*c_kms</f>
        <v>199.98600510973577</v>
      </c>
      <c r="Q14">
        <v>201</v>
      </c>
      <c r="S14" s="1">
        <f t="shared" si="4"/>
        <v>0.99722153465438423</v>
      </c>
      <c r="T14" s="1">
        <f t="shared" si="0"/>
        <v>0.99787278961337589</v>
      </c>
      <c r="U14" s="1">
        <f t="shared" si="1"/>
        <v>5.154597568079745E-26</v>
      </c>
      <c r="W14" t="s">
        <v>56</v>
      </c>
      <c r="X14" s="1">
        <f>c_*1000</f>
        <v>300000000</v>
      </c>
      <c r="Y14" t="s">
        <v>24</v>
      </c>
      <c r="AE14" s="1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25">
      <c r="A15" s="3">
        <f t="shared" si="2"/>
        <v>65.099999999999994</v>
      </c>
      <c r="C15" s="1"/>
      <c r="D15" s="1"/>
      <c r="E15" s="1">
        <f>J15*1000*ly_m*U15</f>
        <v>1.0959242154972384E-5</v>
      </c>
      <c r="H15" s="1">
        <f>H14+(J15-J14)*1000*ly_m*(E15+E14)/2</f>
        <v>1.210429220954966E+18</v>
      </c>
      <c r="J15">
        <f t="shared" si="5"/>
        <v>65.099999999999994</v>
      </c>
      <c r="K15" s="1">
        <f>U15+du</f>
        <v>1.8015426380901045E-26</v>
      </c>
      <c r="L15" s="1">
        <f t="shared" si="3"/>
        <v>2.2E-28</v>
      </c>
      <c r="N15">
        <f t="shared" si="6"/>
        <v>65.099999999999994</v>
      </c>
      <c r="O15" s="1">
        <f t="shared" si="7"/>
        <v>198.99849462603123</v>
      </c>
      <c r="P15" s="1">
        <f>2*PI()*SQRT(Kappa*c_ms^2/2)*SQRT(H15)*T15*c_kms</f>
        <v>199.26327065255805</v>
      </c>
      <c r="Q15">
        <v>200</v>
      </c>
      <c r="S15" s="1">
        <f t="shared" si="4"/>
        <v>0.99261521447931456</v>
      </c>
      <c r="T15" s="1">
        <f t="shared" si="0"/>
        <v>0.99387536618607442</v>
      </c>
      <c r="U15" s="1">
        <f t="shared" si="1"/>
        <v>1.7795426380901045E-26</v>
      </c>
      <c r="W15" t="s">
        <v>25</v>
      </c>
      <c r="X15" s="1">
        <v>2.0769999999999998E-43</v>
      </c>
      <c r="Y15" t="s">
        <v>26</v>
      </c>
      <c r="AA15" s="1"/>
      <c r="AE15" s="1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25">
      <c r="A16" s="3">
        <f t="shared" si="2"/>
        <v>70.099999999999994</v>
      </c>
      <c r="C16" s="1"/>
      <c r="D16" s="1"/>
      <c r="E16" s="1">
        <f>J16*1000*ly_m*U16</f>
        <v>4.7017594991807418E-6</v>
      </c>
      <c r="H16" s="1">
        <f>H15+(J16-J15)*1000*ly_m*(E16+E15)/2</f>
        <v>1.2107996036440868E+18</v>
      </c>
      <c r="J16">
        <f t="shared" si="5"/>
        <v>70.099999999999994</v>
      </c>
      <c r="K16" s="1">
        <f>U16+du</f>
        <v>7.3100819716634682E-27</v>
      </c>
      <c r="L16" s="1">
        <f t="shared" si="3"/>
        <v>2.2E-28</v>
      </c>
      <c r="N16">
        <f t="shared" si="6"/>
        <v>70.099999999999994</v>
      </c>
      <c r="O16" s="1">
        <f t="shared" si="7"/>
        <v>197.30612226830794</v>
      </c>
      <c r="P16" s="1">
        <f>2*PI()*SQRT(Kappa*c_ms^2/2)*SQRT(H16)*T16*c_kms</f>
        <v>197.48143208927311</v>
      </c>
      <c r="Q16">
        <v>198</v>
      </c>
      <c r="S16" s="1">
        <f t="shared" si="4"/>
        <v>0.98398347083565973</v>
      </c>
      <c r="T16" s="1">
        <f t="shared" si="0"/>
        <v>0.9848373359317335</v>
      </c>
      <c r="U16" s="1">
        <f t="shared" si="1"/>
        <v>7.0900819716634683E-27</v>
      </c>
      <c r="W16" s="1" t="s">
        <v>40</v>
      </c>
      <c r="X16" s="1">
        <v>6.7000000000000001E-11</v>
      </c>
      <c r="Y16" t="s">
        <v>41</v>
      </c>
      <c r="AE16" s="1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3" x14ac:dyDescent="0.25">
      <c r="A17" s="3">
        <f t="shared" si="2"/>
        <v>75.099999999999994</v>
      </c>
      <c r="C17" s="1"/>
      <c r="D17" s="1"/>
      <c r="E17" s="1">
        <f>J17*1000*ly_m*U17</f>
        <v>2.7131548456188178E-6</v>
      </c>
      <c r="H17" s="1">
        <f>H16+(J17-J16)*1000*ly_m*(E17+E16)/2</f>
        <v>1.2109749663683412E+18</v>
      </c>
      <c r="J17">
        <f t="shared" si="5"/>
        <v>75.099999999999994</v>
      </c>
      <c r="K17" s="1">
        <f>U17+du</f>
        <v>4.0389459094974393E-27</v>
      </c>
      <c r="L17" s="1">
        <f t="shared" si="3"/>
        <v>2.2E-28</v>
      </c>
      <c r="N17">
        <f t="shared" si="6"/>
        <v>75.099999999999994</v>
      </c>
      <c r="O17" s="1">
        <f t="shared" si="7"/>
        <v>195.09905051594336</v>
      </c>
      <c r="P17" s="1">
        <f>2*PI()*SQRT(Kappa*c_ms^2/2)*SQRT(H17)*T17*c_kms</f>
        <v>194.99835424212762</v>
      </c>
      <c r="Q17">
        <v>197</v>
      </c>
      <c r="S17" s="1">
        <f t="shared" si="4"/>
        <v>0.97289258164201298</v>
      </c>
      <c r="T17" s="1">
        <f t="shared" si="0"/>
        <v>0.97238384529309763</v>
      </c>
      <c r="U17" s="1">
        <f t="shared" si="1"/>
        <v>3.8189459094974393E-27</v>
      </c>
      <c r="Y17" s="2"/>
      <c r="AE17" s="1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3" x14ac:dyDescent="0.25">
      <c r="A18" s="3">
        <f t="shared" si="2"/>
        <v>80.099999999999994</v>
      </c>
      <c r="C18" s="1"/>
      <c r="D18" s="1"/>
      <c r="E18" s="1">
        <f>J18*1000*ly_m*U18</f>
        <v>2.067253946550104E-6</v>
      </c>
      <c r="H18" s="1">
        <f>H17+(J18-J17)*1000*ly_m*(E18+E17)/2</f>
        <v>1.211088023036276E+18</v>
      </c>
      <c r="J18">
        <f t="shared" si="5"/>
        <v>80.099999999999994</v>
      </c>
      <c r="K18" s="1">
        <f>U18+du</f>
        <v>2.9481621368507442E-27</v>
      </c>
      <c r="L18" s="1">
        <f t="shared" si="3"/>
        <v>2.2E-28</v>
      </c>
      <c r="N18">
        <f t="shared" si="6"/>
        <v>80.099999999999994</v>
      </c>
      <c r="O18" s="1">
        <f t="shared" si="7"/>
        <v>193.05057194679608</v>
      </c>
      <c r="P18" s="1">
        <f>2*PI()*SQRT(Kappa*c_ms^2/2)*SQRT(H18)*T18*c_kms</f>
        <v>192.91806149024518</v>
      </c>
      <c r="Q18">
        <v>195</v>
      </c>
      <c r="S18" s="1">
        <f t="shared" si="4"/>
        <v>0.96262838490176528</v>
      </c>
      <c r="T18" s="1">
        <f t="shared" si="0"/>
        <v>0.96196530005012315</v>
      </c>
      <c r="U18" s="1">
        <f t="shared" si="1"/>
        <v>2.7281621368507443E-27</v>
      </c>
      <c r="W18" t="s">
        <v>3</v>
      </c>
      <c r="X18">
        <f>MIN(K2:K21)</f>
        <v>1.8873472688731335E-27</v>
      </c>
      <c r="AE18" s="1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3" x14ac:dyDescent="0.25">
      <c r="A19" s="3">
        <f t="shared" si="2"/>
        <v>85.1</v>
      </c>
      <c r="C19" s="1"/>
      <c r="D19" s="1"/>
      <c r="E19" s="1">
        <f>J19*1000*ly_m*U19</f>
        <v>1.8016835057092254E-6</v>
      </c>
      <c r="H19" s="1">
        <f>H18+(J19-J18)*1000*ly_m*(E19+E18)/2</f>
        <v>1.2111795234070218E+18</v>
      </c>
      <c r="J19">
        <f t="shared" si="5"/>
        <v>85.1</v>
      </c>
      <c r="K19" s="1">
        <f>U19+du</f>
        <v>2.4579882711164644E-27</v>
      </c>
      <c r="L19" s="1">
        <f t="shared" si="3"/>
        <v>2.2E-28</v>
      </c>
      <c r="N19">
        <f t="shared" si="6"/>
        <v>85.1</v>
      </c>
      <c r="O19" s="1">
        <f t="shared" si="7"/>
        <v>191.4064695719785</v>
      </c>
      <c r="P19" s="1">
        <f>2*PI()*SQRT(Kappa*c_ms^2/2)*SQRT(H19)*T19*c_kms</f>
        <v>191.36781056456635</v>
      </c>
      <c r="Q19">
        <v>193</v>
      </c>
      <c r="S19" s="1">
        <f t="shared" si="4"/>
        <v>0.95439299115789611</v>
      </c>
      <c r="T19" s="1">
        <f t="shared" si="0"/>
        <v>0.9541990942137174</v>
      </c>
      <c r="U19" s="1">
        <f t="shared" si="1"/>
        <v>2.2379882711164644E-27</v>
      </c>
      <c r="AA19" s="1"/>
      <c r="AE19" s="1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3" x14ac:dyDescent="0.25">
      <c r="A20" s="3">
        <f t="shared" si="2"/>
        <v>90.1</v>
      </c>
      <c r="C20" s="1"/>
      <c r="D20" s="1"/>
      <c r="E20" s="1">
        <f>J20*1000*ly_m*U20</f>
        <v>1.6366398068414924E-6</v>
      </c>
      <c r="H20" s="1">
        <f>H19+(J20-J19)*1000*ly_m*(E20+E19)/2</f>
        <v>1.2112608397533637E+18</v>
      </c>
      <c r="J20">
        <f t="shared" si="5"/>
        <v>90.1</v>
      </c>
      <c r="K20" s="1">
        <f>U20+du</f>
        <v>2.1401589575612397E-27</v>
      </c>
      <c r="L20" s="1">
        <f t="shared" si="3"/>
        <v>2.2E-28</v>
      </c>
      <c r="N20">
        <f t="shared" si="6"/>
        <v>90.1</v>
      </c>
      <c r="O20" s="1">
        <f t="shared" si="7"/>
        <v>189.95668928483897</v>
      </c>
      <c r="P20" s="1">
        <f>2*PI()*SQRT(Kappa*c_ms^2/2)*SQRT(H20)*T20*c_kms</f>
        <v>189.97219566853624</v>
      </c>
      <c r="Q20">
        <v>191</v>
      </c>
      <c r="S20" s="1">
        <f t="shared" si="4"/>
        <v>0.947131972889944</v>
      </c>
      <c r="T20" s="1">
        <f t="shared" si="0"/>
        <v>0.94720847615402648</v>
      </c>
      <c r="U20" s="1">
        <f t="shared" si="1"/>
        <v>1.9201589575612398E-27</v>
      </c>
      <c r="W20" t="s">
        <v>4</v>
      </c>
      <c r="X20" s="1">
        <f>SUMXMY2(P2:P21,Q2:Q21)</f>
        <v>137.66595227330632</v>
      </c>
      <c r="AA20" s="1"/>
      <c r="AE20" s="1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3" x14ac:dyDescent="0.25">
      <c r="A21" s="3">
        <f t="shared" si="2"/>
        <v>95.1</v>
      </c>
      <c r="C21" s="1"/>
      <c r="D21" s="1"/>
      <c r="E21" s="1">
        <f>J21*1000*ly_m*U21</f>
        <v>1.5000223010526392E-6</v>
      </c>
      <c r="H21" s="1">
        <f>H20+(J21-J20)*1000*ly_m*(E21+E20)/2</f>
        <v>1.2113350218122153E+18</v>
      </c>
      <c r="J21">
        <f t="shared" si="5"/>
        <v>95.1</v>
      </c>
      <c r="K21" s="1">
        <f>U21+du</f>
        <v>1.8873472688731335E-27</v>
      </c>
      <c r="L21" s="1">
        <f t="shared" si="3"/>
        <v>2.2E-28</v>
      </c>
      <c r="N21">
        <f t="shared" si="6"/>
        <v>95.1</v>
      </c>
      <c r="O21" s="1">
        <f t="shared" si="7"/>
        <v>188.87896534542179</v>
      </c>
      <c r="P21" s="1">
        <f>2*PI()*SQRT(Kappa*c_ms^2/2)*SQRT(H21)*T21*c_kms</f>
        <v>188.51455523771696</v>
      </c>
      <c r="Q21">
        <v>189</v>
      </c>
      <c r="S21" s="1">
        <f>0.25*T20+0.5*T21+0.25*S22</f>
        <v>0.70675804155750943</v>
      </c>
      <c r="T21" s="1">
        <f t="shared" si="0"/>
        <v>0.93991184503800573</v>
      </c>
      <c r="U21" s="1">
        <f t="shared" si="1"/>
        <v>1.6673472688731335E-27</v>
      </c>
      <c r="AA21" s="1"/>
      <c r="AE21" s="1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3" x14ac:dyDescent="0.25">
      <c r="K22" s="1"/>
      <c r="P22" s="1">
        <f>P21</f>
        <v>188.51455523771696</v>
      </c>
      <c r="AE22" s="1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21.75" thickBot="1" x14ac:dyDescent="0.4">
      <c r="K23" s="1">
        <f>SUMPRODUCT(J2:J6,K2:K6)</f>
        <v>1.7012233689081983E-21</v>
      </c>
      <c r="U23" s="14" t="s">
        <v>61</v>
      </c>
    </row>
    <row r="24" spans="1:43" x14ac:dyDescent="0.25">
      <c r="U24" s="18" t="s">
        <v>16</v>
      </c>
      <c r="V24" s="17" t="s">
        <v>17</v>
      </c>
      <c r="W24" s="24" t="s">
        <v>18</v>
      </c>
      <c r="X24" s="1"/>
      <c r="Z24" t="s">
        <v>54</v>
      </c>
      <c r="AA24" s="1">
        <f>1/(8*PI()^2)</f>
        <v>1.2665147955292222E-2</v>
      </c>
    </row>
    <row r="25" spans="1:43" x14ac:dyDescent="0.25">
      <c r="T25" t="s">
        <v>37</v>
      </c>
      <c r="U25" s="12">
        <v>5.3000000000000004E-23</v>
      </c>
      <c r="V25" s="15">
        <v>1.0500000000000001E-21</v>
      </c>
      <c r="W25" s="21">
        <v>2.1000000000000001E-22</v>
      </c>
      <c r="X25" s="1"/>
      <c r="Y25" s="1"/>
      <c r="AA25" s="1"/>
      <c r="AB25" s="1"/>
      <c r="AC25" s="1"/>
      <c r="AD25" s="1"/>
    </row>
    <row r="26" spans="1:43" x14ac:dyDescent="0.25">
      <c r="T26" t="s">
        <v>11</v>
      </c>
      <c r="U26" s="12">
        <v>1.9451668419002267E-3</v>
      </c>
      <c r="V26" s="15">
        <v>2.0899501751612717E-2</v>
      </c>
      <c r="W26" s="21">
        <v>4.6366772332019864E-2</v>
      </c>
      <c r="X26" s="1"/>
      <c r="AA26" s="1"/>
      <c r="AB26" s="1"/>
      <c r="AC26" s="1"/>
      <c r="AD26" s="1"/>
    </row>
    <row r="27" spans="1:43" ht="15.75" thickBot="1" x14ac:dyDescent="0.3">
      <c r="T27" t="s">
        <v>28</v>
      </c>
      <c r="U27" s="12">
        <v>2</v>
      </c>
      <c r="V27" s="15">
        <v>2</v>
      </c>
      <c r="W27" s="22">
        <v>1.7</v>
      </c>
      <c r="X27" s="1"/>
      <c r="AA27" s="1"/>
      <c r="AB27" s="1"/>
      <c r="AC27" s="1"/>
      <c r="AD27" s="1"/>
    </row>
    <row r="28" spans="1:43" x14ac:dyDescent="0.25">
      <c r="T28" t="s">
        <v>27</v>
      </c>
      <c r="U28" s="19">
        <v>3.0000000000000001E-26</v>
      </c>
      <c r="V28" s="19">
        <v>1.4178161128628128E-27</v>
      </c>
      <c r="W28" s="20">
        <v>1.2E-27</v>
      </c>
      <c r="X28" s="23"/>
      <c r="AA28" s="1"/>
      <c r="AB28" s="1"/>
      <c r="AC28" s="1"/>
      <c r="AF28" s="2"/>
      <c r="AG28" s="2"/>
      <c r="AH28" s="2"/>
      <c r="AI28" s="2"/>
      <c r="AJ28" s="2"/>
    </row>
    <row r="29" spans="1:43" x14ac:dyDescent="0.25">
      <c r="T29" t="s">
        <v>1</v>
      </c>
      <c r="U29" s="15">
        <v>4.6607102172077093E-2</v>
      </c>
      <c r="V29" s="15">
        <v>7.0000000000000007E-2</v>
      </c>
      <c r="W29" s="21">
        <v>1.7922348587774872E-2</v>
      </c>
      <c r="X29" s="23"/>
      <c r="Y29">
        <f>mf</f>
        <v>4.6607102172077093E-2</v>
      </c>
      <c r="Z29" s="1">
        <f>V29</f>
        <v>7.0000000000000007E-2</v>
      </c>
      <c r="AA29" s="1"/>
      <c r="AC29" s="1"/>
      <c r="AF29" s="1"/>
      <c r="AL29" s="4"/>
    </row>
    <row r="30" spans="1:43" ht="15.75" thickBot="1" x14ac:dyDescent="0.3">
      <c r="T30" t="s">
        <v>47</v>
      </c>
      <c r="U30" s="16">
        <v>0.90616081611705923</v>
      </c>
      <c r="V30" s="16">
        <v>0.83333796967029827</v>
      </c>
      <c r="W30" s="22">
        <v>0.93524615178066073</v>
      </c>
      <c r="X30" s="23"/>
      <c r="AA30" s="1"/>
      <c r="AF30" s="1"/>
      <c r="AL30" s="4"/>
    </row>
    <row r="31" spans="1:43" x14ac:dyDescent="0.25">
      <c r="AF31" s="1"/>
      <c r="AL31" s="4"/>
    </row>
    <row r="32" spans="1:43" x14ac:dyDescent="0.25">
      <c r="W32" s="1">
        <v>11</v>
      </c>
      <c r="AB32" s="1"/>
      <c r="AF32" s="1"/>
      <c r="AL32" s="4"/>
    </row>
    <row r="33" spans="20:38" x14ac:dyDescent="0.25">
      <c r="AF33" s="1"/>
      <c r="AL33" s="4"/>
    </row>
    <row r="34" spans="20:38" x14ac:dyDescent="0.25">
      <c r="U34" s="1"/>
      <c r="Y34" t="s">
        <v>23</v>
      </c>
      <c r="AF34" s="1"/>
      <c r="AL34" s="4"/>
    </row>
    <row r="35" spans="20:38" x14ac:dyDescent="0.25">
      <c r="T35" t="s">
        <v>10</v>
      </c>
      <c r="U35" s="1">
        <f>SUMXMY2(Q3:Q21,P3:P21)</f>
        <v>137.66595227330632</v>
      </c>
      <c r="V35" s="1">
        <f>'M81'!U41</f>
        <v>1451.7800341886655</v>
      </c>
      <c r="W35" s="1">
        <f>'M31'!U35</f>
        <v>1834.3085629830036</v>
      </c>
      <c r="Y35" s="1">
        <f>SUM(U35:W35)</f>
        <v>3423.7545494449755</v>
      </c>
      <c r="AF35" s="1"/>
      <c r="AL35" s="4"/>
    </row>
    <row r="36" spans="20:38" ht="15.75" thickBot="1" x14ac:dyDescent="0.3">
      <c r="AF36" s="1"/>
      <c r="AL36" s="4"/>
    </row>
    <row r="37" spans="20:38" ht="15.75" thickBot="1" x14ac:dyDescent="0.3">
      <c r="T37" s="13" t="s">
        <v>46</v>
      </c>
      <c r="U37" s="7">
        <f>X9</f>
        <v>2.2E-28</v>
      </c>
      <c r="V37" s="1">
        <f>U37</f>
        <v>2.2E-28</v>
      </c>
      <c r="W37" s="1">
        <f>U37</f>
        <v>2.2E-28</v>
      </c>
      <c r="AF37" s="1"/>
      <c r="AL37" s="4"/>
    </row>
    <row r="38" spans="20:38" x14ac:dyDescent="0.25">
      <c r="AB38" s="1"/>
      <c r="AC38" s="1"/>
      <c r="AF38" s="1"/>
      <c r="AL38" s="4"/>
    </row>
    <row r="39" spans="20:38" x14ac:dyDescent="0.25">
      <c r="AC39" s="1"/>
      <c r="AF39" s="1"/>
      <c r="AL39" s="4"/>
    </row>
    <row r="40" spans="20:38" x14ac:dyDescent="0.25">
      <c r="T40" t="s">
        <v>13</v>
      </c>
      <c r="AB40" s="1"/>
      <c r="AF40" s="1"/>
      <c r="AL40" s="4"/>
    </row>
    <row r="41" spans="20:38" x14ac:dyDescent="0.25">
      <c r="AB41" s="1"/>
      <c r="AC41" s="1"/>
      <c r="AF41" s="1"/>
      <c r="AL41" s="4"/>
    </row>
    <row r="42" spans="20:38" x14ac:dyDescent="0.25">
      <c r="AF42" s="1"/>
      <c r="AL42" s="4"/>
    </row>
    <row r="43" spans="20:38" x14ac:dyDescent="0.25">
      <c r="AF43" s="1"/>
      <c r="AL43" s="4"/>
    </row>
    <row r="44" spans="20:38" x14ac:dyDescent="0.25">
      <c r="AF44" s="1"/>
      <c r="AL44" s="4"/>
    </row>
    <row r="45" spans="20:38" x14ac:dyDescent="0.25">
      <c r="T45" t="s">
        <v>19</v>
      </c>
      <c r="U45">
        <v>30</v>
      </c>
      <c r="V45">
        <v>76</v>
      </c>
      <c r="W45">
        <v>12</v>
      </c>
      <c r="AF45" s="1"/>
      <c r="AL45" s="4"/>
    </row>
    <row r="46" spans="20:38" x14ac:dyDescent="0.25">
      <c r="T46" t="s">
        <v>21</v>
      </c>
      <c r="V46" s="8">
        <f>V45/U45</f>
        <v>2.5333333333333332</v>
      </c>
      <c r="W46" s="6">
        <f>W45/U45</f>
        <v>0.4</v>
      </c>
      <c r="AC46" s="6"/>
      <c r="AF46" s="1"/>
      <c r="AL46" s="4"/>
    </row>
    <row r="47" spans="20:38" x14ac:dyDescent="0.25">
      <c r="T47" t="s">
        <v>20</v>
      </c>
      <c r="U47" s="1">
        <f>K23</f>
        <v>1.7012233689081983E-21</v>
      </c>
      <c r="V47" s="1">
        <f>'M81'!K23</f>
        <v>5.0069016104691547E-21</v>
      </c>
      <c r="W47" s="1">
        <f>'M31'!K23</f>
        <v>4.9433779842502325E-21</v>
      </c>
      <c r="AB47" s="1"/>
      <c r="AC47" s="1"/>
      <c r="AF47" s="1"/>
      <c r="AL47" s="4"/>
    </row>
    <row r="48" spans="20:38" x14ac:dyDescent="0.25">
      <c r="U48" s="1"/>
      <c r="V48" s="6">
        <f>V47/U47</f>
        <v>2.9431182888596554</v>
      </c>
      <c r="W48" s="6">
        <f>W47/U47</f>
        <v>2.9057783208226007</v>
      </c>
      <c r="AB48" s="1"/>
      <c r="AC48" s="6"/>
      <c r="AF48" s="1"/>
      <c r="AL48" s="4"/>
    </row>
    <row r="49" spans="1:38" x14ac:dyDescent="0.25">
      <c r="AF49" s="1"/>
      <c r="AL49" s="4"/>
    </row>
    <row r="50" spans="1:38" x14ac:dyDescent="0.25">
      <c r="T50" t="s">
        <v>22</v>
      </c>
      <c r="V50" s="1">
        <f>SUMXMY2(V46:W46,V48:W48)</f>
        <v>6.446848702880243</v>
      </c>
      <c r="AC50" s="1"/>
      <c r="AF50" s="1"/>
      <c r="AL50" s="4"/>
    </row>
    <row r="51" spans="1:38" x14ac:dyDescent="0.25">
      <c r="AF51" s="1"/>
      <c r="AL51" s="4"/>
    </row>
    <row r="52" spans="1:38" x14ac:dyDescent="0.25">
      <c r="U52" s="1">
        <v>1.5750058557567688E-6</v>
      </c>
      <c r="V52" s="1">
        <v>8.3674381825783905E-7</v>
      </c>
      <c r="W52" s="1">
        <v>9.7755816247355222E-7</v>
      </c>
      <c r="AF52" s="1"/>
      <c r="AL52" s="4"/>
    </row>
    <row r="62" spans="1:38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5" spans="5:19" x14ac:dyDescent="0.25">
      <c r="E65" s="1"/>
    </row>
    <row r="66" spans="5:19" x14ac:dyDescent="0.25">
      <c r="S66" s="9"/>
    </row>
    <row r="77" spans="5:19" x14ac:dyDescent="0.25">
      <c r="S77" s="11"/>
    </row>
    <row r="78" spans="5:19" x14ac:dyDescent="0.25">
      <c r="S78" s="11"/>
    </row>
    <row r="80" spans="5:19" x14ac:dyDescent="0.25">
      <c r="S80" s="10"/>
    </row>
    <row r="81" spans="19:19" x14ac:dyDescent="0.25">
      <c r="S81" s="10"/>
    </row>
  </sheetData>
  <conditionalFormatting sqref="L2:L21">
    <cfRule type="cellIs" dxfId="16" priority="41" operator="lessThan">
      <formula>0</formula>
    </cfRule>
  </conditionalFormatting>
  <conditionalFormatting sqref="X23:X24">
    <cfRule type="cellIs" dxfId="15" priority="68" operator="lessThan">
      <formula>0</formula>
    </cfRule>
  </conditionalFormatting>
  <conditionalFormatting sqref="AC2">
    <cfRule type="colorScale" priority="7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3">
    <cfRule type="colorScale" priority="7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4">
    <cfRule type="colorScale" priority="7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5">
    <cfRule type="colorScale" priority="7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6">
    <cfRule type="colorScale" priority="7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7">
    <cfRule type="colorScale" priority="7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8">
    <cfRule type="colorScale" priority="7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9">
    <cfRule type="colorScale" priority="6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29:AI29">
    <cfRule type="colorScale" priority="2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0:AI30">
    <cfRule type="colorScale" priority="1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1:AI31">
    <cfRule type="colorScale" priority="1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2:AI32">
    <cfRule type="colorScale" priority="1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3:AI33">
    <cfRule type="colorScale" priority="1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4:AI34">
    <cfRule type="colorScale" priority="1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5:AI35">
    <cfRule type="colorScale" priority="1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6:AI36">
    <cfRule type="colorScale" priority="1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7:AI37">
    <cfRule type="colorScale" priority="1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8:AI38">
    <cfRule type="colorScale" priority="1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9:AI39">
    <cfRule type="colorScale" priority="1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0:AI40">
    <cfRule type="colorScale" priority="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1:AI41">
    <cfRule type="colorScale" priority="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2:AI42">
    <cfRule type="colorScale" priority="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3:AI43">
    <cfRule type="colorScale" priority="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4:AI44">
    <cfRule type="colorScale" priority="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5:AI45">
    <cfRule type="colorScale" priority="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6:AI46">
    <cfRule type="colorScale" priority="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7:AI47">
    <cfRule type="colorScale" priority="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8:AI48">
    <cfRule type="colorScale" priority="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9:AJ52">
    <cfRule type="colorScale" priority="6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2:AO2">
    <cfRule type="colorScale" priority="4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3:AO3">
    <cfRule type="colorScale" priority="3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4:AO4">
    <cfRule type="colorScale" priority="3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5:AO5">
    <cfRule type="colorScale" priority="3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6:AO6">
    <cfRule type="colorScale" priority="3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7:AO7">
    <cfRule type="colorScale" priority="3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8:AO8">
    <cfRule type="colorScale" priority="3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9:AO9">
    <cfRule type="colorScale" priority="3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0:AO10">
    <cfRule type="colorScale" priority="3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1:AO11">
    <cfRule type="colorScale" priority="3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2:AO12">
    <cfRule type="colorScale" priority="3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3:AO13">
    <cfRule type="colorScale" priority="2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4:AO14">
    <cfRule type="colorScale" priority="2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5:AO15">
    <cfRule type="colorScale" priority="2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6:AO16">
    <cfRule type="colorScale" priority="2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7:AO17">
    <cfRule type="colorScale" priority="2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8:AO18">
    <cfRule type="colorScale" priority="2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19:AO19">
    <cfRule type="colorScale" priority="2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20:AO20">
    <cfRule type="colorScale" priority="2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21:AO21">
    <cfRule type="colorScale" priority="2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F22:AQ22">
    <cfRule type="colorScale" priority="7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29">
    <cfRule type="colorScale" priority="6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0">
    <cfRule type="colorScale" priority="6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1">
    <cfRule type="colorScale" priority="6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2">
    <cfRule type="colorScale" priority="6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3">
    <cfRule type="colorScale" priority="6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4">
    <cfRule type="colorScale" priority="5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5">
    <cfRule type="colorScale" priority="5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6">
    <cfRule type="colorScale" priority="5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7">
    <cfRule type="colorScale" priority="5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8">
    <cfRule type="colorScale" priority="5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39">
    <cfRule type="colorScale" priority="5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0">
    <cfRule type="colorScale" priority="5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1">
    <cfRule type="colorScale" priority="5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2">
    <cfRule type="colorScale" priority="5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3">
    <cfRule type="colorScale" priority="5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4">
    <cfRule type="colorScale" priority="4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5">
    <cfRule type="colorScale" priority="4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6">
    <cfRule type="colorScale" priority="4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7">
    <cfRule type="colorScale" priority="4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J48">
    <cfRule type="colorScale" priority="4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Q2:AQ21 AS22">
    <cfRule type="cellIs" dxfId="13" priority="66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3ED8-F4A1-49F6-A764-8D6CEA24AE50}">
  <dimension ref="A1:AU6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E36" sqref="AE36"/>
    </sheetView>
  </sheetViews>
  <sheetFormatPr defaultRowHeight="15" x14ac:dyDescent="0.25"/>
  <cols>
    <col min="1" max="1" width="10.140625" customWidth="1"/>
    <col min="2" max="2" width="12.140625" style="1" customWidth="1"/>
    <col min="3" max="4" width="12.7109375" bestFit="1" customWidth="1"/>
    <col min="5" max="5" width="10.7109375" customWidth="1"/>
    <col min="6" max="6" width="3.85546875" customWidth="1"/>
    <col min="7" max="7" width="5.28515625" customWidth="1"/>
    <col min="8" max="8" width="13" bestFit="1" customWidth="1"/>
    <col min="9" max="9" width="3" customWidth="1"/>
    <col min="11" max="11" width="11.7109375" bestFit="1" customWidth="1"/>
    <col min="12" max="12" width="2.140625" customWidth="1"/>
    <col min="13" max="13" width="2.5703125" customWidth="1"/>
    <col min="14" max="14" width="3.5703125" customWidth="1"/>
    <col min="15" max="15" width="9.140625" style="3"/>
    <col min="16" max="16" width="12.7109375" bestFit="1" customWidth="1"/>
    <col min="17" max="17" width="9.140625" customWidth="1"/>
    <col min="19" max="19" width="10.5703125" customWidth="1"/>
    <col min="20" max="20" width="13" bestFit="1" customWidth="1"/>
    <col min="21" max="21" width="12" bestFit="1" customWidth="1"/>
    <col min="22" max="22" width="11" customWidth="1"/>
    <col min="23" max="23" width="13.5703125" bestFit="1" customWidth="1"/>
    <col min="24" max="24" width="10.85546875" bestFit="1" customWidth="1"/>
    <col min="25" max="25" width="12.7109375" bestFit="1" customWidth="1"/>
    <col min="27" max="27" width="12.7109375" bestFit="1" customWidth="1"/>
    <col min="31" max="31" width="10.5703125" customWidth="1"/>
    <col min="32" max="32" width="10.42578125" customWidth="1"/>
    <col min="33" max="33" width="10.28515625" customWidth="1"/>
    <col min="34" max="34" width="11.42578125" customWidth="1"/>
    <col min="35" max="35" width="14.7109375" customWidth="1"/>
    <col min="36" max="36" width="18.28515625" customWidth="1"/>
    <col min="37" max="37" width="10.7109375" customWidth="1"/>
    <col min="38" max="38" width="11.5703125" customWidth="1"/>
    <col min="41" max="41" width="14.42578125" customWidth="1"/>
  </cols>
  <sheetData>
    <row r="1" spans="1:47" x14ac:dyDescent="0.25">
      <c r="A1" t="s">
        <v>57</v>
      </c>
      <c r="E1" t="s">
        <v>51</v>
      </c>
      <c r="H1" t="s">
        <v>52</v>
      </c>
      <c r="J1" t="s">
        <v>39</v>
      </c>
      <c r="K1" t="s">
        <v>58</v>
      </c>
      <c r="L1" t="s">
        <v>14</v>
      </c>
      <c r="N1" t="s">
        <v>39</v>
      </c>
      <c r="O1" s="3" t="s">
        <v>48</v>
      </c>
      <c r="P1" t="s">
        <v>59</v>
      </c>
      <c r="Q1" t="s">
        <v>0</v>
      </c>
      <c r="S1" t="s">
        <v>44</v>
      </c>
      <c r="T1" t="s">
        <v>43</v>
      </c>
      <c r="U1" t="s">
        <v>42</v>
      </c>
      <c r="V1" s="1"/>
    </row>
    <row r="2" spans="1:47" x14ac:dyDescent="0.25">
      <c r="A2" s="3">
        <f>J2</f>
        <v>0.1</v>
      </c>
      <c r="C2" s="1"/>
      <c r="D2" s="1"/>
      <c r="E2" s="1">
        <f>J2*1000*ly_m*U2</f>
        <v>1.3479709917666651E-5</v>
      </c>
      <c r="H2">
        <v>0</v>
      </c>
      <c r="J2">
        <v>0.1</v>
      </c>
      <c r="K2" s="1">
        <f>U2+du</f>
        <v>1.4249384817829442E-23</v>
      </c>
      <c r="L2" s="1">
        <f>X$9</f>
        <v>0</v>
      </c>
      <c r="N2">
        <f>J2</f>
        <v>0.1</v>
      </c>
      <c r="O2">
        <v>1</v>
      </c>
      <c r="P2" s="1">
        <f>2*PI()*SQRT(Kappa*c_ms^2/2)*SQRT(H2)*T2*c_kms</f>
        <v>0</v>
      </c>
      <c r="Q2">
        <v>0</v>
      </c>
      <c r="S2">
        <v>1</v>
      </c>
      <c r="T2" s="1">
        <f t="shared" ref="T2:T21" si="0">SQRT(U2/(X$9+U2))</f>
        <v>1</v>
      </c>
      <c r="U2" s="1">
        <f t="shared" ref="U2:U21" si="1">nf*EXP(-bf*POWER(ABS(J2-U$31),kf))+pf*EXP(-mf*J2^qf)</f>
        <v>1.4249164817829441E-23</v>
      </c>
      <c r="V2" s="1"/>
      <c r="W2" t="str">
        <f>'M101 &amp; fit parameters'!W2</f>
        <v>Msun</v>
      </c>
      <c r="X2">
        <f>'M101 &amp; fit parameters'!X2</f>
        <v>2E+30</v>
      </c>
      <c r="Y2" t="str">
        <f>'M101 &amp; fit parameters'!Y2</f>
        <v>kg</v>
      </c>
      <c r="AC2" s="4"/>
      <c r="AE2" s="1"/>
      <c r="AF2" s="1"/>
      <c r="AG2" s="1"/>
      <c r="AH2" s="4"/>
      <c r="AI2" s="4"/>
      <c r="AJ2" s="4"/>
      <c r="AK2" s="4"/>
      <c r="AL2" s="4"/>
      <c r="AM2" s="4"/>
      <c r="AN2" s="4"/>
      <c r="AO2" s="4"/>
      <c r="AP2" s="4"/>
      <c r="AQ2" s="4"/>
      <c r="AU2">
        <f>SUM(AH2:AS2)</f>
        <v>0</v>
      </c>
    </row>
    <row r="3" spans="1:47" x14ac:dyDescent="0.25">
      <c r="A3" s="3">
        <f t="shared" ref="A3:A21" si="2">J3</f>
        <v>5.0999999999999996</v>
      </c>
      <c r="C3" s="1"/>
      <c r="D3" s="1"/>
      <c r="E3" s="1">
        <f>J3*1000*ly_m*U3</f>
        <v>3.9275380670323653E-3</v>
      </c>
      <c r="H3" s="1">
        <f>H2+(J3-J2)*1000*ly_m*(E3+E2)/2</f>
        <v>9.3205070424868256E+16</v>
      </c>
      <c r="J3">
        <f>J2+5</f>
        <v>5.0999999999999996</v>
      </c>
      <c r="K3" s="1">
        <f>U3+du</f>
        <v>8.1406721410114114E-23</v>
      </c>
      <c r="L3" s="1">
        <f t="shared" ref="L3:L21" si="3">X$9</f>
        <v>0</v>
      </c>
      <c r="N3">
        <f>J3</f>
        <v>5.0999999999999996</v>
      </c>
      <c r="O3" s="1">
        <f>0.25*P2+0.5*P3+0.25*P4</f>
        <v>64.337215025458647</v>
      </c>
      <c r="P3" s="1">
        <f>2*PI()*SQRT(Kappa*c_ms^2/2)*SQRT(H3)*T3*c_kms</f>
        <v>55.634654800632582</v>
      </c>
      <c r="Q3">
        <v>50</v>
      </c>
      <c r="S3" s="1">
        <f>0.25*T2+0.5*T3+0.25*T4</f>
        <v>1</v>
      </c>
      <c r="T3" s="1">
        <f t="shared" si="0"/>
        <v>1</v>
      </c>
      <c r="U3" s="1">
        <f t="shared" si="1"/>
        <v>8.140650141011411E-23</v>
      </c>
      <c r="W3" t="str">
        <f>'M101 &amp; fit parameters'!W3</f>
        <v>MG</v>
      </c>
      <c r="X3">
        <f>'M101 &amp; fit parameters'!X3</f>
        <v>60000000000</v>
      </c>
      <c r="Y3" t="str">
        <f>'M101 &amp; fit parameters'!Y3</f>
        <v>Msun</v>
      </c>
      <c r="Z3" t="str">
        <f>'M101 &amp; fit parameters'!Z9</f>
        <v>1ly</v>
      </c>
      <c r="AA3">
        <f>'M101 &amp; fit parameters'!AA9</f>
        <v>9460000000000000</v>
      </c>
      <c r="AC3" s="4"/>
      <c r="AE3" s="1"/>
      <c r="AF3" s="1"/>
      <c r="AG3" s="1"/>
      <c r="AH3" s="4"/>
      <c r="AI3" s="4"/>
      <c r="AJ3" s="4"/>
      <c r="AK3" s="4"/>
      <c r="AL3" s="4"/>
      <c r="AM3" s="4"/>
      <c r="AN3" s="4"/>
      <c r="AO3" s="4"/>
      <c r="AP3" s="4"/>
      <c r="AQ3" s="4"/>
      <c r="AU3">
        <f t="shared" ref="AU3:AU21" si="4">SUM(AH3:AS3)</f>
        <v>0</v>
      </c>
    </row>
    <row r="4" spans="1:47" x14ac:dyDescent="0.25">
      <c r="A4" s="3">
        <f t="shared" si="2"/>
        <v>10.1</v>
      </c>
      <c r="C4" s="1"/>
      <c r="D4" s="1"/>
      <c r="E4" s="1">
        <f>J4*1000*ly_m*U4</f>
        <v>1.9301870057698851E-2</v>
      </c>
      <c r="H4" s="1">
        <f>H3+(J4-J3)*1000*ly_m*(E4+E3)/2</f>
        <v>6.425805725747616E+17</v>
      </c>
      <c r="J4">
        <f t="shared" ref="J4:J21" si="5">J3+5</f>
        <v>10.1</v>
      </c>
      <c r="K4" s="1">
        <f>U4+du</f>
        <v>2.0201673620893446E-22</v>
      </c>
      <c r="L4" s="1">
        <f t="shared" si="3"/>
        <v>0</v>
      </c>
      <c r="N4">
        <f t="shared" ref="N4:N21" si="6">J4</f>
        <v>10.1</v>
      </c>
      <c r="O4" s="1">
        <f t="shared" ref="O4:O21" si="7">0.25*P3+0.5*P4+0.25*P5</f>
        <v>143.20682456757905</v>
      </c>
      <c r="P4" s="1">
        <f>2*PI()*SQRT(Kappa*c_ms^2/2)*SQRT(H4)*T4*c_kms</f>
        <v>146.07955050056944</v>
      </c>
      <c r="Q4">
        <v>110</v>
      </c>
      <c r="S4" s="1">
        <f t="shared" ref="S4:S21" si="8">0.25*T3+0.5*T4+0.25*T5</f>
        <v>1</v>
      </c>
      <c r="T4" s="1">
        <f t="shared" si="0"/>
        <v>1</v>
      </c>
      <c r="U4" s="1">
        <f t="shared" si="1"/>
        <v>2.0201651620893447E-22</v>
      </c>
      <c r="W4" t="str">
        <f>'M101 &amp; fit parameters'!W4</f>
        <v>MG</v>
      </c>
      <c r="X4">
        <f>'M101 &amp; fit parameters'!X4</f>
        <v>1.2000000000000001E+41</v>
      </c>
      <c r="AC4" s="4"/>
      <c r="AE4" s="1"/>
      <c r="AF4" s="1"/>
      <c r="AG4" s="1"/>
      <c r="AH4" s="4"/>
      <c r="AI4" s="4"/>
      <c r="AJ4" s="4"/>
      <c r="AK4" s="4"/>
      <c r="AL4" s="4"/>
      <c r="AM4" s="4"/>
      <c r="AN4" s="4"/>
      <c r="AO4" s="4"/>
      <c r="AP4" s="4"/>
      <c r="AQ4" s="4"/>
      <c r="AU4">
        <f t="shared" si="4"/>
        <v>0</v>
      </c>
    </row>
    <row r="5" spans="1:47" x14ac:dyDescent="0.25">
      <c r="A5" s="3">
        <f t="shared" si="2"/>
        <v>15.1</v>
      </c>
      <c r="C5" s="1"/>
      <c r="D5" s="1"/>
      <c r="E5" s="1">
        <f>J5*1000*ly_m*U5</f>
        <v>1.8005786336539209E-2</v>
      </c>
      <c r="H5" s="1">
        <f>H4+(J5-J4)*1000*ly_m*(E5+E4)/2</f>
        <v>1.5249066462984919E+18</v>
      </c>
      <c r="J5">
        <f t="shared" si="5"/>
        <v>15.1</v>
      </c>
      <c r="K5" s="1">
        <f>U5+du</f>
        <v>1.2605055628200444E-22</v>
      </c>
      <c r="L5" s="1">
        <f t="shared" si="3"/>
        <v>0</v>
      </c>
      <c r="N5">
        <f t="shared" si="6"/>
        <v>15.1</v>
      </c>
      <c r="O5" s="1">
        <f t="shared" si="7"/>
        <v>214.76023349631177</v>
      </c>
      <c r="P5" s="1">
        <f>2*PI()*SQRT(Kappa*c_ms^2/2)*SQRT(H5)*T5*c_kms</f>
        <v>225.03354246854477</v>
      </c>
      <c r="Q5">
        <v>200</v>
      </c>
      <c r="S5" s="1">
        <f t="shared" si="8"/>
        <v>1</v>
      </c>
      <c r="T5" s="1">
        <f t="shared" si="0"/>
        <v>1</v>
      </c>
      <c r="U5" s="1">
        <f t="shared" si="1"/>
        <v>1.2605033628200445E-22</v>
      </c>
      <c r="AC5" s="4"/>
      <c r="AE5" s="1"/>
      <c r="AF5" s="1"/>
      <c r="AG5" s="1"/>
      <c r="AH5" s="4"/>
      <c r="AI5" s="4"/>
      <c r="AJ5" s="4"/>
      <c r="AK5" s="4"/>
      <c r="AL5" s="4"/>
      <c r="AM5" s="4"/>
      <c r="AN5" s="4"/>
      <c r="AO5" s="4"/>
      <c r="AP5" s="4"/>
      <c r="AQ5" s="4"/>
      <c r="AU5">
        <f t="shared" si="4"/>
        <v>0</v>
      </c>
    </row>
    <row r="6" spans="1:47" x14ac:dyDescent="0.25">
      <c r="A6" s="3">
        <f t="shared" si="2"/>
        <v>20.100000000000001</v>
      </c>
      <c r="C6" s="1"/>
      <c r="D6" s="1"/>
      <c r="E6" s="1">
        <f>J6*1000*ly_m*U6</f>
        <v>5.5155764592191179E-3</v>
      </c>
      <c r="H6" s="1">
        <f>H5+(J6-J5)*1000*ly_m*(E6+E5)/2</f>
        <v>2.0811868764181765E+18</v>
      </c>
      <c r="J6">
        <f t="shared" si="5"/>
        <v>20.100000000000001</v>
      </c>
      <c r="K6" s="1">
        <f>U6+du</f>
        <v>2.9007280149669819E-23</v>
      </c>
      <c r="L6" s="1">
        <f t="shared" si="3"/>
        <v>0</v>
      </c>
      <c r="N6">
        <f t="shared" si="6"/>
        <v>20.100000000000001</v>
      </c>
      <c r="O6" s="1">
        <f t="shared" si="7"/>
        <v>255.73680217583973</v>
      </c>
      <c r="P6" s="1">
        <f>2*PI()*SQRT(Kappa*c_ms^2/2)*SQRT(H6)*T6*c_kms</f>
        <v>262.89429854758816</v>
      </c>
      <c r="Q6">
        <v>240</v>
      </c>
      <c r="S6" s="1">
        <f t="shared" si="8"/>
        <v>1</v>
      </c>
      <c r="T6" s="1">
        <f t="shared" si="0"/>
        <v>1</v>
      </c>
      <c r="U6" s="1">
        <f t="shared" si="1"/>
        <v>2.900706014966982E-23</v>
      </c>
      <c r="W6" t="str">
        <f>'M101 &amp; fit parameters'!W6</f>
        <v>G &lt;density&gt;</v>
      </c>
      <c r="X6">
        <f>'M101 &amp; fit parameters'!X6</f>
        <v>1.527932516313863E+36</v>
      </c>
      <c r="Y6" t="str">
        <f>'M101 &amp; fit parameters'!Y6</f>
        <v>kg/kly</v>
      </c>
      <c r="AC6" s="4"/>
      <c r="AE6" s="1"/>
      <c r="AF6" s="1"/>
      <c r="AG6" s="1"/>
      <c r="AH6" s="4"/>
      <c r="AI6" s="4"/>
      <c r="AJ6" s="4"/>
      <c r="AK6" s="4"/>
      <c r="AL6" s="4"/>
      <c r="AM6" s="4"/>
      <c r="AN6" s="4"/>
      <c r="AO6" s="4"/>
      <c r="AP6" s="4"/>
      <c r="AQ6" s="4"/>
      <c r="AU6">
        <f t="shared" si="4"/>
        <v>0</v>
      </c>
    </row>
    <row r="7" spans="1:47" x14ac:dyDescent="0.25">
      <c r="A7" s="3">
        <f t="shared" si="2"/>
        <v>25.1</v>
      </c>
      <c r="C7" s="1"/>
      <c r="D7" s="1"/>
      <c r="E7" s="1">
        <f>J7*1000*ly_m*U7</f>
        <v>7.7260491708404789E-4</v>
      </c>
      <c r="H7" s="1">
        <f>H6+(J7-J6)*1000*ly_m*(E7+E6)/2</f>
        <v>2.2299023659677463E+18</v>
      </c>
      <c r="J7">
        <f t="shared" si="5"/>
        <v>25.1</v>
      </c>
      <c r="K7" s="1">
        <f>U7+du</f>
        <v>3.2540331494489185E-24</v>
      </c>
      <c r="L7" s="1">
        <f t="shared" si="3"/>
        <v>0</v>
      </c>
      <c r="N7">
        <f t="shared" si="6"/>
        <v>25.1</v>
      </c>
      <c r="O7" s="1">
        <f t="shared" si="7"/>
        <v>270.11556554974646</v>
      </c>
      <c r="P7" s="1">
        <f>2*PI()*SQRT(Kappa*c_ms^2/2)*SQRT(H7)*T7*c_kms</f>
        <v>272.12506913963784</v>
      </c>
      <c r="Q7">
        <v>265</v>
      </c>
      <c r="S7" s="1">
        <f t="shared" si="8"/>
        <v>1</v>
      </c>
      <c r="T7" s="1">
        <f t="shared" si="0"/>
        <v>1</v>
      </c>
      <c r="U7" s="1">
        <f t="shared" si="1"/>
        <v>3.2538131494489185E-24</v>
      </c>
      <c r="X7">
        <f>'M101 &amp; fit parameters'!X7</f>
        <v>1.8048069891415169E-21</v>
      </c>
      <c r="Y7" t="str">
        <f>'M101 &amp; fit parameters'!Y7</f>
        <v>kg/m3</v>
      </c>
      <c r="AC7" s="4"/>
      <c r="AE7" s="1"/>
      <c r="AF7" s="1"/>
      <c r="AG7" s="1"/>
      <c r="AH7" s="4"/>
      <c r="AI7" s="4"/>
      <c r="AJ7" s="4"/>
      <c r="AK7" s="4"/>
      <c r="AL7" s="4"/>
      <c r="AM7" s="4"/>
      <c r="AN7" s="4"/>
      <c r="AO7" s="4"/>
      <c r="AP7" s="4"/>
      <c r="AQ7" s="4"/>
      <c r="AU7">
        <f t="shared" si="4"/>
        <v>0</v>
      </c>
    </row>
    <row r="8" spans="1:47" x14ac:dyDescent="0.25">
      <c r="A8" s="3">
        <f t="shared" si="2"/>
        <v>30.1</v>
      </c>
      <c r="C8" s="1"/>
      <c r="D8" s="1"/>
      <c r="E8" s="1">
        <f>J8*1000*ly_m*U8</f>
        <v>5.5754057019634716E-5</v>
      </c>
      <c r="H8" s="1">
        <f>H7+(J8-J7)*1000*ly_m*(E8+E7)/2</f>
        <v>2.2494930557052984E+18</v>
      </c>
      <c r="J8">
        <f t="shared" si="5"/>
        <v>30.1</v>
      </c>
      <c r="K8" s="1">
        <f>U8+du</f>
        <v>1.9602277517378547E-25</v>
      </c>
      <c r="L8" s="1">
        <f t="shared" si="3"/>
        <v>0</v>
      </c>
      <c r="N8">
        <f t="shared" si="6"/>
        <v>30.1</v>
      </c>
      <c r="O8" s="1">
        <f t="shared" si="7"/>
        <v>273.04053438461551</v>
      </c>
      <c r="P8" s="1">
        <f>2*PI()*SQRT(Kappa*c_ms^2/2)*SQRT(H8)*T8*c_kms</f>
        <v>273.31782537212206</v>
      </c>
      <c r="Q8">
        <v>270</v>
      </c>
      <c r="S8" s="1">
        <f t="shared" si="8"/>
        <v>1</v>
      </c>
      <c r="T8" s="1">
        <f t="shared" si="0"/>
        <v>1</v>
      </c>
      <c r="U8" s="1">
        <f t="shared" si="1"/>
        <v>1.9580277517378546E-25</v>
      </c>
      <c r="AC8" s="4"/>
      <c r="AE8" s="1"/>
      <c r="AF8" s="1"/>
      <c r="AG8" s="1"/>
      <c r="AH8" s="4"/>
      <c r="AI8" s="4"/>
      <c r="AJ8" s="4"/>
      <c r="AK8" s="4"/>
      <c r="AL8" s="4"/>
      <c r="AM8" s="4"/>
      <c r="AN8" s="4"/>
      <c r="AO8" s="4"/>
      <c r="AP8" s="4"/>
      <c r="AQ8" s="4"/>
      <c r="AU8">
        <f t="shared" si="4"/>
        <v>0</v>
      </c>
    </row>
    <row r="9" spans="1:47" x14ac:dyDescent="0.25">
      <c r="A9" s="3">
        <f t="shared" si="2"/>
        <v>35.1</v>
      </c>
      <c r="C9" s="1"/>
      <c r="D9" s="1"/>
      <c r="E9" s="1">
        <f>J9*1000*ly_m*U9</f>
        <v>2.4359141811614995E-6</v>
      </c>
      <c r="H9" s="1">
        <f>H8+(J9-J8)*1000*ly_m*(E9+E8)/2</f>
        <v>2.2508692485241974E+18</v>
      </c>
      <c r="J9">
        <f t="shared" si="5"/>
        <v>35.1</v>
      </c>
      <c r="K9" s="1">
        <f>U9+du</f>
        <v>7.5560744630608395E-27</v>
      </c>
      <c r="L9" s="1">
        <f t="shared" si="3"/>
        <v>0</v>
      </c>
      <c r="N9">
        <f t="shared" si="6"/>
        <v>35.1</v>
      </c>
      <c r="O9" s="1">
        <f t="shared" si="7"/>
        <v>273.38150500701624</v>
      </c>
      <c r="P9" s="1">
        <f>2*PI()*SQRT(Kappa*c_ms^2/2)*SQRT(H9)*T9*c_kms</f>
        <v>273.40141765458003</v>
      </c>
      <c r="Q9">
        <v>263</v>
      </c>
      <c r="S9" s="1">
        <f t="shared" si="8"/>
        <v>1</v>
      </c>
      <c r="T9" s="1">
        <f t="shared" si="0"/>
        <v>1</v>
      </c>
      <c r="U9" s="1">
        <f t="shared" si="1"/>
        <v>7.3360744630608395E-27</v>
      </c>
      <c r="W9" t="str">
        <f>'M101 &amp; fit parameters'!W9</f>
        <v>U &lt;density&gt;</v>
      </c>
      <c r="X9">
        <v>0</v>
      </c>
      <c r="Y9" t="str">
        <f>'M101 &amp; fit parameters'!Y9</f>
        <v>kg/m3</v>
      </c>
      <c r="AC9" s="4"/>
      <c r="AE9" s="1"/>
      <c r="AF9" s="1"/>
      <c r="AG9" s="1"/>
      <c r="AH9" s="4"/>
      <c r="AI9" s="4"/>
      <c r="AJ9" s="4"/>
      <c r="AK9" s="4"/>
      <c r="AL9" s="4"/>
      <c r="AM9" s="4"/>
      <c r="AN9" s="4"/>
      <c r="AO9" s="4"/>
      <c r="AP9" s="4"/>
      <c r="AQ9" s="4"/>
      <c r="AU9">
        <f t="shared" si="4"/>
        <v>0</v>
      </c>
    </row>
    <row r="10" spans="1:47" x14ac:dyDescent="0.25">
      <c r="A10" s="3">
        <f t="shared" si="2"/>
        <v>40.1</v>
      </c>
      <c r="C10" s="1"/>
      <c r="D10" s="1"/>
      <c r="E10" s="1">
        <f>J10*1000*ly_m*U10</f>
        <v>3.0840230892590838E-7</v>
      </c>
      <c r="H10" s="1">
        <f>H9+(J10-J9)*1000*ly_m*(E10+E9)/2</f>
        <v>2.2509341516091878E+18</v>
      </c>
      <c r="J10">
        <f t="shared" si="5"/>
        <v>40.1</v>
      </c>
      <c r="K10" s="1">
        <f>U10+du</f>
        <v>1.0329842121069113E-27</v>
      </c>
      <c r="L10" s="1">
        <f t="shared" si="3"/>
        <v>0</v>
      </c>
      <c r="N10">
        <f t="shared" si="6"/>
        <v>40.1</v>
      </c>
      <c r="O10" s="1">
        <f t="shared" si="7"/>
        <v>273.40458265756553</v>
      </c>
      <c r="P10" s="1">
        <f>2*PI()*SQRT(Kappa*c_ms^2/2)*SQRT(H10)*T10*c_kms</f>
        <v>273.40535934678297</v>
      </c>
      <c r="Q10">
        <v>252</v>
      </c>
      <c r="S10" s="1">
        <f t="shared" si="8"/>
        <v>1</v>
      </c>
      <c r="T10" s="1">
        <f t="shared" si="0"/>
        <v>1</v>
      </c>
      <c r="U10" s="1">
        <f t="shared" si="1"/>
        <v>8.1298421210691131E-28</v>
      </c>
      <c r="AE10" s="1"/>
      <c r="AF10" s="1"/>
      <c r="AG10" s="1"/>
      <c r="AH10" s="4"/>
      <c r="AI10" s="4"/>
      <c r="AJ10" s="4"/>
      <c r="AK10" s="4"/>
      <c r="AL10" s="4"/>
      <c r="AM10" s="4"/>
      <c r="AN10" s="4"/>
      <c r="AO10" s="4"/>
      <c r="AP10" s="4"/>
      <c r="AQ10" s="4"/>
      <c r="AU10">
        <f t="shared" si="4"/>
        <v>0</v>
      </c>
    </row>
    <row r="11" spans="1:47" x14ac:dyDescent="0.25">
      <c r="A11" s="3">
        <f t="shared" si="2"/>
        <v>45.1</v>
      </c>
      <c r="C11" s="1"/>
      <c r="D11" s="1"/>
      <c r="E11" s="1">
        <f>J11*1000*ly_m*U11</f>
        <v>2.7290812850540403E-7</v>
      </c>
      <c r="H11" s="1">
        <f>H10+(J11-J10)*1000*ly_m*(E11+E10)/2</f>
        <v>2.2509478996010332E+18</v>
      </c>
      <c r="J11">
        <f t="shared" si="5"/>
        <v>45.1</v>
      </c>
      <c r="K11" s="1">
        <f>U11+du</f>
        <v>8.5965940968719734E-28</v>
      </c>
      <c r="L11" s="1">
        <f t="shared" si="3"/>
        <v>0</v>
      </c>
      <c r="N11">
        <f t="shared" si="6"/>
        <v>45.1</v>
      </c>
      <c r="O11" s="1">
        <f t="shared" si="7"/>
        <v>273.4061852722441</v>
      </c>
      <c r="P11" s="1">
        <f>2*PI()*SQRT(Kappa*c_ms^2/2)*SQRT(H11)*T11*c_kms</f>
        <v>273.40619428211613</v>
      </c>
      <c r="Q11">
        <v>242</v>
      </c>
      <c r="S11" s="1">
        <f t="shared" si="8"/>
        <v>1</v>
      </c>
      <c r="T11" s="1">
        <f t="shared" si="0"/>
        <v>1</v>
      </c>
      <c r="U11" s="1">
        <f t="shared" si="1"/>
        <v>6.3965940968719739E-28</v>
      </c>
      <c r="AE11" s="1"/>
      <c r="AF11" s="1"/>
      <c r="AG11" s="1"/>
      <c r="AH11" s="4"/>
      <c r="AI11" s="4"/>
      <c r="AJ11" s="4"/>
      <c r="AK11" s="4"/>
      <c r="AL11" s="4"/>
      <c r="AM11" s="4"/>
      <c r="AN11" s="4"/>
      <c r="AO11" s="4"/>
      <c r="AP11" s="4"/>
      <c r="AQ11" s="4"/>
      <c r="AU11">
        <f t="shared" si="4"/>
        <v>0</v>
      </c>
    </row>
    <row r="12" spans="1:47" x14ac:dyDescent="0.25">
      <c r="A12" s="3">
        <f t="shared" si="2"/>
        <v>50.1</v>
      </c>
      <c r="C12" s="1"/>
      <c r="D12" s="1"/>
      <c r="E12" s="1">
        <f>J12*1000*ly_m*U12</f>
        <v>2.8331205090760029E-7</v>
      </c>
      <c r="H12" s="1">
        <f>H11+(J12-J11)*1000*ly_m*(E12+E11)/2</f>
        <v>2.2509610542082762E+18</v>
      </c>
      <c r="J12">
        <f t="shared" si="5"/>
        <v>50.1</v>
      </c>
      <c r="K12" s="1">
        <f>U12+du</f>
        <v>8.1777284945457986E-28</v>
      </c>
      <c r="L12" s="1">
        <f t="shared" si="3"/>
        <v>0</v>
      </c>
      <c r="N12">
        <f t="shared" si="6"/>
        <v>50.1</v>
      </c>
      <c r="O12" s="1">
        <f t="shared" si="7"/>
        <v>273.40700003916828</v>
      </c>
      <c r="P12" s="1">
        <f>2*PI()*SQRT(Kappa*c_ms^2/2)*SQRT(H12)*T12*c_kms</f>
        <v>273.40699317796117</v>
      </c>
      <c r="Q12">
        <v>232</v>
      </c>
      <c r="S12" s="1">
        <f t="shared" si="8"/>
        <v>1</v>
      </c>
      <c r="T12" s="1">
        <f t="shared" si="0"/>
        <v>1</v>
      </c>
      <c r="U12" s="1">
        <f t="shared" si="1"/>
        <v>5.9777284945457982E-28</v>
      </c>
      <c r="AE12" s="1"/>
      <c r="AF12" s="1"/>
      <c r="AG12" s="1"/>
      <c r="AH12" s="4"/>
      <c r="AI12" s="4"/>
      <c r="AJ12" s="4"/>
      <c r="AK12" s="4"/>
      <c r="AL12" s="4"/>
      <c r="AM12" s="4"/>
      <c r="AN12" s="4"/>
      <c r="AO12" s="4"/>
      <c r="AP12" s="4"/>
      <c r="AQ12" s="4"/>
      <c r="AU12">
        <f t="shared" si="4"/>
        <v>0</v>
      </c>
    </row>
    <row r="13" spans="1:47" x14ac:dyDescent="0.25">
      <c r="A13" s="3">
        <f t="shared" si="2"/>
        <v>55.1</v>
      </c>
      <c r="C13" s="1"/>
      <c r="D13" s="1"/>
      <c r="E13" s="1">
        <f>J13*1000*ly_m*U13</f>
        <v>2.9201792055364801E-7</v>
      </c>
      <c r="H13" s="1">
        <f>H12+(J13-J12)*1000*ly_m*(E13+E12)/2</f>
        <v>2.2509746607621012E+18</v>
      </c>
      <c r="J13">
        <f t="shared" si="5"/>
        <v>55.1</v>
      </c>
      <c r="K13" s="1">
        <f>U13+du</f>
        <v>7.8023052561295058E-28</v>
      </c>
      <c r="L13" s="1">
        <f t="shared" si="3"/>
        <v>0</v>
      </c>
      <c r="N13">
        <f t="shared" si="6"/>
        <v>55.1</v>
      </c>
      <c r="O13" s="1">
        <f t="shared" si="7"/>
        <v>273.40782501904357</v>
      </c>
      <c r="P13" s="1">
        <f>2*PI()*SQRT(Kappa*c_ms^2/2)*SQRT(H13)*T13*c_kms</f>
        <v>273.40781951863465</v>
      </c>
      <c r="Q13">
        <v>225</v>
      </c>
      <c r="S13" s="1">
        <f t="shared" si="8"/>
        <v>1</v>
      </c>
      <c r="T13" s="1">
        <f t="shared" si="0"/>
        <v>1</v>
      </c>
      <c r="U13" s="1">
        <f t="shared" si="1"/>
        <v>5.6023052561295054E-28</v>
      </c>
      <c r="W13" t="str">
        <f>'M101 &amp; fit parameters'!W13</f>
        <v>c_kms</v>
      </c>
      <c r="X13" s="1">
        <f>'M101 &amp; fit parameters'!X13</f>
        <v>300000</v>
      </c>
      <c r="Y13" t="str">
        <f>'M101 &amp; fit parameters'!Y13</f>
        <v>km/s</v>
      </c>
      <c r="Z13" t="str">
        <f>'M101 &amp; fit parameters'!Z13</f>
        <v>Kuc2</v>
      </c>
      <c r="AA13">
        <f>'M101 &amp; fit parameters'!AA13</f>
        <v>4.1124599999999997E-54</v>
      </c>
      <c r="AE13" s="1"/>
      <c r="AF13" s="1"/>
      <c r="AG13" s="1"/>
      <c r="AH13" s="4"/>
      <c r="AI13" s="4"/>
      <c r="AJ13" s="4"/>
      <c r="AK13" s="4"/>
      <c r="AL13" s="4"/>
      <c r="AM13" s="4"/>
      <c r="AN13" s="4"/>
      <c r="AO13" s="4"/>
      <c r="AP13" s="4"/>
      <c r="AQ13" s="4"/>
      <c r="AU13">
        <f t="shared" si="4"/>
        <v>0</v>
      </c>
    </row>
    <row r="14" spans="1:47" x14ac:dyDescent="0.25">
      <c r="A14" s="3">
        <f t="shared" si="2"/>
        <v>60.1</v>
      </c>
      <c r="C14" s="1"/>
      <c r="D14" s="1"/>
      <c r="E14" s="1">
        <f>J14*1000*ly_m*U14</f>
        <v>2.9863223969064514E-7</v>
      </c>
      <c r="H14" s="1">
        <f>H13+(J14-J13)*1000*ly_m*(E14+E13)/2</f>
        <v>2.250988629638391E+18</v>
      </c>
      <c r="J14">
        <f t="shared" si="5"/>
        <v>60.1</v>
      </c>
      <c r="K14" s="1">
        <f>U14+du</f>
        <v>7.4525607372252233E-28</v>
      </c>
      <c r="L14" s="1">
        <f t="shared" si="3"/>
        <v>0</v>
      </c>
      <c r="N14">
        <f t="shared" si="6"/>
        <v>60.1</v>
      </c>
      <c r="O14" s="1">
        <f t="shared" si="7"/>
        <v>273.4086719428758</v>
      </c>
      <c r="P14" s="1">
        <f>2*PI()*SQRT(Kappa*c_ms^2/2)*SQRT(H14)*T14*c_kms</f>
        <v>273.40866786094364</v>
      </c>
      <c r="Q14">
        <v>222</v>
      </c>
      <c r="S14" s="1">
        <f t="shared" si="8"/>
        <v>1</v>
      </c>
      <c r="T14" s="1">
        <f t="shared" si="0"/>
        <v>1</v>
      </c>
      <c r="U14" s="1">
        <f t="shared" si="1"/>
        <v>5.2525607372252229E-28</v>
      </c>
      <c r="W14" t="str">
        <f>'M101 &amp; fit parameters'!W14</f>
        <v>c_ms</v>
      </c>
      <c r="X14" s="1">
        <f>'M101 &amp; fit parameters'!X14</f>
        <v>300000000</v>
      </c>
      <c r="Y14" t="str">
        <f>'M101 &amp; fit parameters'!Y14</f>
        <v>m/s</v>
      </c>
      <c r="AE14" s="1"/>
      <c r="AF14" s="1"/>
      <c r="AG14" s="1"/>
      <c r="AH14" s="4"/>
      <c r="AI14" s="4"/>
      <c r="AJ14" s="4"/>
      <c r="AK14" s="4"/>
      <c r="AL14" s="4"/>
      <c r="AM14" s="4"/>
      <c r="AN14" s="4"/>
      <c r="AO14" s="4"/>
      <c r="AP14" s="4"/>
      <c r="AQ14" s="4"/>
      <c r="AU14">
        <f t="shared" si="4"/>
        <v>0</v>
      </c>
    </row>
    <row r="15" spans="1:47" x14ac:dyDescent="0.25">
      <c r="A15" s="3">
        <f t="shared" si="2"/>
        <v>65.099999999999994</v>
      </c>
      <c r="C15" s="1"/>
      <c r="D15" s="1"/>
      <c r="E15" s="1">
        <f>J15*1000*ly_m*U15</f>
        <v>3.0338783039988784E-7</v>
      </c>
      <c r="H15" s="1">
        <f>H14+(J15-J14)*1000*ly_m*(E15+E14)/2</f>
        <v>2.2510028674130486E+18</v>
      </c>
      <c r="J15">
        <f t="shared" si="5"/>
        <v>65.099999999999994</v>
      </c>
      <c r="K15" s="1">
        <f>U15+du</f>
        <v>7.1263587065579363E-28</v>
      </c>
      <c r="L15" s="1">
        <f t="shared" si="3"/>
        <v>0</v>
      </c>
      <c r="N15">
        <f t="shared" si="6"/>
        <v>65.099999999999994</v>
      </c>
      <c r="O15" s="1">
        <f t="shared" si="7"/>
        <v>273.40953535484027</v>
      </c>
      <c r="P15" s="1">
        <f>2*PI()*SQRT(Kappa*c_ms^2/2)*SQRT(H15)*T15*c_kms</f>
        <v>273.40953253098144</v>
      </c>
      <c r="Q15">
        <v>221</v>
      </c>
      <c r="S15" s="1">
        <f t="shared" si="8"/>
        <v>1</v>
      </c>
      <c r="T15" s="1">
        <f t="shared" si="0"/>
        <v>1</v>
      </c>
      <c r="U15" s="1">
        <f t="shared" si="1"/>
        <v>4.9263587065579359E-28</v>
      </c>
      <c r="W15" t="str">
        <f>'M101 &amp; fit parameters'!W15</f>
        <v>K</v>
      </c>
      <c r="X15">
        <f>'M101 &amp; fit parameters'!X15</f>
        <v>2.0769999999999998E-43</v>
      </c>
      <c r="Y15" t="str">
        <f>'M101 &amp; fit parameters'!Y15</f>
        <v>N-1</v>
      </c>
      <c r="AE15" s="1"/>
      <c r="AF15" s="1"/>
      <c r="AG15" s="1"/>
      <c r="AH15" s="4"/>
      <c r="AI15" s="4"/>
      <c r="AJ15" s="4"/>
      <c r="AK15" s="4"/>
      <c r="AL15" s="4"/>
      <c r="AM15" s="4"/>
      <c r="AN15" s="4"/>
      <c r="AO15" s="4"/>
      <c r="AP15" s="4"/>
      <c r="AQ15" s="4"/>
      <c r="AU15">
        <f t="shared" si="4"/>
        <v>0</v>
      </c>
    </row>
    <row r="16" spans="1:47" x14ac:dyDescent="0.25">
      <c r="A16" s="3">
        <f t="shared" si="2"/>
        <v>70.099999999999994</v>
      </c>
      <c r="C16" s="1"/>
      <c r="D16" s="1"/>
      <c r="E16" s="1">
        <f>J16*1000*ly_m*U16</f>
        <v>3.0649854372148843E-7</v>
      </c>
      <c r="H16" s="1">
        <f>H15+(J16-J15)*1000*ly_m*(E16+E15)/2</f>
        <v>2.2510172912257966E+18</v>
      </c>
      <c r="J16">
        <f t="shared" si="5"/>
        <v>70.099999999999994</v>
      </c>
      <c r="K16" s="1">
        <f>U16+du</f>
        <v>6.8218863375710387E-28</v>
      </c>
      <c r="L16" s="1">
        <f t="shared" si="3"/>
        <v>0</v>
      </c>
      <c r="N16">
        <f t="shared" si="6"/>
        <v>70.099999999999994</v>
      </c>
      <c r="O16" s="1">
        <f t="shared" si="7"/>
        <v>273.41041020803095</v>
      </c>
      <c r="P16" s="1">
        <f>2*PI()*SQRT(Kappa*c_ms^2/2)*SQRT(H16)*T16*c_kms</f>
        <v>273.41040849645452</v>
      </c>
      <c r="Q16">
        <v>220</v>
      </c>
      <c r="S16" s="1">
        <f t="shared" si="8"/>
        <v>1</v>
      </c>
      <c r="T16" s="1">
        <f t="shared" si="0"/>
        <v>1</v>
      </c>
      <c r="U16" s="1">
        <f t="shared" si="1"/>
        <v>4.6218863375710392E-28</v>
      </c>
      <c r="AE16" s="1"/>
      <c r="AF16" s="1"/>
      <c r="AG16" s="1"/>
      <c r="AH16" s="4"/>
      <c r="AI16" s="4"/>
      <c r="AJ16" s="4"/>
      <c r="AK16" s="4"/>
      <c r="AL16" s="4"/>
      <c r="AM16" s="4"/>
      <c r="AN16" s="4"/>
      <c r="AO16" s="4"/>
      <c r="AP16" s="4"/>
      <c r="AQ16" s="4"/>
      <c r="AU16">
        <f t="shared" si="4"/>
        <v>0</v>
      </c>
    </row>
    <row r="17" spans="1:47" x14ac:dyDescent="0.25">
      <c r="A17" s="3">
        <f t="shared" si="2"/>
        <v>75.099999999999994</v>
      </c>
      <c r="C17" s="1"/>
      <c r="D17" s="1"/>
      <c r="E17" s="1">
        <f>J17*1000*ly_m*U17</f>
        <v>3.0815651180804764E-7</v>
      </c>
      <c r="H17" s="1">
        <f>H16+(J17-J16)*1000*ly_m*(E17+E16)/2</f>
        <v>2.2510318278178598E+18</v>
      </c>
      <c r="J17">
        <f t="shared" si="5"/>
        <v>75.099999999999994</v>
      </c>
      <c r="K17" s="1">
        <f>U17+du</f>
        <v>6.5375078726327918E-28</v>
      </c>
      <c r="L17" s="1">
        <f t="shared" si="3"/>
        <v>0</v>
      </c>
      <c r="N17">
        <f t="shared" si="6"/>
        <v>75.099999999999994</v>
      </c>
      <c r="O17" s="1">
        <f t="shared" si="7"/>
        <v>273.41129203854916</v>
      </c>
      <c r="P17" s="1">
        <f>2*PI()*SQRT(Kappa*c_ms^2/2)*SQRT(H17)*T17*c_kms</f>
        <v>273.41129130823327</v>
      </c>
      <c r="Q17">
        <v>219</v>
      </c>
      <c r="S17" s="1">
        <f t="shared" si="8"/>
        <v>1</v>
      </c>
      <c r="T17" s="1">
        <f t="shared" si="0"/>
        <v>1</v>
      </c>
      <c r="U17" s="1">
        <f t="shared" si="1"/>
        <v>4.3375078726327914E-28</v>
      </c>
      <c r="Z17">
        <f>'M101 &amp; fit parameters'!Z20</f>
        <v>0</v>
      </c>
      <c r="AA17">
        <f>'M101 &amp; fit parameters'!AA20</f>
        <v>0</v>
      </c>
      <c r="AE17" s="1"/>
      <c r="AF17" s="1"/>
      <c r="AG17" s="1"/>
      <c r="AH17" s="4"/>
      <c r="AI17" s="4"/>
      <c r="AJ17" s="4"/>
      <c r="AK17" s="4"/>
      <c r="AL17" s="4"/>
      <c r="AM17" s="4"/>
      <c r="AN17" s="4"/>
      <c r="AO17" s="4"/>
      <c r="AP17" s="4"/>
      <c r="AQ17" s="4"/>
      <c r="AU17">
        <f t="shared" si="4"/>
        <v>0</v>
      </c>
    </row>
    <row r="18" spans="1:47" x14ac:dyDescent="0.25">
      <c r="A18" s="3">
        <f t="shared" si="2"/>
        <v>80.099999999999994</v>
      </c>
      <c r="C18" s="1"/>
      <c r="D18" s="1"/>
      <c r="E18" s="1">
        <f>J18*1000*ly_m*U18</f>
        <v>3.0853445915225264E-7</v>
      </c>
      <c r="H18" s="1">
        <f>H17+(J18-J17)*1000*ly_m*(E18+E17)/2</f>
        <v>2.2510464125593231E+18</v>
      </c>
      <c r="J18">
        <f t="shared" si="5"/>
        <v>80.099999999999994</v>
      </c>
      <c r="K18" s="1">
        <f>U18+du</f>
        <v>6.2717398594285248E-28</v>
      </c>
      <c r="L18" s="1">
        <f t="shared" si="3"/>
        <v>0</v>
      </c>
      <c r="N18">
        <f t="shared" si="6"/>
        <v>80.099999999999994</v>
      </c>
      <c r="O18" s="1">
        <f t="shared" si="7"/>
        <v>273.41217690814426</v>
      </c>
      <c r="P18" s="1">
        <f>2*PI()*SQRT(Kappa*c_ms^2/2)*SQRT(H18)*T18*c_kms</f>
        <v>273.41217704127547</v>
      </c>
      <c r="Q18">
        <v>218</v>
      </c>
      <c r="S18" s="1">
        <f t="shared" si="8"/>
        <v>1</v>
      </c>
      <c r="T18" s="1">
        <f t="shared" si="0"/>
        <v>1</v>
      </c>
      <c r="U18" s="1">
        <f t="shared" si="1"/>
        <v>4.0717398594285244E-28</v>
      </c>
      <c r="W18" t="str">
        <f>'M101 &amp; fit parameters'!W18</f>
        <v>min dens</v>
      </c>
      <c r="X18">
        <f>'M101 &amp; fit parameters'!X18</f>
        <v>1.8873472688731335E-27</v>
      </c>
      <c r="AE18" s="1"/>
      <c r="AF18" s="1"/>
      <c r="AG18" s="1"/>
      <c r="AH18" s="4"/>
      <c r="AI18" s="4"/>
      <c r="AJ18" s="4"/>
      <c r="AK18" s="4"/>
      <c r="AL18" s="4"/>
      <c r="AM18" s="4"/>
      <c r="AN18" s="4"/>
      <c r="AO18" s="4"/>
      <c r="AP18" s="4"/>
      <c r="AQ18" s="4"/>
      <c r="AU18">
        <f t="shared" si="4"/>
        <v>0</v>
      </c>
    </row>
    <row r="19" spans="1:47" x14ac:dyDescent="0.25">
      <c r="A19" s="3">
        <f t="shared" si="2"/>
        <v>85.1</v>
      </c>
      <c r="C19" s="1"/>
      <c r="D19" s="1"/>
      <c r="E19" s="1">
        <f>J19*1000*ly_m*U19</f>
        <v>3.0778773778306759E-7</v>
      </c>
      <c r="H19" s="1">
        <f>H18+(J19-J18)*1000*ly_m*(E19+E18)/2</f>
        <v>2.2510609885792806E+18</v>
      </c>
      <c r="J19">
        <f t="shared" si="5"/>
        <v>85.1</v>
      </c>
      <c r="K19" s="1">
        <f>U19+du</f>
        <v>6.023231688413675E-28</v>
      </c>
      <c r="L19" s="1">
        <f t="shared" si="3"/>
        <v>0</v>
      </c>
      <c r="N19">
        <f t="shared" si="6"/>
        <v>85.1</v>
      </c>
      <c r="O19" s="1">
        <f t="shared" si="7"/>
        <v>273.41306135119083</v>
      </c>
      <c r="P19" s="1">
        <f>2*PI()*SQRT(Kappa*c_ms^2/2)*SQRT(H19)*T19*c_kms</f>
        <v>273.41306224179277</v>
      </c>
      <c r="Q19">
        <v>217</v>
      </c>
      <c r="S19" s="1">
        <f t="shared" si="8"/>
        <v>1</v>
      </c>
      <c r="T19" s="1">
        <f t="shared" si="0"/>
        <v>1</v>
      </c>
      <c r="U19" s="1">
        <f t="shared" si="1"/>
        <v>3.823231688413675E-28</v>
      </c>
      <c r="AE19" s="1"/>
      <c r="AF19" s="1"/>
      <c r="AG19" s="1"/>
      <c r="AH19" s="4"/>
      <c r="AI19" s="4"/>
      <c r="AJ19" s="4"/>
      <c r="AK19" s="4"/>
      <c r="AL19" s="4"/>
      <c r="AM19" s="4"/>
      <c r="AN19" s="4"/>
      <c r="AO19" s="4"/>
      <c r="AP19" s="4"/>
      <c r="AQ19" s="4"/>
      <c r="AU19">
        <f t="shared" si="4"/>
        <v>0</v>
      </c>
    </row>
    <row r="20" spans="1:47" x14ac:dyDescent="0.25">
      <c r="A20" s="3">
        <f t="shared" si="2"/>
        <v>90.1</v>
      </c>
      <c r="C20" s="1"/>
      <c r="D20" s="1"/>
      <c r="E20" s="1">
        <f>J20*1000*ly_m*U20</f>
        <v>3.0605611068060447E-7</v>
      </c>
      <c r="H20" s="1">
        <f>H19+(J20-J19)*1000*ly_m*(E20+E19)/2</f>
        <v>2.2510755059862968E+18</v>
      </c>
      <c r="J20">
        <f t="shared" si="5"/>
        <v>90.1</v>
      </c>
      <c r="K20" s="1">
        <f>U20+du</f>
        <v>5.7907496566019486E-28</v>
      </c>
      <c r="L20" s="1">
        <f t="shared" si="3"/>
        <v>0</v>
      </c>
      <c r="N20">
        <f t="shared" si="6"/>
        <v>90.1</v>
      </c>
      <c r="O20" s="1">
        <f t="shared" si="7"/>
        <v>273.41394232717363</v>
      </c>
      <c r="P20" s="1">
        <f>2*PI()*SQRT(Kappa*c_ms^2/2)*SQRT(H20)*T20*c_kms</f>
        <v>273.41394387990221</v>
      </c>
      <c r="Q20">
        <v>216</v>
      </c>
      <c r="S20" s="1">
        <f t="shared" si="8"/>
        <v>1</v>
      </c>
      <c r="T20" s="1">
        <f t="shared" si="0"/>
        <v>1</v>
      </c>
      <c r="U20" s="1">
        <f t="shared" si="1"/>
        <v>3.5907496566019491E-28</v>
      </c>
      <c r="W20" t="s">
        <v>4</v>
      </c>
      <c r="X20" s="1">
        <f>SUMXMY2(O2:O21,Q2:Q21)</f>
        <v>31584.752408964581</v>
      </c>
      <c r="AE20" s="1"/>
      <c r="AF20" s="1"/>
      <c r="AG20" s="1"/>
      <c r="AH20" s="4"/>
      <c r="AI20" s="4"/>
      <c r="AJ20" s="4"/>
      <c r="AK20" s="4"/>
      <c r="AL20" s="4"/>
      <c r="AM20" s="4"/>
      <c r="AN20" s="4"/>
      <c r="AO20" s="4"/>
      <c r="AP20" s="4"/>
      <c r="AQ20" s="4"/>
      <c r="AU20">
        <f t="shared" si="4"/>
        <v>0</v>
      </c>
    </row>
    <row r="21" spans="1:47" x14ac:dyDescent="0.25">
      <c r="A21" s="3">
        <f t="shared" si="2"/>
        <v>95.1</v>
      </c>
      <c r="C21" s="1"/>
      <c r="D21" s="1"/>
      <c r="E21" s="1">
        <f>J21*1000*ly_m*U21</f>
        <v>3.0346532385948156E-7</v>
      </c>
      <c r="H21" s="1">
        <f>H20+(J21-J20)*1000*ly_m*(E21+E20)/2</f>
        <v>2.2510899211682237E+18</v>
      </c>
      <c r="J21">
        <f t="shared" si="5"/>
        <v>95.1</v>
      </c>
      <c r="K21" s="1">
        <f>U21+du</f>
        <v>5.5731637094977525E-28</v>
      </c>
      <c r="L21" s="1">
        <f t="shared" si="3"/>
        <v>0</v>
      </c>
      <c r="N21">
        <f t="shared" si="6"/>
        <v>95.1</v>
      </c>
      <c r="O21" s="1">
        <f t="shared" si="7"/>
        <v>273.41460045029856</v>
      </c>
      <c r="P21" s="1">
        <f>2*PI()*SQRT(Kappa*c_ms^2/2)*SQRT(H21)*T21*c_kms</f>
        <v>273.41481930709739</v>
      </c>
      <c r="Q21">
        <v>215</v>
      </c>
      <c r="S21" s="1">
        <f t="shared" si="8"/>
        <v>1</v>
      </c>
      <c r="T21" s="1">
        <f t="shared" si="0"/>
        <v>1</v>
      </c>
      <c r="U21" s="1">
        <f t="shared" si="1"/>
        <v>3.373163709497753E-28</v>
      </c>
      <c r="AE21" s="1"/>
      <c r="AF21" s="1"/>
      <c r="AG21" s="1"/>
      <c r="AH21" s="4"/>
      <c r="AI21" s="4"/>
      <c r="AJ21" s="4"/>
      <c r="AK21" s="4"/>
      <c r="AL21" s="4"/>
      <c r="AM21" s="4"/>
      <c r="AN21" s="4"/>
      <c r="AO21" s="4"/>
      <c r="AP21" s="4"/>
      <c r="AQ21" s="4"/>
      <c r="AU21">
        <f t="shared" si="4"/>
        <v>0</v>
      </c>
    </row>
    <row r="22" spans="1:47" x14ac:dyDescent="0.25">
      <c r="K22" s="1"/>
      <c r="P22" s="1">
        <f>P21</f>
        <v>273.41481930709739</v>
      </c>
      <c r="T22" s="1">
        <f>T21</f>
        <v>1</v>
      </c>
      <c r="AE22" s="1"/>
      <c r="AF22" s="1"/>
      <c r="AG22" s="1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7" x14ac:dyDescent="0.25">
      <c r="K23" s="1">
        <f>SUMPRODUCT(J2:J6,K2:K6)</f>
        <v>4.9433779842502325E-21</v>
      </c>
      <c r="W23" s="1"/>
    </row>
    <row r="24" spans="1:47" x14ac:dyDescent="0.25">
      <c r="X24" s="1"/>
      <c r="AE24" s="1"/>
    </row>
    <row r="25" spans="1:47" x14ac:dyDescent="0.25">
      <c r="T25" t="str">
        <f>'M101 &amp; fit parameters'!T25</f>
        <v>a</v>
      </c>
      <c r="U25" s="5">
        <f>'M101 &amp; fit parameters'!W25</f>
        <v>2.1000000000000001E-22</v>
      </c>
      <c r="AD25" s="1"/>
    </row>
    <row r="26" spans="1:47" x14ac:dyDescent="0.25">
      <c r="T26" t="str">
        <f>'M101 &amp; fit parameters'!T26</f>
        <v>b</v>
      </c>
      <c r="U26" s="5">
        <f>'M101 &amp; fit parameters'!W26</f>
        <v>4.6366772332019864E-2</v>
      </c>
      <c r="V26" s="1"/>
      <c r="W26" s="1"/>
      <c r="AD26" s="1"/>
    </row>
    <row r="27" spans="1:47" x14ac:dyDescent="0.25">
      <c r="T27" t="str">
        <f>'M101 &amp; fit parameters'!T27</f>
        <v>k</v>
      </c>
      <c r="U27" s="5">
        <f>'M101 &amp; fit parameters'!W27</f>
        <v>1.7</v>
      </c>
      <c r="V27" s="1"/>
      <c r="W27" s="1"/>
      <c r="AD27" s="1"/>
    </row>
    <row r="28" spans="1:47" x14ac:dyDescent="0.25">
      <c r="T28" t="str">
        <f>'M101 &amp; fit parameters'!T28</f>
        <v>p</v>
      </c>
      <c r="U28" s="5">
        <f>'M101 &amp; fit parameters'!W28</f>
        <v>1.2E-27</v>
      </c>
      <c r="W28" s="1"/>
      <c r="AH28" s="2"/>
      <c r="AI28" s="2"/>
      <c r="AJ28" s="2"/>
      <c r="AK28" s="2"/>
      <c r="AL28" s="2"/>
    </row>
    <row r="29" spans="1:47" x14ac:dyDescent="0.25">
      <c r="T29" t="str">
        <f>'M101 &amp; fit parameters'!T29</f>
        <v>m</v>
      </c>
      <c r="U29" s="5">
        <f>'M101 &amp; fit parameters'!W29</f>
        <v>1.7922348587774872E-2</v>
      </c>
      <c r="W29" s="1"/>
      <c r="AH29" s="1"/>
      <c r="AN29" s="4"/>
    </row>
    <row r="30" spans="1:47" x14ac:dyDescent="0.25">
      <c r="T30" t="s">
        <v>9</v>
      </c>
      <c r="U30" s="5">
        <f>'M101 &amp; fit parameters'!W30</f>
        <v>0.93524615178066073</v>
      </c>
      <c r="AH30" s="1"/>
      <c r="AN30" s="4"/>
    </row>
    <row r="31" spans="1:47" x14ac:dyDescent="0.25">
      <c r="U31" s="5">
        <f>'M101 &amp; fit parameters'!W32</f>
        <v>11</v>
      </c>
      <c r="W31" s="1"/>
      <c r="AH31" s="1"/>
      <c r="AN31" s="4"/>
    </row>
    <row r="32" spans="1:47" x14ac:dyDescent="0.25">
      <c r="AH32" s="1"/>
      <c r="AN32" s="4"/>
    </row>
    <row r="33" spans="20:40" x14ac:dyDescent="0.25">
      <c r="T33" t="str">
        <f>'M101 &amp; fit parameters'!T37</f>
        <v>ρu in eq. 43</v>
      </c>
      <c r="U33" s="5">
        <f>'M101 &amp; fit parameters'!W37</f>
        <v>2.2E-28</v>
      </c>
      <c r="AH33" s="1"/>
      <c r="AN33" s="4"/>
    </row>
    <row r="34" spans="20:40" x14ac:dyDescent="0.25">
      <c r="AH34" s="1"/>
      <c r="AN34" s="4"/>
    </row>
    <row r="35" spans="20:40" x14ac:dyDescent="0.25">
      <c r="T35" t="s">
        <v>10</v>
      </c>
      <c r="U35" s="1">
        <f>SUMXMY2(Q4:Q21,O4:O21)+0*SUMXMY2(O14:O21,Q14:Q21)</f>
        <v>31378.196674278348</v>
      </c>
      <c r="AH35" s="1"/>
      <c r="AN35" s="4"/>
    </row>
    <row r="36" spans="20:40" x14ac:dyDescent="0.25">
      <c r="AH36" s="1"/>
      <c r="AN36" s="4"/>
    </row>
    <row r="37" spans="20:40" x14ac:dyDescent="0.25">
      <c r="AH37" s="1"/>
      <c r="AN37" s="4"/>
    </row>
    <row r="38" spans="20:40" x14ac:dyDescent="0.25">
      <c r="W38" s="1"/>
      <c r="AH38" s="1"/>
      <c r="AN38" s="4"/>
    </row>
    <row r="39" spans="20:40" x14ac:dyDescent="0.25">
      <c r="W39" s="1"/>
      <c r="AH39" s="1"/>
      <c r="AN39" s="4"/>
    </row>
    <row r="40" spans="20:40" x14ac:dyDescent="0.25">
      <c r="U40" s="1"/>
      <c r="W40" s="1"/>
      <c r="AH40" s="1"/>
      <c r="AN40" s="4"/>
    </row>
    <row r="41" spans="20:40" x14ac:dyDescent="0.25">
      <c r="AH41" s="1"/>
      <c r="AN41" s="4"/>
    </row>
    <row r="42" spans="20:40" x14ac:dyDescent="0.25">
      <c r="AH42" s="1"/>
      <c r="AN42" s="4"/>
    </row>
    <row r="43" spans="20:40" x14ac:dyDescent="0.25">
      <c r="U43" s="1">
        <v>745.92387390778958</v>
      </c>
      <c r="AH43" s="1"/>
      <c r="AN43" s="4"/>
    </row>
    <row r="44" spans="20:40" x14ac:dyDescent="0.25">
      <c r="AH44" s="1"/>
      <c r="AN44" s="4"/>
    </row>
    <row r="45" spans="20:40" x14ac:dyDescent="0.25">
      <c r="AH45" s="1"/>
      <c r="AN45" s="4"/>
    </row>
    <row r="46" spans="20:40" x14ac:dyDescent="0.25">
      <c r="U46" s="1"/>
      <c r="AH46" s="1"/>
      <c r="AN46" s="4"/>
    </row>
    <row r="47" spans="20:40" x14ac:dyDescent="0.25">
      <c r="U47" s="1"/>
      <c r="AH47" s="1"/>
      <c r="AN47" s="4"/>
    </row>
    <row r="48" spans="20:40" x14ac:dyDescent="0.25">
      <c r="AH48" s="1"/>
      <c r="AN48" s="4"/>
    </row>
    <row r="49" spans="1:40" x14ac:dyDescent="0.25">
      <c r="AH49" s="1"/>
      <c r="AN49" s="4"/>
    </row>
    <row r="50" spans="1:40" x14ac:dyDescent="0.25">
      <c r="AH50" s="1"/>
      <c r="AN50" s="4"/>
    </row>
    <row r="51" spans="1:40" x14ac:dyDescent="0.25">
      <c r="AH51" s="1"/>
      <c r="AN51" s="4"/>
    </row>
    <row r="52" spans="1:40" x14ac:dyDescent="0.25">
      <c r="AH52" s="1"/>
      <c r="AN52" s="4"/>
    </row>
    <row r="62" spans="1:40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5" spans="5:5" x14ac:dyDescent="0.25">
      <c r="E65" s="1"/>
    </row>
  </sheetData>
  <conditionalFormatting sqref="L2:L21">
    <cfRule type="cellIs" dxfId="4" priority="1" operator="lessThan">
      <formula>0</formula>
    </cfRule>
  </conditionalFormatting>
  <conditionalFormatting sqref="X23:X24">
    <cfRule type="cellIs" dxfId="3" priority="64" operator="lessThan">
      <formula>0</formula>
    </cfRule>
  </conditionalFormatting>
  <conditionalFormatting sqref="AC2">
    <cfRule type="colorScale" priority="7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3">
    <cfRule type="colorScale" priority="7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4">
    <cfRule type="colorScale" priority="7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5">
    <cfRule type="colorScale" priority="6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6">
    <cfRule type="colorScale" priority="6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7">
    <cfRule type="colorScale" priority="6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8">
    <cfRule type="colorScale" priority="6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9">
    <cfRule type="colorScale" priority="6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E24">
    <cfRule type="cellIs" dxfId="2" priority="62" operator="lessThan">
      <formula>0</formula>
    </cfRule>
  </conditionalFormatting>
  <conditionalFormatting sqref="AH29:AK29">
    <cfRule type="colorScale" priority="2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0:AK30">
    <cfRule type="colorScale" priority="2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1:AK31">
    <cfRule type="colorScale" priority="1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2:AK32">
    <cfRule type="colorScale" priority="1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3:AK33">
    <cfRule type="colorScale" priority="1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4:AK34">
    <cfRule type="colorScale" priority="1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5:AK35">
    <cfRule type="colorScale" priority="1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6:AK36">
    <cfRule type="colorScale" priority="1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7:AK37">
    <cfRule type="colorScale" priority="1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8:AK38">
    <cfRule type="colorScale" priority="1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9:AK39">
    <cfRule type="colorScale" priority="1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0:AK40">
    <cfRule type="colorScale" priority="1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1:AK41">
    <cfRule type="colorScale" priority="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2:AK42">
    <cfRule type="colorScale" priority="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3:AK43">
    <cfRule type="colorScale" priority="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4:AK44">
    <cfRule type="colorScale" priority="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5:AK45">
    <cfRule type="colorScale" priority="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6:AK46">
    <cfRule type="colorScale" priority="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7:AK47">
    <cfRule type="colorScale" priority="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8:AK48">
    <cfRule type="colorScale" priority="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9:AL52">
    <cfRule type="colorScale" priority="7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:AQ2">
    <cfRule type="colorScale" priority="4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:AQ3">
    <cfRule type="colorScale" priority="4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:AQ4">
    <cfRule type="colorScale" priority="3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5:AQ5">
    <cfRule type="colorScale" priority="3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6:AQ6">
    <cfRule type="colorScale" priority="3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7:AQ7">
    <cfRule type="colorScale" priority="3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8:AQ8">
    <cfRule type="colorScale" priority="3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9:AQ9">
    <cfRule type="colorScale" priority="3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0:AQ10">
    <cfRule type="colorScale" priority="3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1:AQ11">
    <cfRule type="colorScale" priority="3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2:AQ12">
    <cfRule type="colorScale" priority="3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3:AQ13">
    <cfRule type="colorScale" priority="3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4:AQ14">
    <cfRule type="colorScale" priority="2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5:AQ15">
    <cfRule type="colorScale" priority="2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6:AQ16">
    <cfRule type="colorScale" priority="2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7:AQ17">
    <cfRule type="colorScale" priority="2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8:AQ18">
    <cfRule type="colorScale" priority="2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9:AQ19">
    <cfRule type="colorScale" priority="2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0:AQ20">
    <cfRule type="colorScale" priority="2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1:AQ21">
    <cfRule type="colorScale" priority="2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2:AS22">
    <cfRule type="colorScale" priority="7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29">
    <cfRule type="colorScale" priority="6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0">
    <cfRule type="colorScale" priority="6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1">
    <cfRule type="colorScale" priority="5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2">
    <cfRule type="colorScale" priority="5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3">
    <cfRule type="colorScale" priority="5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4">
    <cfRule type="colorScale" priority="5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5">
    <cfRule type="colorScale" priority="5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6">
    <cfRule type="colorScale" priority="5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7">
    <cfRule type="colorScale" priority="5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8">
    <cfRule type="colorScale" priority="5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9">
    <cfRule type="colorScale" priority="5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0">
    <cfRule type="colorScale" priority="5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1">
    <cfRule type="colorScale" priority="4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2">
    <cfRule type="colorScale" priority="4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3">
    <cfRule type="colorScale" priority="4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4">
    <cfRule type="colorScale" priority="4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5">
    <cfRule type="colorScale" priority="4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6">
    <cfRule type="colorScale" priority="4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7">
    <cfRule type="colorScale" priority="4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8">
    <cfRule type="colorScale" priority="4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S2:AS21">
    <cfRule type="cellIs" dxfId="1" priority="74" operator="lessThan">
      <formula>0</formula>
    </cfRule>
  </conditionalFormatting>
  <conditionalFormatting sqref="AU2:AU22">
    <cfRule type="cellIs" dxfId="0" priority="63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E88D2-876D-4F0F-B1FF-4A1F968A60F4}">
  <dimension ref="A1:AU6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25" sqref="Y25"/>
    </sheetView>
  </sheetViews>
  <sheetFormatPr defaultRowHeight="15" x14ac:dyDescent="0.25"/>
  <cols>
    <col min="1" max="1" width="10.140625" customWidth="1"/>
    <col min="2" max="2" width="12.140625" style="1" customWidth="1"/>
    <col min="3" max="4" width="12.7109375" bestFit="1" customWidth="1"/>
    <col min="5" max="5" width="10.7109375" customWidth="1"/>
    <col min="6" max="6" width="3.85546875" customWidth="1"/>
    <col min="7" max="7" width="5.28515625" customWidth="1"/>
    <col min="8" max="8" width="13" bestFit="1" customWidth="1"/>
    <col min="9" max="9" width="3" customWidth="1"/>
    <col min="11" max="11" width="11.7109375" bestFit="1" customWidth="1"/>
    <col min="12" max="12" width="2.140625" customWidth="1"/>
    <col min="13" max="13" width="2.5703125" customWidth="1"/>
    <col min="14" max="14" width="3.5703125" customWidth="1"/>
    <col min="15" max="15" width="9.140625" style="3"/>
    <col min="16" max="16" width="12.7109375" bestFit="1" customWidth="1"/>
    <col min="17" max="17" width="9.140625" customWidth="1"/>
    <col min="19" max="19" width="10.5703125" customWidth="1"/>
    <col min="20" max="20" width="13" bestFit="1" customWidth="1"/>
    <col min="21" max="21" width="12" bestFit="1" customWidth="1"/>
    <col min="22" max="22" width="11" customWidth="1"/>
    <col min="23" max="23" width="13.5703125" bestFit="1" customWidth="1"/>
    <col min="25" max="25" width="12.7109375" bestFit="1" customWidth="1"/>
    <col min="27" max="27" width="12.7109375" bestFit="1" customWidth="1"/>
    <col min="31" max="31" width="10.5703125" customWidth="1"/>
    <col min="32" max="32" width="10.42578125" customWidth="1"/>
    <col min="33" max="33" width="10.28515625" customWidth="1"/>
    <col min="34" max="34" width="11.42578125" customWidth="1"/>
    <col min="35" max="35" width="14.7109375" customWidth="1"/>
    <col min="36" max="36" width="18.28515625" customWidth="1"/>
    <col min="37" max="37" width="10.7109375" customWidth="1"/>
    <col min="38" max="38" width="11.5703125" customWidth="1"/>
    <col min="41" max="41" width="14.42578125" customWidth="1"/>
  </cols>
  <sheetData>
    <row r="1" spans="1:47" x14ac:dyDescent="0.25">
      <c r="A1" t="s">
        <v>57</v>
      </c>
      <c r="E1" t="s">
        <v>51</v>
      </c>
      <c r="H1" t="s">
        <v>52</v>
      </c>
      <c r="J1" t="s">
        <v>39</v>
      </c>
      <c r="K1" t="s">
        <v>58</v>
      </c>
      <c r="L1" t="s">
        <v>14</v>
      </c>
      <c r="N1" t="s">
        <v>39</v>
      </c>
      <c r="O1" s="3" t="s">
        <v>48</v>
      </c>
      <c r="P1" t="s">
        <v>59</v>
      </c>
      <c r="Q1" t="s">
        <v>0</v>
      </c>
      <c r="R1" t="str">
        <f>N1</f>
        <v>l</v>
      </c>
      <c r="S1" t="s">
        <v>44</v>
      </c>
      <c r="T1" t="s">
        <v>43</v>
      </c>
      <c r="U1" t="s">
        <v>42</v>
      </c>
      <c r="V1" s="1"/>
    </row>
    <row r="2" spans="1:47" x14ac:dyDescent="0.25">
      <c r="A2" s="3">
        <f>J2</f>
        <v>0.1</v>
      </c>
      <c r="C2" s="1"/>
      <c r="D2" s="1"/>
      <c r="E2" s="1">
        <f>J2*1000*ly_m*U2</f>
        <v>4.7299999999999998E-3</v>
      </c>
      <c r="H2">
        <v>0</v>
      </c>
      <c r="J2">
        <v>0.1</v>
      </c>
      <c r="K2" s="1">
        <f>U2+du</f>
        <v>5.0000002199999997E-21</v>
      </c>
      <c r="L2" s="1">
        <f>X$9</f>
        <v>0</v>
      </c>
      <c r="N2">
        <f>J2</f>
        <v>0.1</v>
      </c>
      <c r="O2">
        <v>1</v>
      </c>
      <c r="P2" s="1">
        <f>2*PI()*SQRT(Kappa*c_ms^2/2)*SQRT(H2)*T2*c_kms</f>
        <v>0</v>
      </c>
      <c r="Q2">
        <v>0</v>
      </c>
      <c r="S2">
        <v>1</v>
      </c>
      <c r="T2" s="1">
        <f t="shared" ref="T2:T21" si="0">SQRT(U2/(X$9+U2))</f>
        <v>1</v>
      </c>
      <c r="U2" s="1">
        <v>4.9999999999999997E-21</v>
      </c>
      <c r="V2" s="1"/>
      <c r="W2" t="str">
        <f>'M101 &amp; fit parameters'!W2</f>
        <v>Msun</v>
      </c>
      <c r="X2">
        <f>'M101 &amp; fit parameters'!X2</f>
        <v>2E+30</v>
      </c>
      <c r="Y2" t="str">
        <f>'M101 &amp; fit parameters'!Y2</f>
        <v>kg</v>
      </c>
      <c r="AB2" s="1"/>
      <c r="AC2" s="4"/>
      <c r="AE2" s="1"/>
      <c r="AF2" s="1"/>
      <c r="AG2" s="1"/>
      <c r="AH2" s="4"/>
      <c r="AI2" s="4"/>
      <c r="AJ2" s="4"/>
      <c r="AK2" s="4"/>
      <c r="AL2" s="4"/>
      <c r="AM2" s="4"/>
      <c r="AN2" s="4"/>
      <c r="AO2" s="4"/>
      <c r="AP2" s="4"/>
      <c r="AQ2" s="4"/>
      <c r="AU2">
        <f>SUM(AH2:AS2)</f>
        <v>0</v>
      </c>
    </row>
    <row r="3" spans="1:47" x14ac:dyDescent="0.25">
      <c r="A3" s="3">
        <f t="shared" ref="A3:A21" si="1">J3</f>
        <v>5.0999999999999996</v>
      </c>
      <c r="C3" s="1"/>
      <c r="D3" s="1"/>
      <c r="E3" s="1">
        <f>J3*1000*ly_m*U3</f>
        <v>2.9415119706483358E-2</v>
      </c>
      <c r="H3" s="1">
        <f>H2+(J3-J2)*1000*ly_m*(E3+E2)/2</f>
        <v>8.0753208105833139E+17</v>
      </c>
      <c r="J3">
        <f>J2+5</f>
        <v>5.0999999999999996</v>
      </c>
      <c r="K3" s="1">
        <f>U3+du</f>
        <v>6.0969055093900761E-22</v>
      </c>
      <c r="L3" s="1">
        <f t="shared" ref="L3:L21" si="2">X$9</f>
        <v>0</v>
      </c>
      <c r="N3">
        <f>J3</f>
        <v>5.0999999999999996</v>
      </c>
      <c r="O3" s="1">
        <f>0.25*P2+0.5*P3+0.25*P4</f>
        <v>142.74029552445114</v>
      </c>
      <c r="P3" s="1">
        <f>2*PI()*SQRT(Kappa*c_ms^2/2)*SQRT(H3)*T3*c_kms</f>
        <v>163.75912931524095</v>
      </c>
      <c r="Q3">
        <v>166</v>
      </c>
      <c r="S3" s="1">
        <f>0.25*T2+0.5*T3+0.25*T4</f>
        <v>1</v>
      </c>
      <c r="T3" s="1">
        <f t="shared" si="0"/>
        <v>1</v>
      </c>
      <c r="U3" s="1">
        <f t="shared" ref="U2:U21" si="3">nf*EXP(-bf*J3^kf)+pf*EXP(-mf*J3^qf)</f>
        <v>6.0969033093900758E-22</v>
      </c>
      <c r="W3" t="str">
        <f>'M101 &amp; fit parameters'!W3</f>
        <v>MG</v>
      </c>
      <c r="X3">
        <f>'M101 &amp; fit parameters'!X3</f>
        <v>60000000000</v>
      </c>
      <c r="Y3" t="str">
        <f>'M101 &amp; fit parameters'!Y3</f>
        <v>Msun</v>
      </c>
      <c r="Z3" t="str">
        <f>'M101 &amp; fit parameters'!Z3</f>
        <v>bulge M81</v>
      </c>
      <c r="AA3">
        <f>'M101 &amp; fit parameters'!AA3</f>
        <v>10000000000</v>
      </c>
      <c r="AB3" s="1"/>
      <c r="AC3" s="4"/>
      <c r="AE3" s="1"/>
      <c r="AF3" s="1"/>
      <c r="AG3" s="1"/>
      <c r="AH3" s="4"/>
      <c r="AI3" s="4"/>
      <c r="AJ3" s="4"/>
      <c r="AK3" s="4"/>
      <c r="AL3" s="4"/>
      <c r="AM3" s="4"/>
      <c r="AN3" s="4"/>
      <c r="AO3" s="4"/>
      <c r="AP3" s="4"/>
      <c r="AQ3" s="4"/>
      <c r="AU3">
        <f t="shared" ref="AU3:AU21" si="4">SUM(AH3:AS3)</f>
        <v>0</v>
      </c>
    </row>
    <row r="4" spans="1:47" x14ac:dyDescent="0.25">
      <c r="A4" s="3">
        <f t="shared" si="1"/>
        <v>10.1</v>
      </c>
      <c r="C4" s="1"/>
      <c r="D4" s="1"/>
      <c r="E4" s="1">
        <f>J4*1000*ly_m*U4</f>
        <v>1.1898910436232651E-2</v>
      </c>
      <c r="H4" s="1">
        <f>H3+(J4-J3)*1000*ly_m*(E4+E3)/2</f>
        <v>1.7846088939335649E+18</v>
      </c>
      <c r="J4">
        <f t="shared" ref="J4:J21" si="5">J3+5</f>
        <v>10.1</v>
      </c>
      <c r="K4" s="1">
        <f>U4+du</f>
        <v>1.2453615490290174E-22</v>
      </c>
      <c r="L4" s="1">
        <f t="shared" si="2"/>
        <v>0</v>
      </c>
      <c r="N4">
        <f t="shared" ref="N4:N21" si="6">J4</f>
        <v>10.1</v>
      </c>
      <c r="O4" s="1">
        <f t="shared" ref="O4:O21" si="7">0.25*P3+0.5*P4+0.25*P5</f>
        <v>228.6221447058665</v>
      </c>
      <c r="P4" s="1">
        <f>2*PI()*SQRT(Kappa*c_ms^2/2)*SQRT(H4)*T4*c_kms</f>
        <v>243.44292346732266</v>
      </c>
      <c r="Q4">
        <v>223</v>
      </c>
      <c r="S4" s="1">
        <f t="shared" ref="S4:S21" si="8">0.25*T3+0.5*T4+0.25*T5</f>
        <v>1</v>
      </c>
      <c r="T4" s="1">
        <f t="shared" si="0"/>
        <v>1</v>
      </c>
      <c r="U4" s="1">
        <f t="shared" si="3"/>
        <v>1.2453593490290175E-22</v>
      </c>
      <c r="W4" t="str">
        <f>'M101 &amp; fit parameters'!W4</f>
        <v>MG</v>
      </c>
      <c r="X4">
        <f>'M101 &amp; fit parameters'!X4</f>
        <v>1.2000000000000001E+41</v>
      </c>
      <c r="Z4" t="str">
        <f>'M101 &amp; fit parameters'!Z4</f>
        <v>radius</v>
      </c>
      <c r="AA4">
        <f>'M101 &amp; fit parameters'!AA4</f>
        <v>9.7799999999999994</v>
      </c>
      <c r="AB4" s="1"/>
      <c r="AC4" s="4"/>
      <c r="AE4" s="1"/>
      <c r="AF4" s="1"/>
      <c r="AG4" s="1"/>
      <c r="AH4" s="4"/>
      <c r="AI4" s="4"/>
      <c r="AJ4" s="4"/>
      <c r="AK4" s="4"/>
      <c r="AL4" s="4"/>
      <c r="AM4" s="4"/>
      <c r="AN4" s="4"/>
      <c r="AO4" s="4"/>
      <c r="AP4" s="4"/>
      <c r="AQ4" s="4"/>
      <c r="AU4">
        <f t="shared" si="4"/>
        <v>0</v>
      </c>
    </row>
    <row r="5" spans="1:47" x14ac:dyDescent="0.25">
      <c r="A5" s="3">
        <f t="shared" si="1"/>
        <v>15.1</v>
      </c>
      <c r="C5" s="1"/>
      <c r="D5" s="1"/>
      <c r="E5" s="1">
        <f>J5*1000*ly_m*U5</f>
        <v>1.2780593563219045E-3</v>
      </c>
      <c r="H5" s="1">
        <f>H4+(J5-J4)*1000*ly_m*(E5+E4)/2</f>
        <v>2.0962442295274801E+18</v>
      </c>
      <c r="J5">
        <f t="shared" si="5"/>
        <v>15.1</v>
      </c>
      <c r="K5" s="1">
        <f>U5+du</f>
        <v>8.9473333690961202E-24</v>
      </c>
      <c r="L5" s="1">
        <f t="shared" si="2"/>
        <v>0</v>
      </c>
      <c r="N5">
        <f t="shared" si="6"/>
        <v>15.1</v>
      </c>
      <c r="O5" s="1">
        <f t="shared" si="7"/>
        <v>259.23320025915672</v>
      </c>
      <c r="P5" s="1">
        <f>2*PI()*SQRT(Kappa*c_ms^2/2)*SQRT(H5)*T5*c_kms</f>
        <v>263.84360257357974</v>
      </c>
      <c r="Q5">
        <v>255</v>
      </c>
      <c r="S5" s="1">
        <f t="shared" si="8"/>
        <v>1</v>
      </c>
      <c r="T5" s="1">
        <f t="shared" si="0"/>
        <v>1</v>
      </c>
      <c r="U5" s="1">
        <f t="shared" si="3"/>
        <v>8.9471133690961205E-24</v>
      </c>
      <c r="AB5" s="1"/>
      <c r="AC5" s="4"/>
      <c r="AE5" s="1"/>
      <c r="AF5" s="1"/>
      <c r="AG5" s="1"/>
      <c r="AH5" s="4"/>
      <c r="AI5" s="4"/>
      <c r="AJ5" s="4"/>
      <c r="AK5" s="4"/>
      <c r="AL5" s="4"/>
      <c r="AM5" s="4"/>
      <c r="AN5" s="4"/>
      <c r="AO5" s="4"/>
      <c r="AP5" s="4"/>
      <c r="AQ5" s="4"/>
      <c r="AU5">
        <f t="shared" si="4"/>
        <v>0</v>
      </c>
    </row>
    <row r="6" spans="1:47" x14ac:dyDescent="0.25">
      <c r="A6" s="3">
        <f t="shared" si="1"/>
        <v>20.100000000000001</v>
      </c>
      <c r="C6" s="1"/>
      <c r="D6" s="1"/>
      <c r="E6" s="1">
        <f>J6*1000*ly_m*U6</f>
        <v>4.3094635400296029E-5</v>
      </c>
      <c r="H6" s="1">
        <f>H5+(J6-J5)*1000*ly_m*(E6+E5)/2</f>
        <v>2.1274895214317102E+18</v>
      </c>
      <c r="J6">
        <f t="shared" si="5"/>
        <v>20.100000000000001</v>
      </c>
      <c r="K6" s="1">
        <f>U6+du</f>
        <v>2.2685971579889155E-25</v>
      </c>
      <c r="L6" s="1">
        <f t="shared" si="2"/>
        <v>0</v>
      </c>
      <c r="N6">
        <f t="shared" si="6"/>
        <v>20.100000000000001</v>
      </c>
      <c r="O6" s="1">
        <f t="shared" si="7"/>
        <v>265.32904049982534</v>
      </c>
      <c r="P6" s="1">
        <f>2*PI()*SQRT(Kappa*c_ms^2/2)*SQRT(H6)*T6*c_kms</f>
        <v>265.80267242214478</v>
      </c>
      <c r="Q6">
        <v>260</v>
      </c>
      <c r="S6" s="1">
        <f t="shared" si="8"/>
        <v>1</v>
      </c>
      <c r="T6" s="1">
        <f t="shared" si="0"/>
        <v>1</v>
      </c>
      <c r="U6" s="1">
        <f t="shared" si="3"/>
        <v>2.2663971579889154E-25</v>
      </c>
      <c r="W6" t="str">
        <f>'M101 &amp; fit parameters'!W6</f>
        <v>G &lt;density&gt;</v>
      </c>
      <c r="X6">
        <f>'M101 &amp; fit parameters'!X6</f>
        <v>1.527932516313863E+36</v>
      </c>
      <c r="Y6" t="str">
        <f>'M101 &amp; fit parameters'!Y6</f>
        <v>kg/kly</v>
      </c>
      <c r="Z6" t="str">
        <f>'M101 &amp; fit parameters'!Z6</f>
        <v>bulge dens</v>
      </c>
      <c r="AA6" s="1">
        <f>'M101 &amp; fit parameters'!AA6</f>
        <v>6.0290850841290003E-21</v>
      </c>
      <c r="AB6" s="1"/>
      <c r="AC6" s="4"/>
      <c r="AE6" s="1"/>
      <c r="AF6" s="1"/>
      <c r="AG6" s="1"/>
      <c r="AH6" s="4"/>
      <c r="AI6" s="4"/>
      <c r="AJ6" s="4"/>
      <c r="AK6" s="4"/>
      <c r="AL6" s="4"/>
      <c r="AM6" s="4"/>
      <c r="AN6" s="4"/>
      <c r="AO6" s="4"/>
      <c r="AP6" s="4"/>
      <c r="AQ6" s="4"/>
      <c r="AU6">
        <f t="shared" si="4"/>
        <v>0</v>
      </c>
    </row>
    <row r="7" spans="1:47" x14ac:dyDescent="0.25">
      <c r="A7" s="3">
        <f t="shared" si="1"/>
        <v>25.1</v>
      </c>
      <c r="C7" s="1"/>
      <c r="D7" s="1"/>
      <c r="E7" s="1">
        <f>J7*1000*ly_m*U7</f>
        <v>5.9748809424452645E-7</v>
      </c>
      <c r="H7" s="1">
        <f>H6+(J7-J6)*1000*ly_m*(E7+E6)/2</f>
        <v>2.1285228401523561E+18</v>
      </c>
      <c r="J7">
        <f t="shared" si="5"/>
        <v>25.1</v>
      </c>
      <c r="K7" s="1">
        <f>U7+du</f>
        <v>2.7363114739541892E-27</v>
      </c>
      <c r="L7" s="1">
        <f t="shared" si="2"/>
        <v>0</v>
      </c>
      <c r="N7">
        <f t="shared" si="6"/>
        <v>25.1</v>
      </c>
      <c r="O7" s="1">
        <f t="shared" si="7"/>
        <v>265.85134546822718</v>
      </c>
      <c r="P7" s="1">
        <f>2*PI()*SQRT(Kappa*c_ms^2/2)*SQRT(H7)*T7*c_kms</f>
        <v>265.86721458143217</v>
      </c>
      <c r="Q7">
        <v>253</v>
      </c>
      <c r="S7" s="1">
        <f t="shared" si="8"/>
        <v>1</v>
      </c>
      <c r="T7" s="1">
        <f t="shared" si="0"/>
        <v>1</v>
      </c>
      <c r="U7" s="1">
        <f t="shared" si="3"/>
        <v>2.5163114739541892E-27</v>
      </c>
      <c r="X7">
        <f>'M101 &amp; fit parameters'!X7</f>
        <v>1.8048069891415169E-21</v>
      </c>
      <c r="Y7" t="str">
        <f>'M101 &amp; fit parameters'!Y7</f>
        <v>kg/m3</v>
      </c>
      <c r="AB7" s="1"/>
      <c r="AC7" s="4"/>
      <c r="AE7" s="1"/>
      <c r="AF7" s="1"/>
      <c r="AG7" s="1"/>
      <c r="AH7" s="4"/>
      <c r="AI7" s="4"/>
      <c r="AJ7" s="4"/>
      <c r="AK7" s="4"/>
      <c r="AL7" s="4"/>
      <c r="AM7" s="4"/>
      <c r="AN7" s="4"/>
      <c r="AO7" s="4"/>
      <c r="AP7" s="4"/>
      <c r="AQ7" s="4"/>
      <c r="AU7">
        <f t="shared" si="4"/>
        <v>0</v>
      </c>
    </row>
    <row r="8" spans="1:47" x14ac:dyDescent="0.25">
      <c r="A8" s="3">
        <f t="shared" si="1"/>
        <v>30.1</v>
      </c>
      <c r="C8" s="1"/>
      <c r="D8" s="1"/>
      <c r="E8" s="1">
        <f>J8*1000*ly_m*U8</f>
        <v>1.2403602192563994E-7</v>
      </c>
      <c r="H8" s="1">
        <f>H7+(J8-J7)*1000*ly_m*(E8+E7)/2</f>
        <v>2.1285399041977034E+18</v>
      </c>
      <c r="J8">
        <f t="shared" si="5"/>
        <v>30.1</v>
      </c>
      <c r="K8" s="1">
        <f>U8+du</f>
        <v>6.5560233304643411E-28</v>
      </c>
      <c r="L8" s="1">
        <f t="shared" si="2"/>
        <v>0</v>
      </c>
      <c r="N8">
        <f t="shared" si="6"/>
        <v>30.1</v>
      </c>
      <c r="O8" s="1">
        <f t="shared" si="7"/>
        <v>265.86810437498832</v>
      </c>
      <c r="P8" s="1">
        <f>2*PI()*SQRT(Kappa*c_ms^2/2)*SQRT(H8)*T8*c_kms</f>
        <v>265.86828028789955</v>
      </c>
      <c r="Q8">
        <v>237</v>
      </c>
      <c r="S8" s="1">
        <f t="shared" si="8"/>
        <v>1</v>
      </c>
      <c r="T8" s="1">
        <f t="shared" si="0"/>
        <v>1</v>
      </c>
      <c r="U8" s="1">
        <f t="shared" si="3"/>
        <v>4.3560233304643416E-28</v>
      </c>
      <c r="AB8" s="1"/>
      <c r="AC8" s="4"/>
      <c r="AE8" s="1"/>
      <c r="AF8" s="1"/>
      <c r="AG8" s="1"/>
      <c r="AH8" s="4"/>
      <c r="AI8" s="4"/>
      <c r="AJ8" s="4"/>
      <c r="AK8" s="4"/>
      <c r="AL8" s="4"/>
      <c r="AM8" s="4"/>
      <c r="AN8" s="4"/>
      <c r="AO8" s="4"/>
      <c r="AP8" s="4"/>
      <c r="AQ8" s="4"/>
      <c r="AU8">
        <f t="shared" si="4"/>
        <v>0</v>
      </c>
    </row>
    <row r="9" spans="1:47" x14ac:dyDescent="0.25">
      <c r="A9" s="3">
        <f t="shared" si="1"/>
        <v>35.1</v>
      </c>
      <c r="C9" s="1"/>
      <c r="D9" s="1"/>
      <c r="E9" s="1">
        <f>J9*1000*ly_m*U9</f>
        <v>1.2108962505869115E-7</v>
      </c>
      <c r="H9" s="1">
        <f>H8+(J9-J8)*1000*ly_m*(E9+E8)/2</f>
        <v>2.1285457014192545E+18</v>
      </c>
      <c r="J9">
        <f t="shared" si="5"/>
        <v>35.1</v>
      </c>
      <c r="K9" s="1">
        <f>U9+du</f>
        <v>5.8467725874936346E-28</v>
      </c>
      <c r="L9" s="1">
        <f t="shared" si="2"/>
        <v>0</v>
      </c>
      <c r="N9">
        <f t="shared" si="6"/>
        <v>35.1</v>
      </c>
      <c r="O9" s="1">
        <f t="shared" si="7"/>
        <v>265.86864009743789</v>
      </c>
      <c r="P9" s="1">
        <f>2*PI()*SQRT(Kappa*c_ms^2/2)*SQRT(H9)*T9*c_kms</f>
        <v>265.86864234272213</v>
      </c>
      <c r="Q9">
        <v>220</v>
      </c>
      <c r="S9" s="1">
        <f t="shared" si="8"/>
        <v>1</v>
      </c>
      <c r="T9" s="1">
        <f t="shared" si="0"/>
        <v>1</v>
      </c>
      <c r="U9" s="1">
        <f t="shared" si="3"/>
        <v>3.6467725874936347E-28</v>
      </c>
      <c r="W9" t="str">
        <f>'M101 &amp; fit parameters'!W9</f>
        <v>U &lt;density&gt;</v>
      </c>
      <c r="X9">
        <v>0</v>
      </c>
      <c r="Y9" t="str">
        <f>'M101 &amp; fit parameters'!Y9</f>
        <v>kg/m3</v>
      </c>
      <c r="Z9" t="str">
        <f>'M101 &amp; fit parameters'!Z9</f>
        <v>1ly</v>
      </c>
      <c r="AA9">
        <f>'M101 &amp; fit parameters'!AA9</f>
        <v>9460000000000000</v>
      </c>
      <c r="AB9" s="1"/>
      <c r="AC9" s="4"/>
      <c r="AE9" s="1"/>
      <c r="AF9" s="1"/>
      <c r="AG9" s="1"/>
      <c r="AH9" s="4"/>
      <c r="AI9" s="4"/>
      <c r="AJ9" s="4"/>
      <c r="AK9" s="4"/>
      <c r="AL9" s="4"/>
      <c r="AM9" s="4"/>
      <c r="AN9" s="4"/>
      <c r="AO9" s="4"/>
      <c r="AP9" s="4"/>
      <c r="AQ9" s="4"/>
      <c r="AU9">
        <f t="shared" si="4"/>
        <v>0</v>
      </c>
    </row>
    <row r="10" spans="1:47" x14ac:dyDescent="0.25">
      <c r="A10" s="3">
        <f t="shared" si="1"/>
        <v>40.1</v>
      </c>
      <c r="C10" s="1"/>
      <c r="D10" s="1"/>
      <c r="E10" s="1">
        <f>J10*1000*ly_m*U10</f>
        <v>1.1795575318697136E-7</v>
      </c>
      <c r="H10" s="1">
        <f>H9+(J10-J9)*1000*ly_m*(E10+E9)/2</f>
        <v>2.1285513548424499E+18</v>
      </c>
      <c r="J10">
        <f t="shared" si="5"/>
        <v>40.1</v>
      </c>
      <c r="K10" s="1">
        <f>U10+du</f>
        <v>5.3094502956923585E-28</v>
      </c>
      <c r="L10" s="1">
        <f t="shared" si="2"/>
        <v>0</v>
      </c>
      <c r="N10">
        <f t="shared" si="6"/>
        <v>40.1</v>
      </c>
      <c r="O10" s="1">
        <f t="shared" si="7"/>
        <v>265.8689926105269</v>
      </c>
      <c r="P10" s="1">
        <f>2*PI()*SQRT(Kappa*c_ms^2/2)*SQRT(H10)*T10*c_kms</f>
        <v>265.86899541640776</v>
      </c>
      <c r="Q10">
        <v>210</v>
      </c>
      <c r="S10" s="1">
        <f t="shared" si="8"/>
        <v>1</v>
      </c>
      <c r="T10" s="1">
        <f t="shared" si="0"/>
        <v>1</v>
      </c>
      <c r="U10" s="1">
        <f t="shared" si="3"/>
        <v>3.1094502956923589E-28</v>
      </c>
      <c r="AE10" s="1"/>
      <c r="AF10" s="1"/>
      <c r="AG10" s="1"/>
      <c r="AH10" s="4"/>
      <c r="AI10" s="4"/>
      <c r="AJ10" s="4"/>
      <c r="AK10" s="4"/>
      <c r="AL10" s="4"/>
      <c r="AM10" s="4"/>
      <c r="AN10" s="4"/>
      <c r="AO10" s="4"/>
      <c r="AP10" s="4"/>
      <c r="AQ10" s="4"/>
      <c r="AU10">
        <f t="shared" si="4"/>
        <v>0</v>
      </c>
    </row>
    <row r="11" spans="1:47" x14ac:dyDescent="0.25">
      <c r="A11" s="3">
        <f t="shared" si="1"/>
        <v>45.1</v>
      </c>
      <c r="C11" s="1"/>
      <c r="D11" s="1"/>
      <c r="E11" s="1">
        <f>J11*1000*ly_m*U11</f>
        <v>1.1349114145906284E-7</v>
      </c>
      <c r="H11" s="1">
        <f>H10+(J11-J10)*1000*ly_m*(E11+E10)/2</f>
        <v>2.1285568285615084E+18</v>
      </c>
      <c r="J11">
        <f t="shared" si="5"/>
        <v>45.1</v>
      </c>
      <c r="K11" s="1">
        <f>U11+du</f>
        <v>4.8600774754495023E-28</v>
      </c>
      <c r="L11" s="1">
        <f t="shared" si="2"/>
        <v>0</v>
      </c>
      <c r="N11">
        <f t="shared" si="6"/>
        <v>45.1</v>
      </c>
      <c r="O11" s="1">
        <f t="shared" si="7"/>
        <v>265.86933365035668</v>
      </c>
      <c r="P11" s="1">
        <f>2*PI()*SQRT(Kappa*c_ms^2/2)*SQRT(H11)*T11*c_kms</f>
        <v>265.86933726656991</v>
      </c>
      <c r="Q11">
        <v>198</v>
      </c>
      <c r="S11" s="1">
        <f t="shared" si="8"/>
        <v>1</v>
      </c>
      <c r="T11" s="1">
        <f t="shared" si="0"/>
        <v>1</v>
      </c>
      <c r="U11" s="1">
        <f t="shared" si="3"/>
        <v>2.6600774754495023E-28</v>
      </c>
      <c r="AE11" s="1"/>
      <c r="AF11" s="1"/>
      <c r="AG11" s="1"/>
      <c r="AH11" s="4"/>
      <c r="AI11" s="4"/>
      <c r="AJ11" s="4"/>
      <c r="AK11" s="4"/>
      <c r="AL11" s="4"/>
      <c r="AM11" s="4"/>
      <c r="AN11" s="4"/>
      <c r="AO11" s="4"/>
      <c r="AP11" s="4"/>
      <c r="AQ11" s="4"/>
      <c r="AU11">
        <f t="shared" si="4"/>
        <v>0</v>
      </c>
    </row>
    <row r="12" spans="1:47" x14ac:dyDescent="0.25">
      <c r="A12" s="3">
        <f t="shared" si="1"/>
        <v>50.1</v>
      </c>
      <c r="C12" s="1"/>
      <c r="D12" s="1"/>
      <c r="E12" s="1">
        <f>J12*1000*ly_m*U12</f>
        <v>1.0816272012229483E-7</v>
      </c>
      <c r="H12" s="1">
        <f>H11+(J12-J11)*1000*ly_m*(E12+E11)/2</f>
        <v>2.1285620706753347E+18</v>
      </c>
      <c r="J12">
        <f t="shared" si="5"/>
        <v>50.1</v>
      </c>
      <c r="K12" s="1">
        <f>U12+du</f>
        <v>4.4821739211280367E-28</v>
      </c>
      <c r="L12" s="1">
        <f t="shared" si="2"/>
        <v>0</v>
      </c>
      <c r="N12">
        <f t="shared" si="6"/>
        <v>50.1</v>
      </c>
      <c r="O12" s="1">
        <f t="shared" si="7"/>
        <v>265.8696605255094</v>
      </c>
      <c r="P12" s="1">
        <f>2*PI()*SQRT(Kappa*c_ms^2/2)*SQRT(H12)*T12*c_kms</f>
        <v>265.86966465187908</v>
      </c>
      <c r="Q12">
        <v>187</v>
      </c>
      <c r="S12" s="1">
        <f t="shared" si="8"/>
        <v>1</v>
      </c>
      <c r="T12" s="1">
        <f t="shared" si="0"/>
        <v>1</v>
      </c>
      <c r="U12" s="1">
        <f t="shared" si="3"/>
        <v>2.2821739211280363E-28</v>
      </c>
      <c r="AE12" s="1"/>
      <c r="AF12" s="1"/>
      <c r="AG12" s="1"/>
      <c r="AH12" s="4"/>
      <c r="AI12" s="4"/>
      <c r="AJ12" s="4"/>
      <c r="AK12" s="4"/>
      <c r="AL12" s="4"/>
      <c r="AM12" s="4"/>
      <c r="AN12" s="4"/>
      <c r="AO12" s="4"/>
      <c r="AP12" s="4"/>
      <c r="AQ12" s="4"/>
      <c r="AU12">
        <f t="shared" si="4"/>
        <v>0</v>
      </c>
    </row>
    <row r="13" spans="1:47" x14ac:dyDescent="0.25">
      <c r="A13" s="3">
        <f t="shared" si="1"/>
        <v>55.1</v>
      </c>
      <c r="C13" s="1"/>
      <c r="D13" s="1"/>
      <c r="E13" s="1">
        <f>J13*1000*ly_m*U13</f>
        <v>1.0231647883992833E-7</v>
      </c>
      <c r="H13" s="1">
        <f>H12+(J13-J12)*1000*ly_m*(E13+E12)/2</f>
        <v>2.1285670485083901E+18</v>
      </c>
      <c r="J13">
        <f t="shared" si="5"/>
        <v>55.1</v>
      </c>
      <c r="K13" s="1">
        <f>U13+du</f>
        <v>4.1629211320552741E-28</v>
      </c>
      <c r="L13" s="1">
        <f t="shared" si="2"/>
        <v>0</v>
      </c>
      <c r="N13">
        <f t="shared" si="6"/>
        <v>55.1</v>
      </c>
      <c r="O13" s="1">
        <f t="shared" si="7"/>
        <v>265.86997111692153</v>
      </c>
      <c r="P13" s="1">
        <f>2*PI()*SQRT(Kappa*c_ms^2/2)*SQRT(H13)*T13*c_kms</f>
        <v>265.86997553170954</v>
      </c>
      <c r="Q13">
        <v>178</v>
      </c>
      <c r="S13" s="1">
        <f t="shared" si="8"/>
        <v>1</v>
      </c>
      <c r="T13" s="1">
        <f t="shared" si="0"/>
        <v>1</v>
      </c>
      <c r="U13" s="1">
        <f t="shared" si="3"/>
        <v>1.9629211320552739E-28</v>
      </c>
      <c r="W13" t="str">
        <f>'M101 &amp; fit parameters'!W13</f>
        <v>c_kms</v>
      </c>
      <c r="X13">
        <f>'M101 &amp; fit parameters'!X13</f>
        <v>300000</v>
      </c>
      <c r="Y13" t="str">
        <f>'M101 &amp; fit parameters'!Y13</f>
        <v>km/s</v>
      </c>
      <c r="Z13" t="str">
        <f>'M101 &amp; fit parameters'!Z13</f>
        <v>Kuc2</v>
      </c>
      <c r="AA13" s="1">
        <f>'M101 &amp; fit parameters'!AA13</f>
        <v>4.1124599999999997E-54</v>
      </c>
      <c r="AE13" s="1"/>
      <c r="AF13" s="1"/>
      <c r="AG13" s="1"/>
      <c r="AH13" s="4"/>
      <c r="AI13" s="4"/>
      <c r="AJ13" s="4"/>
      <c r="AK13" s="4"/>
      <c r="AL13" s="4"/>
      <c r="AM13" s="4"/>
      <c r="AN13" s="4"/>
      <c r="AO13" s="4"/>
      <c r="AP13" s="4"/>
      <c r="AQ13" s="4"/>
      <c r="AU13">
        <f t="shared" si="4"/>
        <v>0</v>
      </c>
    </row>
    <row r="14" spans="1:47" x14ac:dyDescent="0.25">
      <c r="A14" s="3">
        <f t="shared" si="1"/>
        <v>60.1</v>
      </c>
      <c r="C14" s="1"/>
      <c r="D14" s="1"/>
      <c r="E14" s="1">
        <f>J14*1000*ly_m*U14</f>
        <v>9.6206929910555855E-8</v>
      </c>
      <c r="H14" s="1">
        <f>H13+(J14-J13)*1000*ly_m*(E14+E13)/2</f>
        <v>2.128571743587007E+18</v>
      </c>
      <c r="J14">
        <f t="shared" si="5"/>
        <v>60.1</v>
      </c>
      <c r="K14" s="1">
        <f>U14+du</f>
        <v>3.8921573612435205E-28</v>
      </c>
      <c r="L14" s="1">
        <f t="shared" si="2"/>
        <v>0</v>
      </c>
      <c r="N14">
        <f t="shared" si="6"/>
        <v>60.1</v>
      </c>
      <c r="O14" s="1">
        <f t="shared" si="7"/>
        <v>265.87026421185249</v>
      </c>
      <c r="P14" s="1">
        <f>2*PI()*SQRT(Kappa*c_ms^2/2)*SQRT(H14)*T14*c_kms</f>
        <v>265.87026875238809</v>
      </c>
      <c r="Q14">
        <v>168</v>
      </c>
      <c r="S14" s="1">
        <f t="shared" si="8"/>
        <v>1</v>
      </c>
      <c r="T14" s="1">
        <f t="shared" si="0"/>
        <v>1</v>
      </c>
      <c r="U14" s="1">
        <f t="shared" si="3"/>
        <v>1.6921573612435203E-28</v>
      </c>
      <c r="W14" t="str">
        <f>'M101 &amp; fit parameters'!W14</f>
        <v>c_ms</v>
      </c>
      <c r="X14">
        <f>'M101 &amp; fit parameters'!X14</f>
        <v>300000000</v>
      </c>
      <c r="Y14" t="str">
        <f>'M101 &amp; fit parameters'!Y14</f>
        <v>m/s</v>
      </c>
      <c r="AE14" s="1"/>
      <c r="AF14" s="1"/>
      <c r="AG14" s="1"/>
      <c r="AH14" s="4"/>
      <c r="AI14" s="4"/>
      <c r="AJ14" s="4"/>
      <c r="AK14" s="4"/>
      <c r="AL14" s="4"/>
      <c r="AM14" s="4"/>
      <c r="AN14" s="4"/>
      <c r="AO14" s="4"/>
      <c r="AP14" s="4"/>
      <c r="AQ14" s="4"/>
      <c r="AU14">
        <f t="shared" si="4"/>
        <v>0</v>
      </c>
    </row>
    <row r="15" spans="1:47" x14ac:dyDescent="0.25">
      <c r="A15" s="3">
        <f t="shared" si="1"/>
        <v>65.099999999999994</v>
      </c>
      <c r="C15" s="1"/>
      <c r="D15" s="1"/>
      <c r="E15" s="1">
        <f>J15*1000*ly_m*U15</f>
        <v>9.0020101649424241E-8</v>
      </c>
      <c r="H15" s="1">
        <f>H14+(J15-J14)*1000*ly_m*(E15+E14)/2</f>
        <v>2.1285761478563034E+18</v>
      </c>
      <c r="J15">
        <f t="shared" si="5"/>
        <v>65.099999999999994</v>
      </c>
      <c r="K15" s="1">
        <f>U15+du</f>
        <v>3.6617307191964268E-28</v>
      </c>
      <c r="L15" s="1">
        <f t="shared" si="2"/>
        <v>0</v>
      </c>
      <c r="N15">
        <f t="shared" si="6"/>
        <v>65.099999999999994</v>
      </c>
      <c r="O15" s="1">
        <f t="shared" si="7"/>
        <v>265.87053926298483</v>
      </c>
      <c r="P15" s="1">
        <f>2*PI()*SQRT(Kappa*c_ms^2/2)*SQRT(H15)*T15*c_kms</f>
        <v>265.87054381092423</v>
      </c>
      <c r="Q15">
        <v>160</v>
      </c>
      <c r="S15" s="1">
        <f t="shared" si="8"/>
        <v>1</v>
      </c>
      <c r="T15" s="1">
        <f t="shared" si="0"/>
        <v>1</v>
      </c>
      <c r="U15" s="1">
        <f t="shared" si="3"/>
        <v>1.4617307191964266E-28</v>
      </c>
      <c r="W15" t="str">
        <f>'M101 &amp; fit parameters'!W15</f>
        <v>K</v>
      </c>
      <c r="X15">
        <f>'M101 &amp; fit parameters'!X15</f>
        <v>2.0769999999999998E-43</v>
      </c>
      <c r="Y15" t="str">
        <f>'M101 &amp; fit parameters'!Y15</f>
        <v>N-1</v>
      </c>
      <c r="AE15" s="1"/>
      <c r="AF15" s="1"/>
      <c r="AG15" s="1"/>
      <c r="AH15" s="4"/>
      <c r="AI15" s="4"/>
      <c r="AJ15" s="4"/>
      <c r="AK15" s="4"/>
      <c r="AL15" s="4"/>
      <c r="AM15" s="4"/>
      <c r="AN15" s="4"/>
      <c r="AO15" s="4"/>
      <c r="AP15" s="4"/>
      <c r="AQ15" s="4"/>
      <c r="AU15">
        <f t="shared" si="4"/>
        <v>0</v>
      </c>
    </row>
    <row r="16" spans="1:47" x14ac:dyDescent="0.25">
      <c r="A16" s="3">
        <f t="shared" si="1"/>
        <v>70.099999999999994</v>
      </c>
      <c r="C16" s="1"/>
      <c r="D16" s="1"/>
      <c r="E16" s="1">
        <f>J16*1000*ly_m*U16</f>
        <v>8.3890463752633803E-8</v>
      </c>
      <c r="H16" s="1">
        <f>H15+(J16-J15)*1000*ly_m*(E16+E15)/2</f>
        <v>2.128580260841175E+18</v>
      </c>
      <c r="J16">
        <f t="shared" si="5"/>
        <v>70.099999999999994</v>
      </c>
      <c r="K16" s="1">
        <f>U16+du</f>
        <v>3.4650376199605189E-28</v>
      </c>
      <c r="L16" s="1">
        <f t="shared" si="2"/>
        <v>0</v>
      </c>
      <c r="N16">
        <f t="shared" si="6"/>
        <v>70.099999999999994</v>
      </c>
      <c r="O16" s="1">
        <f t="shared" si="7"/>
        <v>265.87079620728468</v>
      </c>
      <c r="P16" s="1">
        <f>2*PI()*SQRT(Kappa*c_ms^2/2)*SQRT(H16)*T16*c_kms</f>
        <v>265.8708006777029</v>
      </c>
      <c r="Q16">
        <v>153</v>
      </c>
      <c r="S16" s="1">
        <f t="shared" si="8"/>
        <v>1</v>
      </c>
      <c r="T16" s="1">
        <f t="shared" si="0"/>
        <v>1</v>
      </c>
      <c r="U16" s="1">
        <f t="shared" si="3"/>
        <v>1.2650376199605187E-28</v>
      </c>
      <c r="AE16" s="1"/>
      <c r="AF16" s="1"/>
      <c r="AG16" s="1"/>
      <c r="AH16" s="4"/>
      <c r="AI16" s="4"/>
      <c r="AJ16" s="4"/>
      <c r="AK16" s="4"/>
      <c r="AL16" s="4"/>
      <c r="AM16" s="4"/>
      <c r="AN16" s="4"/>
      <c r="AO16" s="4"/>
      <c r="AP16" s="4"/>
      <c r="AQ16" s="4"/>
      <c r="AU16">
        <f t="shared" si="4"/>
        <v>0</v>
      </c>
    </row>
    <row r="17" spans="1:47" x14ac:dyDescent="0.25">
      <c r="A17" s="3">
        <f t="shared" si="1"/>
        <v>75.099999999999994</v>
      </c>
      <c r="C17" s="1"/>
      <c r="D17" s="1"/>
      <c r="E17" s="1">
        <f>J17*1000*ly_m*U17</f>
        <v>7.7913541570514166E-8</v>
      </c>
      <c r="H17" s="1">
        <f>H16+(J17-J16)*1000*ly_m*(E17+E16)/2</f>
        <v>2.1285840875059011E+18</v>
      </c>
      <c r="J17">
        <f t="shared" si="5"/>
        <v>75.099999999999994</v>
      </c>
      <c r="K17" s="1">
        <f>U17+du</f>
        <v>3.2966849214509501E-28</v>
      </c>
      <c r="L17" s="1">
        <f t="shared" si="2"/>
        <v>0</v>
      </c>
      <c r="N17">
        <f t="shared" si="6"/>
        <v>75.099999999999994</v>
      </c>
      <c r="O17" s="1">
        <f t="shared" si="7"/>
        <v>265.87103532958076</v>
      </c>
      <c r="P17" s="1">
        <f>2*PI()*SQRT(Kappa*c_ms^2/2)*SQRT(H17)*T17*c_kms</f>
        <v>265.87103966280858</v>
      </c>
      <c r="Q17">
        <v>150</v>
      </c>
      <c r="S17" s="1">
        <f t="shared" si="8"/>
        <v>1</v>
      </c>
      <c r="T17" s="1">
        <f t="shared" si="0"/>
        <v>1</v>
      </c>
      <c r="U17" s="1">
        <f t="shared" si="3"/>
        <v>1.0966849214509499E-28</v>
      </c>
      <c r="AE17" s="1"/>
      <c r="AF17" s="1"/>
      <c r="AG17" s="1"/>
      <c r="AH17" s="4"/>
      <c r="AI17" s="4"/>
      <c r="AJ17" s="4"/>
      <c r="AK17" s="4"/>
      <c r="AL17" s="4"/>
      <c r="AM17" s="4"/>
      <c r="AN17" s="4"/>
      <c r="AO17" s="4"/>
      <c r="AP17" s="4"/>
      <c r="AQ17" s="4"/>
      <c r="AU17">
        <f t="shared" si="4"/>
        <v>0</v>
      </c>
    </row>
    <row r="18" spans="1:47" x14ac:dyDescent="0.25">
      <c r="A18" s="3">
        <f t="shared" si="1"/>
        <v>80.099999999999994</v>
      </c>
      <c r="C18" s="1"/>
      <c r="D18" s="1"/>
      <c r="E18" s="1">
        <f>J18*1000*ly_m*U18</f>
        <v>7.2155408502489773E-8</v>
      </c>
      <c r="H18" s="1">
        <f>H17+(J18-J17)*1000*ly_m*(E18+E17)/2</f>
        <v>2.1285876366365704E+18</v>
      </c>
      <c r="J18">
        <f t="shared" si="5"/>
        <v>80.099999999999994</v>
      </c>
      <c r="K18" s="1">
        <f>U18+du</f>
        <v>3.1522374054431138E-28</v>
      </c>
      <c r="L18" s="1">
        <f t="shared" si="2"/>
        <v>0</v>
      </c>
      <c r="N18">
        <f t="shared" si="6"/>
        <v>80.099999999999994</v>
      </c>
      <c r="O18" s="1">
        <f t="shared" si="7"/>
        <v>265.87125715954153</v>
      </c>
      <c r="P18" s="1">
        <f>2*PI()*SQRT(Kappa*c_ms^2/2)*SQRT(H18)*T18*c_kms</f>
        <v>265.87126131500298</v>
      </c>
      <c r="Q18">
        <v>147</v>
      </c>
      <c r="S18" s="1">
        <f t="shared" si="8"/>
        <v>1</v>
      </c>
      <c r="T18" s="1">
        <f t="shared" si="0"/>
        <v>1</v>
      </c>
      <c r="U18" s="1">
        <f t="shared" si="3"/>
        <v>9.5223740544311399E-29</v>
      </c>
      <c r="W18" t="str">
        <f>'M101 &amp; fit parameters'!W18</f>
        <v>min dens</v>
      </c>
      <c r="X18">
        <f>'M101 &amp; fit parameters'!X18</f>
        <v>1.8873472688731335E-27</v>
      </c>
      <c r="AE18" s="1"/>
      <c r="AF18" s="1"/>
      <c r="AG18" s="1"/>
      <c r="AH18" s="4"/>
      <c r="AI18" s="4"/>
      <c r="AJ18" s="4"/>
      <c r="AK18" s="4"/>
      <c r="AL18" s="4"/>
      <c r="AM18" s="4"/>
      <c r="AN18" s="4"/>
      <c r="AO18" s="4"/>
      <c r="AP18" s="4"/>
      <c r="AQ18" s="4"/>
      <c r="AU18">
        <f t="shared" si="4"/>
        <v>0</v>
      </c>
    </row>
    <row r="19" spans="1:47" x14ac:dyDescent="0.25">
      <c r="A19" s="3">
        <f t="shared" si="1"/>
        <v>85.1</v>
      </c>
      <c r="C19" s="1"/>
      <c r="D19" s="1"/>
      <c r="E19" s="1">
        <f>J19*1000*ly_m*U19</f>
        <v>6.6659882509078658E-8</v>
      </c>
      <c r="H19" s="1">
        <f>H18+(J19-J18)*1000*ly_m*(E19+E18)/2</f>
        <v>2.1285909196182029E+18</v>
      </c>
      <c r="J19">
        <f t="shared" si="5"/>
        <v>85.1</v>
      </c>
      <c r="K19" s="1">
        <f>U19+du</f>
        <v>3.0280257588892891E-28</v>
      </c>
      <c r="L19" s="1">
        <f t="shared" si="2"/>
        <v>0</v>
      </c>
      <c r="N19">
        <f t="shared" si="6"/>
        <v>85.1</v>
      </c>
      <c r="O19" s="1">
        <f t="shared" si="7"/>
        <v>265.87146239382315</v>
      </c>
      <c r="P19" s="1">
        <f>2*PI()*SQRT(Kappa*c_ms^2/2)*SQRT(H19)*T19*c_kms</f>
        <v>265.87146634535168</v>
      </c>
      <c r="Q19">
        <v>144</v>
      </c>
      <c r="S19" s="1">
        <f t="shared" si="8"/>
        <v>1</v>
      </c>
      <c r="T19" s="1">
        <f t="shared" si="0"/>
        <v>1</v>
      </c>
      <c r="U19" s="1">
        <f t="shared" si="3"/>
        <v>8.2802575888928902E-29</v>
      </c>
      <c r="AE19" s="1"/>
      <c r="AF19" s="1"/>
      <c r="AG19" s="1"/>
      <c r="AH19" s="4"/>
      <c r="AI19" s="4"/>
      <c r="AJ19" s="4"/>
      <c r="AK19" s="4"/>
      <c r="AL19" s="4"/>
      <c r="AM19" s="4"/>
      <c r="AN19" s="4"/>
      <c r="AO19" s="4"/>
      <c r="AP19" s="4"/>
      <c r="AQ19" s="4"/>
      <c r="AU19">
        <f t="shared" si="4"/>
        <v>0</v>
      </c>
    </row>
    <row r="20" spans="1:47" x14ac:dyDescent="0.25">
      <c r="A20" s="3">
        <f t="shared" si="1"/>
        <v>90.1</v>
      </c>
      <c r="C20" s="1"/>
      <c r="D20" s="1"/>
      <c r="E20" s="1">
        <f>J20*1000*ly_m*U20</f>
        <v>6.1454012917637398E-8</v>
      </c>
      <c r="H20" s="1">
        <f>H19+(J20-J19)*1000*ly_m*(E20+E19)/2</f>
        <v>2.1285939495118298E+18</v>
      </c>
      <c r="J20">
        <f t="shared" si="5"/>
        <v>90.1</v>
      </c>
      <c r="K20" s="1">
        <f>U20+du</f>
        <v>2.9209984315951199E-28</v>
      </c>
      <c r="L20" s="1">
        <f t="shared" si="2"/>
        <v>0</v>
      </c>
      <c r="N20">
        <f t="shared" si="6"/>
        <v>90.1</v>
      </c>
      <c r="O20" s="1">
        <f t="shared" si="7"/>
        <v>265.87165183732429</v>
      </c>
      <c r="P20" s="1">
        <f>2*PI()*SQRT(Kappa*c_ms^2/2)*SQRT(H20)*T20*c_kms</f>
        <v>265.87165556958621</v>
      </c>
      <c r="Q20">
        <v>142</v>
      </c>
      <c r="S20" s="1">
        <f t="shared" si="8"/>
        <v>1</v>
      </c>
      <c r="T20" s="1">
        <f t="shared" si="0"/>
        <v>1</v>
      </c>
      <c r="U20" s="1">
        <f t="shared" si="3"/>
        <v>7.2099843159511979E-29</v>
      </c>
      <c r="W20" t="s">
        <v>4</v>
      </c>
      <c r="X20" s="1">
        <f>SUMXMY2(O2:O21,Q2:Q21)</f>
        <v>132264.7950870138</v>
      </c>
      <c r="AE20" s="1"/>
      <c r="AF20" s="1"/>
      <c r="AG20" s="1"/>
      <c r="AH20" s="4"/>
      <c r="AI20" s="4"/>
      <c r="AJ20" s="4"/>
      <c r="AK20" s="4"/>
      <c r="AL20" s="4"/>
      <c r="AM20" s="4"/>
      <c r="AN20" s="4"/>
      <c r="AO20" s="4"/>
      <c r="AP20" s="4"/>
      <c r="AQ20" s="4"/>
      <c r="AU20">
        <f t="shared" si="4"/>
        <v>0</v>
      </c>
    </row>
    <row r="21" spans="1:47" x14ac:dyDescent="0.25">
      <c r="A21" s="3">
        <f t="shared" si="1"/>
        <v>95.1</v>
      </c>
      <c r="C21" s="1"/>
      <c r="D21" s="1"/>
      <c r="E21" s="1">
        <f>J21*1000*ly_m*U21</f>
        <v>5.6552280944859197E-8</v>
      </c>
      <c r="H21" s="1">
        <f>H20+(J21-J20)*1000*ly_m*(E21+E20)/2</f>
        <v>2.1285967403606797E+18</v>
      </c>
      <c r="J21">
        <f t="shared" si="5"/>
        <v>95.1</v>
      </c>
      <c r="K21" s="1">
        <f>U21+du</f>
        <v>2.8286059288304423E-28</v>
      </c>
      <c r="L21" s="1">
        <f t="shared" si="2"/>
        <v>0</v>
      </c>
      <c r="N21">
        <f t="shared" si="6"/>
        <v>95.1</v>
      </c>
      <c r="O21" s="1">
        <f t="shared" si="7"/>
        <v>265.87178629097644</v>
      </c>
      <c r="P21" s="1">
        <f>2*PI()*SQRT(Kappa*c_ms^2/2)*SQRT(H21)*T21*c_kms</f>
        <v>265.87182986477319</v>
      </c>
      <c r="Q21">
        <v>141</v>
      </c>
      <c r="S21" s="1">
        <f t="shared" si="8"/>
        <v>1</v>
      </c>
      <c r="T21" s="1">
        <f t="shared" si="0"/>
        <v>1</v>
      </c>
      <c r="U21" s="1">
        <f t="shared" si="3"/>
        <v>6.2860592883044213E-29</v>
      </c>
      <c r="AE21" s="1"/>
      <c r="AF21" s="1"/>
      <c r="AG21" s="1"/>
      <c r="AH21" s="4"/>
      <c r="AI21" s="4"/>
      <c r="AJ21" s="4"/>
      <c r="AK21" s="4"/>
      <c r="AL21" s="4"/>
      <c r="AM21" s="4"/>
      <c r="AN21" s="4"/>
      <c r="AO21" s="4"/>
      <c r="AP21" s="4"/>
      <c r="AQ21" s="4"/>
      <c r="AU21">
        <f t="shared" si="4"/>
        <v>0</v>
      </c>
    </row>
    <row r="22" spans="1:47" x14ac:dyDescent="0.25">
      <c r="K22" s="1"/>
      <c r="P22" s="1">
        <f>P21</f>
        <v>265.87182986477319</v>
      </c>
      <c r="T22" s="1">
        <f>T21</f>
        <v>1</v>
      </c>
      <c r="AE22" s="1"/>
      <c r="AF22" s="1"/>
      <c r="AG22" s="1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7" x14ac:dyDescent="0.25">
      <c r="K23" s="1">
        <f>SUMPRODUCT(J2:J6,K2:K6)</f>
        <v>5.0069016104691547E-21</v>
      </c>
      <c r="W23" s="1"/>
    </row>
    <row r="24" spans="1:47" x14ac:dyDescent="0.25">
      <c r="X24" s="1"/>
      <c r="AE24" s="1"/>
    </row>
    <row r="25" spans="1:47" x14ac:dyDescent="0.25">
      <c r="J25" t="s">
        <v>15</v>
      </c>
      <c r="K25" s="1">
        <f>0.0000023*360/441</f>
        <v>1.8775510204081632E-6</v>
      </c>
      <c r="O25" s="1">
        <v>8.3945199051564325E-7</v>
      </c>
      <c r="T25" t="s">
        <v>5</v>
      </c>
      <c r="U25" s="5">
        <f>'M101 &amp; fit parameters'!V25</f>
        <v>1.0500000000000001E-21</v>
      </c>
      <c r="V25" s="1"/>
      <c r="W25" s="1"/>
      <c r="AD25" s="1"/>
    </row>
    <row r="26" spans="1:47" x14ac:dyDescent="0.25">
      <c r="T26" t="s">
        <v>7</v>
      </c>
      <c r="U26" s="5">
        <f>'M101 &amp; fit parameters'!V26</f>
        <v>2.0899501751612717E-2</v>
      </c>
      <c r="V26" s="1"/>
      <c r="W26" s="1"/>
      <c r="AD26" s="1"/>
    </row>
    <row r="27" spans="1:47" x14ac:dyDescent="0.25">
      <c r="D27" s="1"/>
      <c r="T27" t="s">
        <v>12</v>
      </c>
      <c r="U27" s="5">
        <f>'M101 &amp; fit parameters'!V27</f>
        <v>2</v>
      </c>
      <c r="V27" s="1"/>
      <c r="W27" s="1"/>
      <c r="AD27" s="1"/>
    </row>
    <row r="28" spans="1:47" x14ac:dyDescent="0.25">
      <c r="T28" t="s">
        <v>8</v>
      </c>
      <c r="U28" s="5">
        <f>'M101 &amp; fit parameters'!V28</f>
        <v>1.4178161128628128E-27</v>
      </c>
      <c r="V28" s="1"/>
      <c r="W28" s="1"/>
      <c r="AH28" s="2"/>
      <c r="AI28" s="2"/>
      <c r="AJ28" s="2"/>
      <c r="AK28" s="2"/>
      <c r="AL28" s="2"/>
    </row>
    <row r="29" spans="1:47" x14ac:dyDescent="0.25">
      <c r="T29" t="s">
        <v>6</v>
      </c>
      <c r="U29" s="5">
        <f>'M101 &amp; fit parameters'!V29</f>
        <v>7.0000000000000007E-2</v>
      </c>
      <c r="V29" s="1"/>
      <c r="W29" s="1"/>
      <c r="AH29" s="1"/>
      <c r="AN29" s="4"/>
    </row>
    <row r="30" spans="1:47" x14ac:dyDescent="0.25">
      <c r="T30" t="s">
        <v>9</v>
      </c>
      <c r="U30" s="5">
        <f>'M101 &amp; fit parameters'!V30</f>
        <v>0.83333796967029827</v>
      </c>
      <c r="AH30" s="1"/>
      <c r="AN30" s="4"/>
    </row>
    <row r="31" spans="1:47" x14ac:dyDescent="0.25">
      <c r="W31" s="1"/>
      <c r="AH31" s="1"/>
      <c r="AN31" s="4"/>
    </row>
    <row r="32" spans="1:47" x14ac:dyDescent="0.25">
      <c r="T32" t="s">
        <v>13</v>
      </c>
      <c r="U32" s="5">
        <f>'M101 &amp; fit parameters'!V37</f>
        <v>2.2E-28</v>
      </c>
      <c r="W32" s="1"/>
      <c r="AH32" s="1"/>
      <c r="AN32" s="4"/>
    </row>
    <row r="33" spans="20:40" x14ac:dyDescent="0.25">
      <c r="AH33" s="1"/>
      <c r="AN33" s="4"/>
    </row>
    <row r="34" spans="20:40" x14ac:dyDescent="0.25">
      <c r="AH34" s="1"/>
      <c r="AN34" s="4"/>
    </row>
    <row r="35" spans="20:40" x14ac:dyDescent="0.25">
      <c r="AH35" s="1"/>
      <c r="AN35" s="4"/>
    </row>
    <row r="36" spans="20:40" x14ac:dyDescent="0.25">
      <c r="AH36" s="1"/>
      <c r="AN36" s="4"/>
    </row>
    <row r="37" spans="20:40" x14ac:dyDescent="0.25">
      <c r="AH37" s="1"/>
      <c r="AN37" s="4"/>
    </row>
    <row r="38" spans="20:40" x14ac:dyDescent="0.25">
      <c r="AH38" s="1"/>
      <c r="AN38" s="4"/>
    </row>
    <row r="39" spans="20:40" x14ac:dyDescent="0.25">
      <c r="AH39" s="1"/>
      <c r="AN39" s="4"/>
    </row>
    <row r="40" spans="20:40" x14ac:dyDescent="0.25">
      <c r="AH40" s="1"/>
      <c r="AN40" s="4"/>
    </row>
    <row r="41" spans="20:40" x14ac:dyDescent="0.25">
      <c r="T41" t="s">
        <v>10</v>
      </c>
      <c r="U41" s="1">
        <f>SUMXMY2(Q3:Q21,O3:O21)</f>
        <v>132263.7950870138</v>
      </c>
      <c r="AH41" s="1"/>
      <c r="AN41" s="4"/>
    </row>
    <row r="42" spans="20:40" x14ac:dyDescent="0.25">
      <c r="AH42" s="1"/>
      <c r="AN42" s="4"/>
    </row>
    <row r="43" spans="20:40" x14ac:dyDescent="0.25">
      <c r="U43">
        <v>0</v>
      </c>
      <c r="AH43" s="1"/>
      <c r="AN43" s="4"/>
    </row>
    <row r="44" spans="20:40" x14ac:dyDescent="0.25">
      <c r="U44" s="1">
        <f>K23</f>
        <v>5.0069016104691547E-21</v>
      </c>
      <c r="AH44" s="1"/>
      <c r="AN44" s="4"/>
    </row>
    <row r="45" spans="20:40" x14ac:dyDescent="0.25">
      <c r="AH45" s="1"/>
      <c r="AN45" s="4"/>
    </row>
    <row r="46" spans="20:40" x14ac:dyDescent="0.25">
      <c r="U46" s="1"/>
      <c r="AH46" s="1"/>
      <c r="AN46" s="4"/>
    </row>
    <row r="47" spans="20:40" x14ac:dyDescent="0.25">
      <c r="U47" s="1"/>
      <c r="AH47" s="1"/>
      <c r="AN47" s="4"/>
    </row>
    <row r="48" spans="20:40" x14ac:dyDescent="0.25">
      <c r="AH48" s="1"/>
      <c r="AN48" s="4"/>
    </row>
    <row r="49" spans="1:40" x14ac:dyDescent="0.25">
      <c r="AH49" s="1"/>
      <c r="AN49" s="4"/>
    </row>
    <row r="50" spans="1:40" x14ac:dyDescent="0.25">
      <c r="Y50" s="1"/>
      <c r="AH50" s="1"/>
      <c r="AN50" s="4"/>
    </row>
    <row r="51" spans="1:40" x14ac:dyDescent="0.25">
      <c r="V51" s="1"/>
      <c r="W51" s="1"/>
      <c r="X51" s="1"/>
      <c r="AH51" s="1"/>
      <c r="AN51" s="4"/>
    </row>
    <row r="52" spans="1:40" x14ac:dyDescent="0.25">
      <c r="V52" s="1"/>
      <c r="W52" s="1"/>
      <c r="X52" s="1"/>
      <c r="AH52" s="1"/>
      <c r="AN52" s="4"/>
    </row>
    <row r="53" spans="1:40" x14ac:dyDescent="0.25">
      <c r="V53" s="1"/>
      <c r="W53" s="1"/>
      <c r="X53" s="1"/>
    </row>
    <row r="54" spans="1:40" x14ac:dyDescent="0.25">
      <c r="V54" s="1"/>
      <c r="W54" s="1"/>
      <c r="X54" s="1"/>
    </row>
    <row r="57" spans="1:40" ht="15.75" thickBot="1" x14ac:dyDescent="0.3"/>
    <row r="58" spans="1:40" ht="15.75" thickBot="1" x14ac:dyDescent="0.3">
      <c r="V58" s="7"/>
      <c r="W58" s="1"/>
      <c r="X58" s="1"/>
    </row>
    <row r="62" spans="1:40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5" spans="5:5" x14ac:dyDescent="0.25">
      <c r="E65" s="1"/>
    </row>
  </sheetData>
  <conditionalFormatting sqref="X23:X24">
    <cfRule type="cellIs" dxfId="11" priority="70" operator="lessThan">
      <formula>0</formula>
    </cfRule>
  </conditionalFormatting>
  <conditionalFormatting sqref="Y50">
    <cfRule type="cellIs" dxfId="10" priority="68" operator="lessThan">
      <formula>0</formula>
    </cfRule>
  </conditionalFormatting>
  <conditionalFormatting sqref="AC2">
    <cfRule type="colorScale" priority="7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3">
    <cfRule type="colorScale" priority="7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4">
    <cfRule type="colorScale" priority="7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5">
    <cfRule type="colorScale" priority="7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6">
    <cfRule type="colorScale" priority="7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7">
    <cfRule type="colorScale" priority="7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8">
    <cfRule type="colorScale" priority="7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C9">
    <cfRule type="colorScale" priority="7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E24">
    <cfRule type="cellIs" dxfId="9" priority="44" operator="lessThan">
      <formula>0</formula>
    </cfRule>
  </conditionalFormatting>
  <conditionalFormatting sqref="AH29:AK29">
    <cfRule type="colorScale" priority="2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0:AK30">
    <cfRule type="colorScale" priority="2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1:AK31">
    <cfRule type="colorScale" priority="2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2:AK32">
    <cfRule type="colorScale" priority="2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3:AK33">
    <cfRule type="colorScale" priority="1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4:AK34">
    <cfRule type="colorScale" priority="1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5:AK35">
    <cfRule type="colorScale" priority="1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6:AK36">
    <cfRule type="colorScale" priority="1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7:AK37">
    <cfRule type="colorScale" priority="1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8:AK38">
    <cfRule type="colorScale" priority="1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9:AK39">
    <cfRule type="colorScale" priority="1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0:AK40">
    <cfRule type="colorScale" priority="1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1:AK41">
    <cfRule type="colorScale" priority="1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2:AK42">
    <cfRule type="colorScale" priority="1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3:AK43">
    <cfRule type="colorScale" priority="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4:AK44">
    <cfRule type="colorScale" priority="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5:AK45">
    <cfRule type="colorScale" priority="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6:AK46">
    <cfRule type="colorScale" priority="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7:AK47">
    <cfRule type="colorScale" priority="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8:AK48">
    <cfRule type="colorScale" priority="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9:AL52">
    <cfRule type="colorScale" priority="6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:AQ2">
    <cfRule type="colorScale" priority="4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3:AQ3">
    <cfRule type="colorScale" priority="4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4:AQ4">
    <cfRule type="colorScale" priority="4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5:AQ5">
    <cfRule type="colorScale" priority="4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6:AQ6">
    <cfRule type="colorScale" priority="3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7:AQ7">
    <cfRule type="colorScale" priority="3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8:AQ8">
    <cfRule type="colorScale" priority="3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9:AQ9">
    <cfRule type="colorScale" priority="3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0:AQ10">
    <cfRule type="colorScale" priority="3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1:AQ11">
    <cfRule type="colorScale" priority="3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2:AQ12">
    <cfRule type="colorScale" priority="3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3:AQ13">
    <cfRule type="colorScale" priority="3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4:AQ14">
    <cfRule type="colorScale" priority="3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5:AQ15">
    <cfRule type="colorScale" priority="3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6:AQ16">
    <cfRule type="colorScale" priority="2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7:AQ17">
    <cfRule type="colorScale" priority="2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8:AQ18">
    <cfRule type="colorScale" priority="2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19:AQ19">
    <cfRule type="colorScale" priority="2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0:AQ20">
    <cfRule type="colorScale" priority="2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1:AQ21">
    <cfRule type="colorScale" priority="2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H22:AS22">
    <cfRule type="colorScale" priority="6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29">
    <cfRule type="colorScale" priority="6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0">
    <cfRule type="colorScale" priority="6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1">
    <cfRule type="colorScale" priority="6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2">
    <cfRule type="colorScale" priority="6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3">
    <cfRule type="colorScale" priority="6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4">
    <cfRule type="colorScale" priority="5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5">
    <cfRule type="colorScale" priority="5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6">
    <cfRule type="colorScale" priority="5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7">
    <cfRule type="colorScale" priority="5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8">
    <cfRule type="colorScale" priority="5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39">
    <cfRule type="colorScale" priority="54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0">
    <cfRule type="colorScale" priority="53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1">
    <cfRule type="colorScale" priority="52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2">
    <cfRule type="colorScale" priority="51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3">
    <cfRule type="colorScale" priority="50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4">
    <cfRule type="colorScale" priority="49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5">
    <cfRule type="colorScale" priority="48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6">
    <cfRule type="colorScale" priority="47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7">
    <cfRule type="colorScale" priority="46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L48">
    <cfRule type="colorScale" priority="45">
      <colorScale>
        <cfvo type="min"/>
        <cfvo type="num" val="0"/>
        <cfvo type="max"/>
        <color rgb="FF7030A0"/>
        <color rgb="FFFFEB84"/>
        <color rgb="FFFF0000"/>
      </colorScale>
    </cfRule>
  </conditionalFormatting>
  <conditionalFormatting sqref="AS2:AS21">
    <cfRule type="cellIs" dxfId="8" priority="66" operator="lessThan">
      <formula>0</formula>
    </cfRule>
  </conditionalFormatting>
  <conditionalFormatting sqref="AU2:AU22">
    <cfRule type="cellIs" dxfId="7" priority="69" operator="lessThan">
      <formula>0</formula>
    </cfRule>
  </conditionalFormatting>
  <conditionalFormatting sqref="L2:L21">
    <cfRule type="cellIs" dxfId="5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49</vt:i4>
      </vt:variant>
    </vt:vector>
  </HeadingPairs>
  <TitlesOfParts>
    <vt:vector size="54" baseType="lpstr">
      <vt:lpstr>M31</vt:lpstr>
      <vt:lpstr>M81</vt:lpstr>
      <vt:lpstr>M101 &amp; fit parameters</vt:lpstr>
      <vt:lpstr>M31 with &amp; without universe</vt:lpstr>
      <vt:lpstr>M81 with &amp; without universe</vt:lpstr>
      <vt:lpstr>'M101 &amp; fit parameters'!af</vt:lpstr>
      <vt:lpstr>'M31'!af</vt:lpstr>
      <vt:lpstr>'M31 with &amp; without universe'!af</vt:lpstr>
      <vt:lpstr>'M81'!af</vt:lpstr>
      <vt:lpstr>'M81 with &amp; without universe'!af</vt:lpstr>
      <vt:lpstr>'M101 &amp; fit parameters'!bf</vt:lpstr>
      <vt:lpstr>'M31'!bf</vt:lpstr>
      <vt:lpstr>'M31 with &amp; without universe'!bf</vt:lpstr>
      <vt:lpstr>'M81'!bf</vt:lpstr>
      <vt:lpstr>'M81 with &amp; without universe'!bf</vt:lpstr>
      <vt:lpstr>'M101 &amp; fit parameters'!c_</vt:lpstr>
      <vt:lpstr>'M31'!c_</vt:lpstr>
      <vt:lpstr>'M31 with &amp; without universe'!c_</vt:lpstr>
      <vt:lpstr>'M81'!c_</vt:lpstr>
      <vt:lpstr>'M81 with &amp; without universe'!c_</vt:lpstr>
      <vt:lpstr>c_kms</vt:lpstr>
      <vt:lpstr>c_ms</vt:lpstr>
      <vt:lpstr>du</vt:lpstr>
      <vt:lpstr>Kappa</vt:lpstr>
      <vt:lpstr>'M101 &amp; fit parameters'!kf</vt:lpstr>
      <vt:lpstr>'M31'!kf</vt:lpstr>
      <vt:lpstr>'M31 with &amp; without universe'!kf</vt:lpstr>
      <vt:lpstr>'M81'!kf</vt:lpstr>
      <vt:lpstr>'M81 with &amp; without universe'!kf</vt:lpstr>
      <vt:lpstr>ly_m</vt:lpstr>
      <vt:lpstr>'M31'!m</vt:lpstr>
      <vt:lpstr>'M31 with &amp; without universe'!m</vt:lpstr>
      <vt:lpstr>'M81'!m</vt:lpstr>
      <vt:lpstr>'M81 with &amp; without universe'!m</vt:lpstr>
      <vt:lpstr>'M101 &amp; fit parameters'!mf</vt:lpstr>
      <vt:lpstr>'M31'!mf</vt:lpstr>
      <vt:lpstr>'M31 with &amp; without universe'!mf</vt:lpstr>
      <vt:lpstr>'M81'!mf</vt:lpstr>
      <vt:lpstr>'M81 with &amp; without universe'!mf</vt:lpstr>
      <vt:lpstr>'M101 &amp; fit parameters'!nf</vt:lpstr>
      <vt:lpstr>'M31'!nf</vt:lpstr>
      <vt:lpstr>'M31 with &amp; without universe'!nf</vt:lpstr>
      <vt:lpstr>'M81'!nf</vt:lpstr>
      <vt:lpstr>'M81 with &amp; without universe'!nf</vt:lpstr>
      <vt:lpstr>'M101 &amp; fit parameters'!pf</vt:lpstr>
      <vt:lpstr>'M31'!pf</vt:lpstr>
      <vt:lpstr>'M31 with &amp; without universe'!pf</vt:lpstr>
      <vt:lpstr>'M81'!pf</vt:lpstr>
      <vt:lpstr>'M81 with &amp; without universe'!pf</vt:lpstr>
      <vt:lpstr>'M101 &amp; fit parameters'!qf</vt:lpstr>
      <vt:lpstr>'M31'!qf</vt:lpstr>
      <vt:lpstr>'M31 with &amp; without universe'!qf</vt:lpstr>
      <vt:lpstr>'M81'!qf</vt:lpstr>
      <vt:lpstr>'M81 with &amp; without universe'!qf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walrand</dc:creator>
  <cp:lastModifiedBy>stephan walrand</cp:lastModifiedBy>
  <dcterms:created xsi:type="dcterms:W3CDTF">2024-03-30T14:00:08Z</dcterms:created>
  <dcterms:modified xsi:type="dcterms:W3CDTF">2024-05-02T07:19:36Z</dcterms:modified>
</cp:coreProperties>
</file>