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6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7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8.xml" ContentType="application/vnd.openxmlformats-officedocument.drawing+xml"/>
  <Override PartName="/xl/embeddings/oleObject3.bin" ContentType="application/vnd.openxmlformats-officedocument.oleObject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10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7256" windowHeight="7032"/>
  </bookViews>
  <sheets>
    <sheet name="Prod EV" sheetId="22" r:id="rId1"/>
    <sheet name="Scale-up 0,125L &gt; 0,5L SpF" sheetId="15" r:id="rId2"/>
    <sheet name="PV impact on spheroid size" sheetId="20" r:id="rId3"/>
    <sheet name="µmax ambr vs spf" sheetId="14" r:id="rId4"/>
    <sheet name="Ambr250 STBr EV production" sheetId="13" r:id="rId5"/>
    <sheet name="0.5L SpF production" sheetId="16" r:id="rId6"/>
    <sheet name="µmax &amp;PDT SpF w or wo FBS" sheetId="17" r:id="rId7"/>
    <sheet name="0,125L SpF wo FBS" sheetId="12" r:id="rId8"/>
    <sheet name="0,125L SpF 10% FBS" sheetId="11" r:id="rId9"/>
    <sheet name="LDH Analyzis" sheetId="19" r:id="rId10"/>
    <sheet name="Monolayer viability LDH" sheetId="5" r:id="rId11"/>
    <sheet name="µmax monolayer" sheetId="18" r:id="rId12"/>
    <sheet name="Monolayer" sheetId="1" r:id="rId13"/>
  </sheets>
  <definedNames>
    <definedName name="_xlnm._FilterDatabase" localSheetId="0" hidden="1">'Prod EV'!#REF!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22" l="1"/>
  <c r="J20" i="22"/>
  <c r="J19" i="22"/>
  <c r="J18" i="22"/>
  <c r="S30" i="16"/>
  <c r="S14" i="16"/>
  <c r="S15" i="16"/>
  <c r="S16" i="16"/>
  <c r="T16" i="16" s="1"/>
  <c r="S17" i="16"/>
  <c r="S18" i="16"/>
  <c r="S19" i="16"/>
  <c r="S20" i="16"/>
  <c r="S21" i="16"/>
  <c r="S22" i="16"/>
  <c r="S23" i="16"/>
  <c r="S24" i="16"/>
  <c r="T24" i="16" s="1"/>
  <c r="S25" i="16"/>
  <c r="S26" i="16"/>
  <c r="S27" i="16"/>
  <c r="S28" i="16"/>
  <c r="T28" i="16" s="1"/>
  <c r="S29" i="16"/>
  <c r="S13" i="16"/>
  <c r="R13" i="16"/>
  <c r="R30" i="16"/>
  <c r="R29" i="16"/>
  <c r="T29" i="16" s="1"/>
  <c r="R28" i="16"/>
  <c r="R27" i="16"/>
  <c r="R26" i="16"/>
  <c r="T26" i="16" s="1"/>
  <c r="R25" i="16"/>
  <c r="R24" i="16"/>
  <c r="R23" i="16"/>
  <c r="R22" i="16"/>
  <c r="R21" i="16"/>
  <c r="R20" i="16"/>
  <c r="T20" i="16" s="1"/>
  <c r="R19" i="16"/>
  <c r="R18" i="16"/>
  <c r="R17" i="16"/>
  <c r="R16" i="16"/>
  <c r="R15" i="16"/>
  <c r="T15" i="16" s="1"/>
  <c r="R14" i="16"/>
  <c r="R14" i="13"/>
  <c r="S45" i="13"/>
  <c r="R45" i="13"/>
  <c r="T45" i="13" s="1"/>
  <c r="S44" i="13"/>
  <c r="R44" i="13"/>
  <c r="T44" i="13" s="1"/>
  <c r="S43" i="13"/>
  <c r="R43" i="13"/>
  <c r="T43" i="13" s="1"/>
  <c r="S42" i="13"/>
  <c r="R42" i="13"/>
  <c r="S41" i="13"/>
  <c r="R41" i="13"/>
  <c r="T41" i="13" s="1"/>
  <c r="S40" i="13"/>
  <c r="R40" i="13"/>
  <c r="T40" i="13" s="1"/>
  <c r="S39" i="13"/>
  <c r="R39" i="13"/>
  <c r="T39" i="13" s="1"/>
  <c r="S38" i="13"/>
  <c r="R38" i="13"/>
  <c r="T38" i="13" s="1"/>
  <c r="S37" i="13"/>
  <c r="R37" i="13"/>
  <c r="T37" i="13" s="1"/>
  <c r="S36" i="13"/>
  <c r="R36" i="13"/>
  <c r="S35" i="13"/>
  <c r="R35" i="13"/>
  <c r="T35" i="13" s="1"/>
  <c r="S34" i="13"/>
  <c r="R34" i="13"/>
  <c r="T34" i="13" s="1"/>
  <c r="U35" i="13" s="1"/>
  <c r="S33" i="13"/>
  <c r="R33" i="13"/>
  <c r="T33" i="13" s="1"/>
  <c r="S32" i="13"/>
  <c r="R32" i="13"/>
  <c r="T32" i="13" s="1"/>
  <c r="U33" i="13" s="1"/>
  <c r="S31" i="13"/>
  <c r="R31" i="13"/>
  <c r="S30" i="13"/>
  <c r="R30" i="13"/>
  <c r="T30" i="13" s="1"/>
  <c r="S29" i="13"/>
  <c r="R29" i="13"/>
  <c r="S28" i="13"/>
  <c r="R28" i="13"/>
  <c r="S27" i="13"/>
  <c r="R27" i="13"/>
  <c r="S26" i="13"/>
  <c r="R26" i="13"/>
  <c r="T26" i="13" s="1"/>
  <c r="S25" i="13"/>
  <c r="R25" i="13"/>
  <c r="T25" i="13" s="1"/>
  <c r="S24" i="13"/>
  <c r="R24" i="13"/>
  <c r="T24" i="13" s="1"/>
  <c r="S23" i="13"/>
  <c r="T23" i="13" s="1"/>
  <c r="R23" i="13"/>
  <c r="S22" i="13"/>
  <c r="R22" i="13"/>
  <c r="S21" i="13"/>
  <c r="R21" i="13"/>
  <c r="T21" i="13" s="1"/>
  <c r="S20" i="13"/>
  <c r="R20" i="13"/>
  <c r="T20" i="13" s="1"/>
  <c r="S19" i="13"/>
  <c r="R19" i="13"/>
  <c r="S18" i="13"/>
  <c r="R18" i="13"/>
  <c r="T18" i="13" s="1"/>
  <c r="S17" i="13"/>
  <c r="R17" i="13"/>
  <c r="S16" i="13"/>
  <c r="R16" i="13"/>
  <c r="S15" i="13"/>
  <c r="R15" i="13"/>
  <c r="S14" i="13"/>
  <c r="T18" i="16" l="1"/>
  <c r="T15" i="13"/>
  <c r="T27" i="13"/>
  <c r="T16" i="13"/>
  <c r="T22" i="13"/>
  <c r="T28" i="13"/>
  <c r="T19" i="13"/>
  <c r="T14" i="13"/>
  <c r="T17" i="13"/>
  <c r="T29" i="13"/>
  <c r="T31" i="13"/>
  <c r="U31" i="13" s="1"/>
  <c r="T19" i="16"/>
  <c r="T36" i="13"/>
  <c r="U37" i="13" s="1"/>
  <c r="T42" i="13"/>
  <c r="T17" i="16"/>
  <c r="T30" i="16"/>
  <c r="T27" i="16"/>
  <c r="T14" i="16"/>
  <c r="T21" i="16"/>
  <c r="T23" i="16"/>
  <c r="T22" i="16"/>
  <c r="T25" i="16"/>
  <c r="T13" i="16"/>
  <c r="AO15" i="13" l="1"/>
  <c r="AH19" i="12"/>
  <c r="AI16" i="11"/>
  <c r="E37" i="19"/>
  <c r="D30" i="19"/>
  <c r="AG4" i="22"/>
  <c r="AG11" i="22"/>
  <c r="AG17" i="22"/>
  <c r="AK11" i="22"/>
  <c r="AK17" i="22"/>
  <c r="AO5" i="22"/>
  <c r="BQ5" i="22" l="1"/>
  <c r="BU5" i="22" s="1"/>
  <c r="AR5" i="22"/>
  <c r="D6" i="18"/>
  <c r="N20" i="1" l="1"/>
  <c r="N21" i="1"/>
  <c r="N22" i="1"/>
  <c r="N24" i="1"/>
  <c r="N25" i="1"/>
  <c r="N26" i="1"/>
  <c r="N27" i="1"/>
  <c r="N28" i="1"/>
  <c r="N29" i="1"/>
  <c r="N30" i="1"/>
  <c r="N31" i="1"/>
  <c r="N32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AC4" i="1" s="1"/>
  <c r="N53" i="1"/>
  <c r="AE5" i="1" s="1"/>
  <c r="N54" i="1"/>
  <c r="N55" i="1"/>
  <c r="N56" i="1"/>
  <c r="N57" i="1"/>
  <c r="N58" i="1"/>
  <c r="AE10" i="1" s="1"/>
  <c r="N59" i="1"/>
  <c r="AC11" i="1" s="1"/>
  <c r="N60" i="1"/>
  <c r="AE12" i="1" s="1"/>
  <c r="N61" i="1"/>
  <c r="AE13" i="1" s="1"/>
  <c r="N62" i="1"/>
  <c r="N63" i="1"/>
  <c r="N64" i="1"/>
  <c r="N65" i="1"/>
  <c r="N66" i="1"/>
  <c r="N19" i="1"/>
  <c r="V52" i="1"/>
  <c r="AE4" i="1" s="1"/>
  <c r="V20" i="1"/>
  <c r="V21" i="1"/>
  <c r="V25" i="1"/>
  <c r="V26" i="1"/>
  <c r="V27" i="1"/>
  <c r="V28" i="1"/>
  <c r="V29" i="1"/>
  <c r="V32" i="1"/>
  <c r="V33" i="1"/>
  <c r="V34" i="1"/>
  <c r="V35" i="1"/>
  <c r="V36" i="1"/>
  <c r="V37" i="1"/>
  <c r="V41" i="1"/>
  <c r="V42" i="1"/>
  <c r="V43" i="1"/>
  <c r="V44" i="1"/>
  <c r="V45" i="1"/>
  <c r="V48" i="1"/>
  <c r="V49" i="1"/>
  <c r="V50" i="1"/>
  <c r="V51" i="1"/>
  <c r="V53" i="1"/>
  <c r="V57" i="1"/>
  <c r="V58" i="1"/>
  <c r="V59" i="1"/>
  <c r="V60" i="1"/>
  <c r="V61" i="1"/>
  <c r="V64" i="1"/>
  <c r="V65" i="1"/>
  <c r="V66" i="1"/>
  <c r="V19" i="1"/>
  <c r="T64" i="1"/>
  <c r="Q61" i="1"/>
  <c r="O61" i="1"/>
  <c r="T20" i="1"/>
  <c r="T21" i="1"/>
  <c r="T25" i="1"/>
  <c r="T26" i="1"/>
  <c r="T27" i="1"/>
  <c r="T28" i="1"/>
  <c r="T29" i="1"/>
  <c r="T32" i="1"/>
  <c r="T33" i="1"/>
  <c r="T34" i="1"/>
  <c r="T35" i="1"/>
  <c r="T36" i="1"/>
  <c r="T37" i="1"/>
  <c r="T41" i="1"/>
  <c r="T42" i="1"/>
  <c r="T43" i="1"/>
  <c r="T44" i="1"/>
  <c r="T45" i="1"/>
  <c r="T48" i="1"/>
  <c r="T49" i="1"/>
  <c r="T50" i="1"/>
  <c r="T51" i="1"/>
  <c r="T52" i="1"/>
  <c r="T53" i="1"/>
  <c r="T57" i="1"/>
  <c r="T58" i="1"/>
  <c r="T59" i="1"/>
  <c r="T60" i="1"/>
  <c r="T61" i="1"/>
  <c r="T65" i="1"/>
  <c r="T66" i="1"/>
  <c r="T19" i="1"/>
  <c r="R66" i="1"/>
  <c r="R35" i="1"/>
  <c r="R36" i="1"/>
  <c r="R37" i="1"/>
  <c r="R41" i="1"/>
  <c r="R42" i="1"/>
  <c r="R43" i="1"/>
  <c r="R44" i="1"/>
  <c r="R45" i="1"/>
  <c r="R48" i="1"/>
  <c r="R49" i="1"/>
  <c r="R50" i="1"/>
  <c r="R51" i="1"/>
  <c r="R52" i="1"/>
  <c r="R53" i="1"/>
  <c r="R57" i="1"/>
  <c r="R58" i="1"/>
  <c r="R59" i="1"/>
  <c r="R60" i="1"/>
  <c r="R61" i="1"/>
  <c r="R64" i="1"/>
  <c r="R65" i="1"/>
  <c r="R19" i="1"/>
  <c r="R20" i="1"/>
  <c r="R21" i="1"/>
  <c r="R25" i="1"/>
  <c r="R26" i="1"/>
  <c r="R27" i="1"/>
  <c r="R28" i="1"/>
  <c r="R29" i="1"/>
  <c r="R32" i="1"/>
  <c r="R33" i="1"/>
  <c r="R34" i="1"/>
  <c r="S19" i="1"/>
  <c r="P64" i="1"/>
  <c r="P66" i="1"/>
  <c r="P65" i="1"/>
  <c r="P61" i="1"/>
  <c r="P60" i="1"/>
  <c r="P59" i="1"/>
  <c r="P58" i="1"/>
  <c r="P57" i="1"/>
  <c r="P53" i="1"/>
  <c r="P52" i="1"/>
  <c r="P51" i="1"/>
  <c r="AC3" i="1" s="1"/>
  <c r="P50" i="1"/>
  <c r="P49" i="1"/>
  <c r="P48" i="1"/>
  <c r="P45" i="1"/>
  <c r="P44" i="1"/>
  <c r="P43" i="1"/>
  <c r="P42" i="1"/>
  <c r="P41" i="1"/>
  <c r="P37" i="1"/>
  <c r="P36" i="1"/>
  <c r="P35" i="1"/>
  <c r="P34" i="1"/>
  <c r="P20" i="1"/>
  <c r="P21" i="1"/>
  <c r="P25" i="1"/>
  <c r="P26" i="1"/>
  <c r="P27" i="1"/>
  <c r="P28" i="1"/>
  <c r="P29" i="1"/>
  <c r="P32" i="1"/>
  <c r="P33" i="1"/>
  <c r="P19" i="1"/>
  <c r="O35" i="1"/>
  <c r="O19" i="1"/>
  <c r="AC13" i="1" l="1"/>
  <c r="AC5" i="1"/>
  <c r="AA13" i="1"/>
  <c r="AA12" i="1"/>
  <c r="AC12" i="1"/>
  <c r="AC9" i="1"/>
  <c r="Y3" i="1"/>
  <c r="AA11" i="1"/>
  <c r="AE11" i="1"/>
  <c r="AE3" i="1"/>
  <c r="AE9" i="1"/>
  <c r="AA10" i="1"/>
  <c r="AA5" i="1"/>
  <c r="AA4" i="1"/>
  <c r="AA3" i="1"/>
  <c r="AC10" i="1"/>
  <c r="Y5" i="1"/>
  <c r="Y13" i="1"/>
  <c r="Y9" i="1"/>
  <c r="AA9" i="1"/>
  <c r="Y10" i="1"/>
  <c r="Y4" i="1"/>
  <c r="Y12" i="1"/>
  <c r="Y11" i="1"/>
  <c r="AI20" i="1" l="1"/>
  <c r="AI21" i="1"/>
  <c r="AI25" i="1"/>
  <c r="AI26" i="1"/>
  <c r="AI27" i="1"/>
  <c r="AI28" i="1"/>
  <c r="AI29" i="1"/>
  <c r="AI32" i="1"/>
  <c r="AI33" i="1"/>
  <c r="AI34" i="1"/>
  <c r="AI35" i="1"/>
  <c r="AI36" i="1"/>
  <c r="AI37" i="1"/>
  <c r="AI41" i="1"/>
  <c r="AI42" i="1"/>
  <c r="AI43" i="1"/>
  <c r="AI44" i="1"/>
  <c r="AI45" i="1"/>
  <c r="AI48" i="1"/>
  <c r="AI49" i="1"/>
  <c r="AI50" i="1"/>
  <c r="AI51" i="1"/>
  <c r="AI52" i="1"/>
  <c r="AI53" i="1"/>
  <c r="AI57" i="1"/>
  <c r="AI58" i="1"/>
  <c r="AI59" i="1"/>
  <c r="AI60" i="1"/>
  <c r="AI61" i="1"/>
  <c r="AI64" i="1"/>
  <c r="AI65" i="1"/>
  <c r="AI66" i="1"/>
  <c r="AI19" i="1"/>
  <c r="AH20" i="1"/>
  <c r="AH21" i="1"/>
  <c r="AH25" i="1"/>
  <c r="AH26" i="1"/>
  <c r="AH27" i="1"/>
  <c r="AH28" i="1"/>
  <c r="AH29" i="1"/>
  <c r="AH32" i="1"/>
  <c r="AH33" i="1"/>
  <c r="AH34" i="1"/>
  <c r="AH35" i="1"/>
  <c r="AH36" i="1"/>
  <c r="AH37" i="1"/>
  <c r="AH41" i="1"/>
  <c r="AH42" i="1"/>
  <c r="AH43" i="1"/>
  <c r="AH44" i="1"/>
  <c r="AH45" i="1"/>
  <c r="AH48" i="1"/>
  <c r="AH49" i="1"/>
  <c r="AH50" i="1"/>
  <c r="AH51" i="1"/>
  <c r="AH52" i="1"/>
  <c r="AH53" i="1"/>
  <c r="AH57" i="1"/>
  <c r="AH58" i="1"/>
  <c r="AH59" i="1"/>
  <c r="AH60" i="1"/>
  <c r="AH61" i="1"/>
  <c r="AH64" i="1"/>
  <c r="AH65" i="1"/>
  <c r="AH66" i="1"/>
  <c r="AH19" i="1"/>
  <c r="AG25" i="1"/>
  <c r="AG26" i="1"/>
  <c r="AG27" i="1"/>
  <c r="AG28" i="1"/>
  <c r="AG29" i="1"/>
  <c r="AG32" i="1"/>
  <c r="AG33" i="1"/>
  <c r="AG34" i="1"/>
  <c r="AG35" i="1"/>
  <c r="AG36" i="1"/>
  <c r="AG37" i="1"/>
  <c r="AG41" i="1"/>
  <c r="AG42" i="1"/>
  <c r="AG43" i="1"/>
  <c r="AG44" i="1"/>
  <c r="AG45" i="1"/>
  <c r="AG48" i="1"/>
  <c r="AG49" i="1"/>
  <c r="AG50" i="1"/>
  <c r="AG51" i="1"/>
  <c r="AG52" i="1"/>
  <c r="AG53" i="1"/>
  <c r="AG57" i="1"/>
  <c r="AG58" i="1"/>
  <c r="AG59" i="1"/>
  <c r="AG60" i="1"/>
  <c r="AG61" i="1"/>
  <c r="AG64" i="1"/>
  <c r="AG65" i="1"/>
  <c r="AG66" i="1"/>
  <c r="AG20" i="1"/>
  <c r="AG21" i="1"/>
  <c r="AG19" i="1"/>
  <c r="AF66" i="1"/>
  <c r="AF65" i="1"/>
  <c r="AF64" i="1"/>
  <c r="AF61" i="1"/>
  <c r="AF60" i="1"/>
  <c r="AF59" i="1"/>
  <c r="AF58" i="1"/>
  <c r="AF57" i="1"/>
  <c r="AF53" i="1"/>
  <c r="AF52" i="1"/>
  <c r="AF51" i="1"/>
  <c r="AF35" i="1"/>
  <c r="AF50" i="1"/>
  <c r="AF49" i="1"/>
  <c r="AF48" i="1"/>
  <c r="AF45" i="1"/>
  <c r="AF44" i="1"/>
  <c r="AF43" i="1"/>
  <c r="AF42" i="1"/>
  <c r="AF41" i="1"/>
  <c r="AF37" i="1"/>
  <c r="AF36" i="1"/>
  <c r="AF20" i="1"/>
  <c r="AF21" i="1"/>
  <c r="AF25" i="1"/>
  <c r="AF26" i="1"/>
  <c r="AF27" i="1"/>
  <c r="AF28" i="1"/>
  <c r="AF29" i="1"/>
  <c r="AF32" i="1"/>
  <c r="AF33" i="1"/>
  <c r="AF34" i="1"/>
  <c r="AF19" i="1"/>
  <c r="CE12" i="22" l="1"/>
  <c r="CD12" i="22"/>
  <c r="CC12" i="22"/>
  <c r="BY12" i="22"/>
  <c r="BZ12" i="22" s="1"/>
  <c r="CA12" i="22" s="1"/>
  <c r="BX12" i="22"/>
  <c r="BW12" i="22"/>
  <c r="BE12" i="22"/>
  <c r="AZ12" i="22"/>
  <c r="AO12" i="22"/>
  <c r="BP12" i="22" s="1"/>
  <c r="BR12" i="22" s="1"/>
  <c r="X12" i="22"/>
  <c r="V12" i="22"/>
  <c r="O12" i="22"/>
  <c r="U4" i="22"/>
  <c r="AE4" i="22"/>
  <c r="AF4" i="22"/>
  <c r="AP4" i="22"/>
  <c r="AQ4" i="22"/>
  <c r="AS4" i="22"/>
  <c r="AT4" i="22"/>
  <c r="AV4" i="22"/>
  <c r="AW4" i="22"/>
  <c r="AX4" i="22"/>
  <c r="AY4" i="22"/>
  <c r="BA4" i="22"/>
  <c r="BB4" i="22"/>
  <c r="BF4" i="22"/>
  <c r="BV4" i="22"/>
  <c r="CB4" i="22"/>
  <c r="G5" i="22"/>
  <c r="I5" i="22" s="1"/>
  <c r="J5" i="22"/>
  <c r="K5" i="22"/>
  <c r="M5" i="22" s="1"/>
  <c r="Q5" i="22"/>
  <c r="BE5" i="22"/>
  <c r="CC5" i="22"/>
  <c r="CD5" i="22"/>
  <c r="CE5" i="22"/>
  <c r="G6" i="22"/>
  <c r="H6" i="22" s="1"/>
  <c r="J6" i="22"/>
  <c r="K6" i="22"/>
  <c r="M6" i="22" s="1"/>
  <c r="AR6" i="22"/>
  <c r="BC6" i="22"/>
  <c r="BP6" i="22" s="1"/>
  <c r="BD6" i="22"/>
  <c r="BQ6" i="22" s="1"/>
  <c r="BU6" i="22" s="1"/>
  <c r="BG6" i="22"/>
  <c r="BG4" i="22" s="1"/>
  <c r="CE6" i="22"/>
  <c r="G7" i="22"/>
  <c r="I7" i="22" s="1"/>
  <c r="J7" i="22"/>
  <c r="K7" i="22"/>
  <c r="AR7" i="22"/>
  <c r="BE7" i="22"/>
  <c r="BP7" i="22"/>
  <c r="BQ7" i="22"/>
  <c r="BU7" i="22" s="1"/>
  <c r="CC7" i="22"/>
  <c r="CD7" i="22"/>
  <c r="CE7" i="22"/>
  <c r="CF7" i="22" s="1"/>
  <c r="CH7" i="22" s="1"/>
  <c r="G8" i="22"/>
  <c r="I8" i="22" s="1"/>
  <c r="J8" i="22"/>
  <c r="K8" i="22"/>
  <c r="Q8" i="22"/>
  <c r="W8" i="22" s="1"/>
  <c r="AO8" i="22"/>
  <c r="AU8" i="22"/>
  <c r="AU4" i="22" s="1"/>
  <c r="AZ8" i="22"/>
  <c r="BE8" i="22"/>
  <c r="BH8" i="22"/>
  <c r="BI8" i="22"/>
  <c r="BL8" i="22"/>
  <c r="BM8" i="22"/>
  <c r="BW8" i="22"/>
  <c r="BX8" i="22"/>
  <c r="BY8" i="22"/>
  <c r="BZ8" i="22" s="1"/>
  <c r="CC8" i="22"/>
  <c r="CD8" i="22"/>
  <c r="CE8" i="22"/>
  <c r="G9" i="22"/>
  <c r="H9" i="22" s="1"/>
  <c r="J9" i="22"/>
  <c r="R9" i="22" s="1"/>
  <c r="V9" i="22" s="1"/>
  <c r="K9" i="22"/>
  <c r="M9" i="22" s="1"/>
  <c r="S9" i="22"/>
  <c r="W9" i="22"/>
  <c r="AO9" i="22"/>
  <c r="BQ9" i="22" s="1"/>
  <c r="BU9" i="22" s="1"/>
  <c r="AZ9" i="22"/>
  <c r="BE9" i="22"/>
  <c r="BH9" i="22"/>
  <c r="BI9" i="22"/>
  <c r="BL9" i="22"/>
  <c r="BM9" i="22"/>
  <c r="BW9" i="22"/>
  <c r="BX9" i="22"/>
  <c r="BY9" i="22"/>
  <c r="BZ9" i="22" s="1"/>
  <c r="CC9" i="22"/>
  <c r="CD9" i="22"/>
  <c r="CE9" i="22"/>
  <c r="H11" i="22"/>
  <c r="I11" i="22"/>
  <c r="J11" i="22"/>
  <c r="K11" i="22"/>
  <c r="L11" i="22"/>
  <c r="N11" i="22"/>
  <c r="P11" i="22"/>
  <c r="Q11" i="22"/>
  <c r="R11" i="22"/>
  <c r="T11" i="22"/>
  <c r="U11" i="22"/>
  <c r="W11" i="22"/>
  <c r="AE11" i="22"/>
  <c r="AF11" i="22"/>
  <c r="AH11" i="22"/>
  <c r="AI11" i="22"/>
  <c r="AJ11" i="22"/>
  <c r="AL11" i="22"/>
  <c r="AM11" i="22"/>
  <c r="AN11" i="22"/>
  <c r="AP11" i="22"/>
  <c r="AQ11" i="22"/>
  <c r="AS11" i="22"/>
  <c r="AT11" i="22"/>
  <c r="AU11" i="22"/>
  <c r="AV11" i="22"/>
  <c r="AW11" i="22"/>
  <c r="AX11" i="22"/>
  <c r="AY11" i="22"/>
  <c r="BA11" i="22"/>
  <c r="BB11" i="22"/>
  <c r="BC11" i="22"/>
  <c r="BD11" i="22"/>
  <c r="BF11" i="22"/>
  <c r="BG11" i="22"/>
  <c r="BH11" i="22"/>
  <c r="BI11" i="22"/>
  <c r="BJ11" i="22"/>
  <c r="BK11" i="22"/>
  <c r="BV11" i="22"/>
  <c r="CB11" i="22"/>
  <c r="O13" i="22"/>
  <c r="O11" i="22" s="1"/>
  <c r="V13" i="22"/>
  <c r="V11" i="22" s="1"/>
  <c r="X13" i="22"/>
  <c r="AO13" i="22"/>
  <c r="AR13" i="22" s="1"/>
  <c r="AZ13" i="22"/>
  <c r="BE13" i="22"/>
  <c r="BL13" i="22"/>
  <c r="BN13" i="22" s="1"/>
  <c r="BM13" i="22"/>
  <c r="BW13" i="22"/>
  <c r="BX13" i="22"/>
  <c r="BY13" i="22"/>
  <c r="CC13" i="22"/>
  <c r="CD13" i="22"/>
  <c r="CE13" i="22"/>
  <c r="X14" i="22"/>
  <c r="AO14" i="22"/>
  <c r="BP14" i="22" s="1"/>
  <c r="BR14" i="22" s="1"/>
  <c r="AZ14" i="22"/>
  <c r="BE14" i="22"/>
  <c r="BL14" i="22"/>
  <c r="BN14" i="22" s="1"/>
  <c r="BM14" i="22"/>
  <c r="BO14" i="22" s="1"/>
  <c r="BW14" i="22"/>
  <c r="BX14" i="22"/>
  <c r="BY14" i="22"/>
  <c r="BZ14" i="22" s="1"/>
  <c r="CA14" i="22" s="1"/>
  <c r="CC14" i="22"/>
  <c r="CD14" i="22"/>
  <c r="CE14" i="22"/>
  <c r="X15" i="22"/>
  <c r="AR15" i="22"/>
  <c r="BE15" i="22"/>
  <c r="BP15" i="22"/>
  <c r="BR15" i="22" s="1"/>
  <c r="BQ15" i="22"/>
  <c r="CC15" i="22"/>
  <c r="CD15" i="22"/>
  <c r="CE15" i="22"/>
  <c r="CF15" i="22" s="1"/>
  <c r="H17" i="22"/>
  <c r="L17" i="22"/>
  <c r="N17" i="22"/>
  <c r="R17" i="22"/>
  <c r="T17" i="22"/>
  <c r="U17" i="22"/>
  <c r="AC17" i="22"/>
  <c r="AE17" i="22"/>
  <c r="AF17" i="22"/>
  <c r="AH17" i="22"/>
  <c r="AI17" i="22"/>
  <c r="AJ17" i="22"/>
  <c r="AL17" i="22"/>
  <c r="AM17" i="22"/>
  <c r="AN17" i="22"/>
  <c r="AP17" i="22"/>
  <c r="AQ17" i="22"/>
  <c r="AX17" i="22"/>
  <c r="AY17" i="22"/>
  <c r="BA17" i="22"/>
  <c r="BB17" i="22"/>
  <c r="BC17" i="22"/>
  <c r="BD17" i="22"/>
  <c r="BF17" i="22"/>
  <c r="BG17" i="22"/>
  <c r="BV17" i="22"/>
  <c r="CB17" i="22"/>
  <c r="I18" i="22"/>
  <c r="O18" i="22"/>
  <c r="V18" i="22"/>
  <c r="X18" i="22"/>
  <c r="AR18" i="22"/>
  <c r="BE18" i="22"/>
  <c r="BP18" i="22"/>
  <c r="BQ18" i="22"/>
  <c r="BU18" i="22" s="1"/>
  <c r="CC18" i="22"/>
  <c r="CD18" i="22"/>
  <c r="CE18" i="22"/>
  <c r="CF18" i="22" s="1"/>
  <c r="I19" i="22"/>
  <c r="O19" i="22"/>
  <c r="V19" i="22"/>
  <c r="X19" i="22"/>
  <c r="AR19" i="22"/>
  <c r="BE19" i="22"/>
  <c r="BP19" i="22"/>
  <c r="BR19" i="22" s="1"/>
  <c r="BQ19" i="22"/>
  <c r="CC19" i="22"/>
  <c r="CD19" i="22"/>
  <c r="CE19" i="22"/>
  <c r="CF19" i="22" s="1"/>
  <c r="I20" i="22"/>
  <c r="O20" i="22"/>
  <c r="V20" i="22"/>
  <c r="X20" i="22"/>
  <c r="AO20" i="22"/>
  <c r="AR20" i="22" s="1"/>
  <c r="AZ20" i="22"/>
  <c r="BE20" i="22"/>
  <c r="BL20" i="22"/>
  <c r="BN20" i="22" s="1"/>
  <c r="BM20" i="22"/>
  <c r="BW20" i="22"/>
  <c r="BX20" i="22"/>
  <c r="BY20" i="22"/>
  <c r="BZ20" i="22" s="1"/>
  <c r="CC20" i="22"/>
  <c r="CD20" i="22"/>
  <c r="CE20" i="22"/>
  <c r="I21" i="22"/>
  <c r="O21" i="22"/>
  <c r="V21" i="22"/>
  <c r="X21" i="22"/>
  <c r="AR21" i="22"/>
  <c r="AZ21" i="22"/>
  <c r="BE21" i="22"/>
  <c r="BL21" i="22"/>
  <c r="BN21" i="22" s="1"/>
  <c r="BM21" i="22"/>
  <c r="BO21" i="22" s="1"/>
  <c r="BP21" i="22"/>
  <c r="BR21" i="22" s="1"/>
  <c r="BQ21" i="22"/>
  <c r="BW21" i="22"/>
  <c r="BX21" i="22"/>
  <c r="BY21" i="22"/>
  <c r="BZ21" i="22" s="1"/>
  <c r="CA21" i="22" s="1"/>
  <c r="CC21" i="22"/>
  <c r="CD21" i="22"/>
  <c r="CE21" i="22"/>
  <c r="CF21" i="22" s="1"/>
  <c r="CG21" i="22" l="1"/>
  <c r="CH21" i="22"/>
  <c r="CG18" i="22"/>
  <c r="CH18" i="22"/>
  <c r="CG19" i="22"/>
  <c r="CH19" i="22"/>
  <c r="CG15" i="22"/>
  <c r="CH15" i="22"/>
  <c r="BS15" i="22"/>
  <c r="BU15" i="22"/>
  <c r="BS21" i="22"/>
  <c r="BU21" i="22"/>
  <c r="BS19" i="22"/>
  <c r="BU19" i="22"/>
  <c r="L7" i="22"/>
  <c r="BR7" i="22" s="1"/>
  <c r="CF12" i="22"/>
  <c r="BQ12" i="22"/>
  <c r="BU12" i="22" s="1"/>
  <c r="L6" i="22"/>
  <c r="X6" i="22" s="1"/>
  <c r="AR14" i="22"/>
  <c r="AR11" i="22" s="1"/>
  <c r="P7" i="22"/>
  <c r="Q4" i="22"/>
  <c r="L5" i="22"/>
  <c r="X5" i="22" s="1"/>
  <c r="P9" i="22"/>
  <c r="AO11" i="22"/>
  <c r="H8" i="22"/>
  <c r="W5" i="22"/>
  <c r="W4" i="22" s="1"/>
  <c r="BW17" i="22"/>
  <c r="BX11" i="22"/>
  <c r="BP20" i="22"/>
  <c r="BR20" i="22" s="1"/>
  <c r="BW11" i="22"/>
  <c r="S8" i="22"/>
  <c r="H5" i="22"/>
  <c r="BM17" i="22"/>
  <c r="CF20" i="22"/>
  <c r="BO20" i="22"/>
  <c r="BO17" i="22" s="1"/>
  <c r="CD11" i="22"/>
  <c r="BY11" i="22"/>
  <c r="BQ13" i="22"/>
  <c r="BX17" i="22"/>
  <c r="BP13" i="22"/>
  <c r="BR13" i="22" s="1"/>
  <c r="L9" i="22"/>
  <c r="BJ9" i="22" s="1"/>
  <c r="BM4" i="22"/>
  <c r="BQ14" i="22"/>
  <c r="CF13" i="22"/>
  <c r="CH13" i="22" s="1"/>
  <c r="BM11" i="22"/>
  <c r="BL4" i="22"/>
  <c r="R8" i="22"/>
  <c r="V8" i="22" s="1"/>
  <c r="V4" i="22" s="1"/>
  <c r="O17" i="22"/>
  <c r="BQ20" i="22"/>
  <c r="CE17" i="22"/>
  <c r="CF8" i="22"/>
  <c r="CH8" i="22" s="1"/>
  <c r="CF14" i="22"/>
  <c r="CC11" i="22"/>
  <c r="L8" i="22"/>
  <c r="CA8" i="22" s="1"/>
  <c r="BZ17" i="22"/>
  <c r="CA20" i="22"/>
  <c r="CA17" i="22" s="1"/>
  <c r="V17" i="22"/>
  <c r="CD17" i="22"/>
  <c r="BL17" i="22"/>
  <c r="AZ11" i="22"/>
  <c r="BI4" i="22"/>
  <c r="AO4" i="22"/>
  <c r="BY17" i="22"/>
  <c r="BN17" i="22"/>
  <c r="CC17" i="22"/>
  <c r="I17" i="22"/>
  <c r="CF9" i="22"/>
  <c r="CH9" i="22" s="1"/>
  <c r="BP9" i="22"/>
  <c r="BH4" i="22"/>
  <c r="CE4" i="22"/>
  <c r="S5" i="22"/>
  <c r="AR9" i="22"/>
  <c r="BX4" i="22"/>
  <c r="P8" i="22"/>
  <c r="M7" i="22"/>
  <c r="BT7" i="22" s="1"/>
  <c r="CD6" i="22"/>
  <c r="CD4" i="22" s="1"/>
  <c r="CF5" i="22"/>
  <c r="CH5" i="22" s="1"/>
  <c r="CE11" i="22"/>
  <c r="AZ17" i="22"/>
  <c r="AO17" i="22"/>
  <c r="BE11" i="22"/>
  <c r="X11" i="22"/>
  <c r="BW4" i="22"/>
  <c r="AZ4" i="22"/>
  <c r="CC6" i="22"/>
  <c r="CC4" i="22" s="1"/>
  <c r="BE17" i="22"/>
  <c r="BO13" i="22"/>
  <c r="BQ8" i="22"/>
  <c r="BU8" i="22" s="1"/>
  <c r="I6" i="22"/>
  <c r="J4" i="22"/>
  <c r="X17" i="22"/>
  <c r="AR17" i="22"/>
  <c r="BZ13" i="22"/>
  <c r="BL11" i="22"/>
  <c r="BP8" i="22"/>
  <c r="AR8" i="22"/>
  <c r="H7" i="22"/>
  <c r="BE6" i="22"/>
  <c r="BE4" i="22" s="1"/>
  <c r="BD4" i="22"/>
  <c r="BT6" i="22"/>
  <c r="BZ4" i="22"/>
  <c r="BT9" i="22"/>
  <c r="BN11" i="22"/>
  <c r="BC4" i="22"/>
  <c r="G4" i="22"/>
  <c r="R5" i="22"/>
  <c r="BT21" i="22"/>
  <c r="BT19" i="22"/>
  <c r="BT18" i="22"/>
  <c r="BT15" i="22"/>
  <c r="M8" i="22"/>
  <c r="BP5" i="22"/>
  <c r="K4" i="22"/>
  <c r="BS18" i="22"/>
  <c r="P5" i="22"/>
  <c r="BY4" i="22"/>
  <c r="BR18" i="22"/>
  <c r="I9" i="22"/>
  <c r="P6" i="22"/>
  <c r="CF6" i="22"/>
  <c r="CH6" i="22" s="1"/>
  <c r="CH4" i="22" l="1"/>
  <c r="CG20" i="22"/>
  <c r="CG17" i="22" s="1"/>
  <c r="CH20" i="22"/>
  <c r="CH17" i="22" s="1"/>
  <c r="CG14" i="22"/>
  <c r="CH14" i="22"/>
  <c r="CH11" i="22" s="1"/>
  <c r="CG12" i="22"/>
  <c r="CH12" i="22"/>
  <c r="BS14" i="22"/>
  <c r="BU14" i="22"/>
  <c r="BS13" i="22"/>
  <c r="BU13" i="22"/>
  <c r="BS20" i="22"/>
  <c r="BS17" i="22" s="1"/>
  <c r="BU20" i="22"/>
  <c r="R4" i="22"/>
  <c r="BJ8" i="22"/>
  <c r="BJ4" i="22" s="1"/>
  <c r="BS7" i="22"/>
  <c r="X7" i="22"/>
  <c r="BR17" i="22"/>
  <c r="BS5" i="22"/>
  <c r="CF17" i="22"/>
  <c r="CG6" i="22"/>
  <c r="CG7" i="22"/>
  <c r="BS6" i="22"/>
  <c r="CG5" i="22"/>
  <c r="BP11" i="22"/>
  <c r="CG8" i="22"/>
  <c r="BO8" i="22"/>
  <c r="X8" i="22"/>
  <c r="BN8" i="22"/>
  <c r="BR11" i="22"/>
  <c r="CG9" i="22"/>
  <c r="L4" i="22"/>
  <c r="BS9" i="22"/>
  <c r="BR6" i="22"/>
  <c r="BT20" i="22"/>
  <c r="BT17" i="22" s="1"/>
  <c r="BT12" i="22"/>
  <c r="BS12" i="22"/>
  <c r="H4" i="22"/>
  <c r="BS8" i="22"/>
  <c r="CF11" i="22"/>
  <c r="BK8" i="22"/>
  <c r="BK4" i="22" s="1"/>
  <c r="BO11" i="22"/>
  <c r="BT5" i="22"/>
  <c r="BR9" i="22"/>
  <c r="BP17" i="22"/>
  <c r="BQ17" i="22"/>
  <c r="CA9" i="22"/>
  <c r="CA4" i="22" s="1"/>
  <c r="BO9" i="22"/>
  <c r="BT13" i="22"/>
  <c r="CG13" i="22"/>
  <c r="AR4" i="22"/>
  <c r="BN9" i="22"/>
  <c r="BQ4" i="22"/>
  <c r="BT14" i="22"/>
  <c r="BQ11" i="22"/>
  <c r="X9" i="22"/>
  <c r="BR8" i="22"/>
  <c r="I4" i="22"/>
  <c r="BZ11" i="22"/>
  <c r="CA13" i="22"/>
  <c r="CA11" i="22" s="1"/>
  <c r="BT8" i="22"/>
  <c r="BP4" i="22"/>
  <c r="BR5" i="22"/>
  <c r="CF4" i="22"/>
  <c r="P4" i="22"/>
  <c r="I40" i="19"/>
  <c r="H40" i="19"/>
  <c r="G40" i="19"/>
  <c r="H39" i="19"/>
  <c r="G39" i="19"/>
  <c r="F39" i="19"/>
  <c r="H34" i="19"/>
  <c r="G34" i="19"/>
  <c r="D34" i="19"/>
  <c r="K32" i="19"/>
  <c r="H32" i="19"/>
  <c r="G32" i="19"/>
  <c r="D32" i="19"/>
  <c r="K31" i="19"/>
  <c r="H31" i="19"/>
  <c r="G31" i="19"/>
  <c r="D31" i="19"/>
  <c r="J30" i="19"/>
  <c r="G30" i="19"/>
  <c r="F30" i="19"/>
  <c r="C10" i="19"/>
  <c r="D10" i="19"/>
  <c r="E10" i="19"/>
  <c r="F10" i="19"/>
  <c r="G10" i="19"/>
  <c r="H10" i="19"/>
  <c r="I10" i="19"/>
  <c r="E30" i="19"/>
  <c r="H30" i="19"/>
  <c r="I30" i="19"/>
  <c r="E31" i="19"/>
  <c r="F31" i="19"/>
  <c r="I31" i="19"/>
  <c r="J31" i="19"/>
  <c r="E32" i="19"/>
  <c r="F32" i="19"/>
  <c r="I32" i="19"/>
  <c r="J32" i="19"/>
  <c r="E34" i="19"/>
  <c r="F34" i="19"/>
  <c r="I34" i="19"/>
  <c r="F37" i="19"/>
  <c r="G37" i="19"/>
  <c r="H37" i="19"/>
  <c r="I37" i="19"/>
  <c r="J37" i="19"/>
  <c r="K37" i="19"/>
  <c r="E38" i="19"/>
  <c r="F38" i="19"/>
  <c r="G38" i="19"/>
  <c r="H38" i="19"/>
  <c r="I38" i="19"/>
  <c r="J38" i="19"/>
  <c r="K38" i="19"/>
  <c r="E39" i="19"/>
  <c r="I39" i="19"/>
  <c r="J39" i="19"/>
  <c r="K39" i="19"/>
  <c r="E40" i="19"/>
  <c r="F40" i="19"/>
  <c r="J40" i="19"/>
  <c r="CG11" i="22" l="1"/>
  <c r="BS11" i="22"/>
  <c r="X4" i="22"/>
  <c r="BS4" i="22"/>
  <c r="CG4" i="22"/>
  <c r="BO4" i="22"/>
  <c r="BN4" i="22"/>
  <c r="BT11" i="22"/>
  <c r="BT4" i="22"/>
  <c r="BR4" i="22"/>
  <c r="D18" i="18"/>
  <c r="D8" i="18"/>
  <c r="D7" i="18"/>
  <c r="D25" i="18"/>
  <c r="C25" i="18"/>
  <c r="C24" i="18"/>
  <c r="C26" i="18" s="1"/>
  <c r="C23" i="18"/>
  <c r="D24" i="18" l="1"/>
  <c r="D26" i="18" s="1"/>
  <c r="D23" i="18"/>
  <c r="K6" i="18" l="1"/>
  <c r="M6" i="18" s="1"/>
  <c r="T6" i="18"/>
  <c r="V6" i="18" s="1"/>
  <c r="AC6" i="18"/>
  <c r="AE6" i="18" s="1"/>
  <c r="L17" i="18"/>
  <c r="U17" i="18"/>
  <c r="AC17" i="18"/>
  <c r="L29" i="18"/>
  <c r="U29" i="18"/>
  <c r="AC29" i="18"/>
  <c r="L41" i="18"/>
  <c r="U41" i="18"/>
  <c r="AC41" i="18"/>
  <c r="U53" i="18"/>
  <c r="AC53" i="18"/>
  <c r="L65" i="18"/>
  <c r="AC65" i="18"/>
  <c r="L77" i="18"/>
  <c r="AC77" i="18"/>
  <c r="L89" i="18"/>
  <c r="F5" i="17" l="1"/>
  <c r="F8" i="17"/>
  <c r="F11" i="17"/>
  <c r="F14" i="17"/>
  <c r="F17" i="17"/>
  <c r="F20" i="17"/>
  <c r="F23" i="17"/>
  <c r="F32" i="17"/>
  <c r="F35" i="17"/>
  <c r="F41" i="17"/>
  <c r="F47" i="17"/>
  <c r="F50" i="17"/>
  <c r="F53" i="17"/>
  <c r="F56" i="17"/>
  <c r="F62" i="17"/>
  <c r="F65" i="17"/>
  <c r="F7" i="5" l="1"/>
  <c r="H27" i="1" l="1"/>
  <c r="H28" i="1"/>
  <c r="H20" i="1"/>
  <c r="H21" i="1"/>
  <c r="H25" i="1"/>
  <c r="H26" i="1"/>
  <c r="H29" i="1"/>
  <c r="H30" i="1"/>
  <c r="H31" i="1"/>
  <c r="H32" i="1"/>
  <c r="H33" i="1"/>
  <c r="H34" i="1"/>
  <c r="H35" i="1"/>
  <c r="H36" i="1"/>
  <c r="H37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7" i="1"/>
  <c r="H58" i="1"/>
  <c r="H59" i="1"/>
  <c r="H60" i="1"/>
  <c r="H61" i="1"/>
  <c r="H62" i="1"/>
  <c r="H63" i="1"/>
  <c r="H64" i="1"/>
  <c r="H65" i="1"/>
  <c r="H66" i="1"/>
  <c r="H19" i="1"/>
  <c r="AN9" i="16" l="1"/>
  <c r="AH8" i="16"/>
  <c r="AI15" i="16" s="1"/>
  <c r="AI28" i="16"/>
  <c r="AI29" i="16"/>
  <c r="AI30" i="16"/>
  <c r="AI27" i="16"/>
  <c r="AI18" i="16"/>
  <c r="AI19" i="16"/>
  <c r="AI20" i="16"/>
  <c r="AI17" i="16"/>
  <c r="AG28" i="16"/>
  <c r="AG29" i="16"/>
  <c r="AG30" i="16"/>
  <c r="AG27" i="16"/>
  <c r="AG18" i="16"/>
  <c r="AG19" i="16"/>
  <c r="AG20" i="16"/>
  <c r="AG17" i="16"/>
  <c r="AE28" i="16"/>
  <c r="AE29" i="16"/>
  <c r="AE30" i="16"/>
  <c r="AE27" i="16"/>
  <c r="AE18" i="16"/>
  <c r="AE19" i="16"/>
  <c r="AE20" i="16"/>
  <c r="AE17" i="16"/>
  <c r="AD8" i="16"/>
  <c r="AE14" i="16" s="1"/>
  <c r="AF8" i="16"/>
  <c r="AG15" i="16" s="1"/>
  <c r="U13" i="16"/>
  <c r="U14" i="16"/>
  <c r="U15" i="16"/>
  <c r="U16" i="16"/>
  <c r="U17" i="16"/>
  <c r="U18" i="16"/>
  <c r="U19" i="16"/>
  <c r="U20" i="16"/>
  <c r="U22" i="16"/>
  <c r="U23" i="16"/>
  <c r="U24" i="16"/>
  <c r="U25" i="16"/>
  <c r="U27" i="16"/>
  <c r="U28" i="16"/>
  <c r="U29" i="16"/>
  <c r="U30" i="16"/>
  <c r="P13" i="16"/>
  <c r="D9" i="16"/>
  <c r="F9" i="16"/>
  <c r="AB9" i="16"/>
  <c r="AL9" i="16"/>
  <c r="AP9" i="16"/>
  <c r="D10" i="16"/>
  <c r="F10" i="16"/>
  <c r="AB10" i="16"/>
  <c r="AL10" i="16"/>
  <c r="AN10" i="16"/>
  <c r="AP10" i="16"/>
  <c r="D11" i="16"/>
  <c r="F11" i="16"/>
  <c r="D12" i="16"/>
  <c r="F12" i="16"/>
  <c r="D13" i="16"/>
  <c r="F13" i="16"/>
  <c r="O13" i="16"/>
  <c r="Y13" i="16"/>
  <c r="AB13" i="16"/>
  <c r="C14" i="16"/>
  <c r="D14" i="16"/>
  <c r="F14" i="16"/>
  <c r="O14" i="16"/>
  <c r="P14" i="16"/>
  <c r="Q14" i="16" s="1"/>
  <c r="Y14" i="16"/>
  <c r="Z14" i="16" s="1"/>
  <c r="AB14" i="16"/>
  <c r="C15" i="16"/>
  <c r="D15" i="16"/>
  <c r="F15" i="16"/>
  <c r="O15" i="16"/>
  <c r="P15" i="16"/>
  <c r="Y15" i="16"/>
  <c r="Z15" i="16" s="1"/>
  <c r="AB15" i="16"/>
  <c r="C16" i="16"/>
  <c r="D16" i="16"/>
  <c r="F16" i="16"/>
  <c r="O16" i="16"/>
  <c r="P16" i="16"/>
  <c r="Y16" i="16"/>
  <c r="Z16" i="16" s="1"/>
  <c r="AB16" i="16"/>
  <c r="C17" i="16"/>
  <c r="D17" i="16"/>
  <c r="F17" i="16"/>
  <c r="O17" i="16"/>
  <c r="P17" i="16"/>
  <c r="Q17" i="16" s="1"/>
  <c r="Y17" i="16"/>
  <c r="Z17" i="16" s="1"/>
  <c r="AB17" i="16"/>
  <c r="C18" i="16"/>
  <c r="D18" i="16"/>
  <c r="F18" i="16"/>
  <c r="O18" i="16"/>
  <c r="P18" i="16"/>
  <c r="Y18" i="16"/>
  <c r="Z18" i="16" s="1"/>
  <c r="AB18" i="16"/>
  <c r="C19" i="16"/>
  <c r="D19" i="16"/>
  <c r="F19" i="16"/>
  <c r="O19" i="16"/>
  <c r="P19" i="16"/>
  <c r="Y19" i="16"/>
  <c r="Z19" i="16" s="1"/>
  <c r="AB19" i="16"/>
  <c r="C20" i="16"/>
  <c r="D20" i="16"/>
  <c r="F20" i="16"/>
  <c r="O20" i="16"/>
  <c r="P20" i="16"/>
  <c r="Q20" i="16" s="1"/>
  <c r="Y20" i="16"/>
  <c r="Z20" i="16" s="1"/>
  <c r="AB20" i="16"/>
  <c r="F22" i="16"/>
  <c r="O22" i="16"/>
  <c r="Q22" i="16"/>
  <c r="V22" i="16"/>
  <c r="Y22" i="16"/>
  <c r="Z22" i="16" s="1"/>
  <c r="AB22" i="16"/>
  <c r="AJ22" i="16" s="1"/>
  <c r="AL22" i="16"/>
  <c r="AN22" i="16"/>
  <c r="AP22" i="16"/>
  <c r="F23" i="16"/>
  <c r="O23" i="16"/>
  <c r="P23" i="16"/>
  <c r="V23" i="16"/>
  <c r="Y23" i="16"/>
  <c r="Z23" i="16" s="1"/>
  <c r="AB23" i="16"/>
  <c r="AJ23" i="16" s="1"/>
  <c r="AL23" i="16"/>
  <c r="AN23" i="16"/>
  <c r="AP23" i="16"/>
  <c r="F24" i="16"/>
  <c r="O24" i="16"/>
  <c r="P24" i="16"/>
  <c r="Q24" i="16" s="1"/>
  <c r="V24" i="16"/>
  <c r="Y24" i="16"/>
  <c r="Z24" i="16" s="1"/>
  <c r="AB24" i="16"/>
  <c r="AJ24" i="16" s="1"/>
  <c r="AL24" i="16"/>
  <c r="AN24" i="16"/>
  <c r="AP24" i="16"/>
  <c r="F25" i="16"/>
  <c r="O25" i="16"/>
  <c r="P25" i="16"/>
  <c r="Q25" i="16" s="1"/>
  <c r="Y25" i="16"/>
  <c r="Z25" i="16" s="1"/>
  <c r="AB25" i="16"/>
  <c r="AJ25" i="16" s="1"/>
  <c r="AL25" i="16"/>
  <c r="AN25" i="16"/>
  <c r="AP25" i="16"/>
  <c r="F27" i="16"/>
  <c r="O27" i="16"/>
  <c r="P27" i="16"/>
  <c r="Y27" i="16"/>
  <c r="Z27" i="16" s="1"/>
  <c r="AB27" i="16"/>
  <c r="AL27" i="16"/>
  <c r="AN27" i="16"/>
  <c r="AP27" i="16"/>
  <c r="C28" i="16"/>
  <c r="F28" i="16"/>
  <c r="O28" i="16"/>
  <c r="P28" i="16"/>
  <c r="Y28" i="16"/>
  <c r="Z28" i="16" s="1"/>
  <c r="AB28" i="16"/>
  <c r="AL28" i="16"/>
  <c r="AN28" i="16"/>
  <c r="AP28" i="16"/>
  <c r="C29" i="16"/>
  <c r="F29" i="16"/>
  <c r="O29" i="16"/>
  <c r="P29" i="16"/>
  <c r="Y29" i="16"/>
  <c r="Z29" i="16" s="1"/>
  <c r="AB29" i="16"/>
  <c r="AL29" i="16"/>
  <c r="AN29" i="16"/>
  <c r="AP29" i="16"/>
  <c r="F30" i="16"/>
  <c r="O30" i="16"/>
  <c r="P30" i="16"/>
  <c r="Q30" i="16" s="1"/>
  <c r="Y30" i="16"/>
  <c r="Z30" i="16" s="1"/>
  <c r="AB30" i="16"/>
  <c r="AL30" i="16"/>
  <c r="AN30" i="16"/>
  <c r="AP30" i="16"/>
  <c r="AC28" i="16" l="1"/>
  <c r="AC17" i="16"/>
  <c r="AG14" i="16"/>
  <c r="AI13" i="16"/>
  <c r="AG13" i="16"/>
  <c r="AI16" i="16"/>
  <c r="AI14" i="16"/>
  <c r="AC18" i="16"/>
  <c r="AG16" i="16"/>
  <c r="AE13" i="16"/>
  <c r="AC20" i="16"/>
  <c r="AE16" i="16"/>
  <c r="AE15" i="16"/>
  <c r="AC19" i="16"/>
  <c r="AC27" i="16"/>
  <c r="AC30" i="16"/>
  <c r="AC29" i="16"/>
  <c r="AB8" i="16"/>
  <c r="AP16" i="16"/>
  <c r="AJ29" i="16"/>
  <c r="AP13" i="16"/>
  <c r="AP19" i="16"/>
  <c r="AP15" i="16"/>
  <c r="AP17" i="16"/>
  <c r="AJ28" i="16"/>
  <c r="AL19" i="16"/>
  <c r="AL16" i="16"/>
  <c r="AL13" i="16"/>
  <c r="AL17" i="16"/>
  <c r="AL15" i="16"/>
  <c r="AP18" i="16"/>
  <c r="AP14" i="16"/>
  <c r="AJ27" i="16"/>
  <c r="AP20" i="16"/>
  <c r="AL18" i="16"/>
  <c r="Q18" i="16"/>
  <c r="AL14" i="16"/>
  <c r="AJ30" i="16"/>
  <c r="AL20" i="16"/>
  <c r="AN20" i="16"/>
  <c r="AN19" i="16"/>
  <c r="Q19" i="16"/>
  <c r="Q23" i="16"/>
  <c r="AN18" i="16"/>
  <c r="AN17" i="16"/>
  <c r="AN16" i="16"/>
  <c r="Q16" i="16"/>
  <c r="AN15" i="16"/>
  <c r="Q15" i="16"/>
  <c r="AN14" i="16"/>
  <c r="Q29" i="16"/>
  <c r="Q28" i="16"/>
  <c r="Q27" i="16"/>
  <c r="AN13" i="16"/>
  <c r="Z13" i="16"/>
  <c r="Q13" i="16"/>
  <c r="AJ13" i="16" l="1"/>
  <c r="AC14" i="16"/>
  <c r="AC15" i="16"/>
  <c r="AC16" i="16"/>
  <c r="AC13" i="16"/>
  <c r="AJ15" i="16"/>
  <c r="AJ16" i="16"/>
  <c r="AJ18" i="16"/>
  <c r="AJ20" i="16"/>
  <c r="AJ19" i="16"/>
  <c r="AJ17" i="16"/>
  <c r="AJ14" i="16"/>
  <c r="AL41" i="13" l="1"/>
  <c r="AL42" i="13"/>
  <c r="AL43" i="13"/>
  <c r="AL44" i="13"/>
  <c r="AL45" i="13"/>
  <c r="AL40" i="13"/>
  <c r="AL15" i="13"/>
  <c r="AL16" i="13"/>
  <c r="AL18" i="13"/>
  <c r="AL19" i="13"/>
  <c r="AL20" i="13"/>
  <c r="AL21" i="13"/>
  <c r="AL22" i="13"/>
  <c r="AL23" i="13"/>
  <c r="AL24" i="13"/>
  <c r="AL26" i="13"/>
  <c r="AL27" i="13"/>
  <c r="AL28" i="13"/>
  <c r="AL29" i="13"/>
  <c r="AL14" i="13"/>
  <c r="AJ41" i="13"/>
  <c r="AJ42" i="13"/>
  <c r="AJ43" i="13"/>
  <c r="AJ44" i="13"/>
  <c r="AJ45" i="13"/>
  <c r="AJ40" i="13"/>
  <c r="AJ15" i="13"/>
  <c r="AJ16" i="13"/>
  <c r="AJ18" i="13"/>
  <c r="AJ19" i="13"/>
  <c r="AJ20" i="13"/>
  <c r="AJ21" i="13"/>
  <c r="AJ22" i="13"/>
  <c r="AJ23" i="13"/>
  <c r="AJ24" i="13"/>
  <c r="AJ26" i="13"/>
  <c r="AJ27" i="13"/>
  <c r="AJ28" i="13"/>
  <c r="AJ29" i="13"/>
  <c r="AJ14" i="13"/>
  <c r="AH41" i="13"/>
  <c r="AH42" i="13"/>
  <c r="AH43" i="13"/>
  <c r="AH44" i="13"/>
  <c r="AH45" i="13"/>
  <c r="AH40" i="13"/>
  <c r="AH15" i="13"/>
  <c r="AH16" i="13"/>
  <c r="AH18" i="13"/>
  <c r="AH19" i="13"/>
  <c r="AH20" i="13"/>
  <c r="AH21" i="13"/>
  <c r="AH22" i="13"/>
  <c r="AH23" i="13"/>
  <c r="AH24" i="13"/>
  <c r="AH26" i="13"/>
  <c r="AH27" i="13"/>
  <c r="AH28" i="13"/>
  <c r="AH29" i="13"/>
  <c r="AH14" i="13"/>
  <c r="D6" i="13"/>
  <c r="F6" i="13"/>
  <c r="Y6" i="13"/>
  <c r="AE6" i="13"/>
  <c r="AM6" i="13" s="1"/>
  <c r="AO6" i="13"/>
  <c r="AQ6" i="13"/>
  <c r="AS6" i="13"/>
  <c r="D7" i="13"/>
  <c r="F7" i="13"/>
  <c r="Y7" i="13"/>
  <c r="AE7" i="13"/>
  <c r="AM7" i="13" s="1"/>
  <c r="AO7" i="13"/>
  <c r="AQ7" i="13"/>
  <c r="AS7" i="13"/>
  <c r="D8" i="13"/>
  <c r="F8" i="13"/>
  <c r="Y8" i="13"/>
  <c r="AE8" i="13"/>
  <c r="AM8" i="13" s="1"/>
  <c r="AO8" i="13"/>
  <c r="AQ8" i="13"/>
  <c r="AS8" i="13"/>
  <c r="D9" i="13"/>
  <c r="F9" i="13"/>
  <c r="Y9" i="13"/>
  <c r="AE9" i="13"/>
  <c r="AM9" i="13" s="1"/>
  <c r="AO9" i="13"/>
  <c r="AQ9" i="13"/>
  <c r="AS9" i="13"/>
  <c r="D10" i="13"/>
  <c r="F10" i="13"/>
  <c r="Y10" i="13"/>
  <c r="AE10" i="13"/>
  <c r="AM10" i="13" s="1"/>
  <c r="AO10" i="13"/>
  <c r="AQ10" i="13"/>
  <c r="AS10" i="13"/>
  <c r="D11" i="13"/>
  <c r="F11" i="13"/>
  <c r="Y11" i="13"/>
  <c r="AE11" i="13"/>
  <c r="AM11" i="13" s="1"/>
  <c r="AO11" i="13"/>
  <c r="AQ11" i="13"/>
  <c r="AS11" i="13"/>
  <c r="D12" i="13"/>
  <c r="F12" i="13"/>
  <c r="Y12" i="13"/>
  <c r="AE12" i="13"/>
  <c r="AO12" i="13"/>
  <c r="AQ12" i="13"/>
  <c r="AS12" i="13"/>
  <c r="D13" i="13"/>
  <c r="F13" i="13"/>
  <c r="Y13" i="13"/>
  <c r="AE13" i="13"/>
  <c r="AO13" i="13"/>
  <c r="AQ13" i="13"/>
  <c r="AS13" i="13"/>
  <c r="C14" i="13"/>
  <c r="D14" i="13"/>
  <c r="F14" i="13"/>
  <c r="O14" i="13"/>
  <c r="P14" i="13"/>
  <c r="V14" i="13"/>
  <c r="Y14" i="13"/>
  <c r="AB14" i="13"/>
  <c r="AE14" i="13"/>
  <c r="AO14" i="13"/>
  <c r="AQ14" i="13"/>
  <c r="AS14" i="13"/>
  <c r="D15" i="13"/>
  <c r="F15" i="13"/>
  <c r="O15" i="13"/>
  <c r="P15" i="13"/>
  <c r="Q15" i="13" s="1"/>
  <c r="V15" i="13"/>
  <c r="Y15" i="13"/>
  <c r="AB15" i="13"/>
  <c r="AC15" i="13" s="1"/>
  <c r="AE15" i="13"/>
  <c r="AQ15" i="13"/>
  <c r="AS15" i="13"/>
  <c r="D16" i="13"/>
  <c r="F16" i="13"/>
  <c r="O16" i="13"/>
  <c r="P16" i="13"/>
  <c r="Q16" i="13" s="1"/>
  <c r="V16" i="13"/>
  <c r="Y16" i="13"/>
  <c r="AB16" i="13"/>
  <c r="AC16" i="13" s="1"/>
  <c r="AE16" i="13"/>
  <c r="AO16" i="13"/>
  <c r="AQ16" i="13"/>
  <c r="AS16" i="13"/>
  <c r="C17" i="13"/>
  <c r="D17" i="13"/>
  <c r="F17" i="13"/>
  <c r="O17" i="13"/>
  <c r="P17" i="13"/>
  <c r="V17" i="13"/>
  <c r="Y17" i="13"/>
  <c r="AB17" i="13"/>
  <c r="AC17" i="13" s="1"/>
  <c r="C18" i="13"/>
  <c r="D18" i="13"/>
  <c r="F18" i="13"/>
  <c r="O18" i="13"/>
  <c r="P18" i="13"/>
  <c r="Q18" i="13" s="1"/>
  <c r="V18" i="13"/>
  <c r="Y18" i="13"/>
  <c r="AB18" i="13"/>
  <c r="AC18" i="13" s="1"/>
  <c r="AE18" i="13"/>
  <c r="AO18" i="13"/>
  <c r="AQ18" i="13"/>
  <c r="AS18" i="13"/>
  <c r="D19" i="13"/>
  <c r="F19" i="13"/>
  <c r="O19" i="13"/>
  <c r="P19" i="13"/>
  <c r="Q19" i="13" s="1"/>
  <c r="V19" i="13"/>
  <c r="Y19" i="13"/>
  <c r="AB19" i="13"/>
  <c r="AC19" i="13" s="1"/>
  <c r="AE19" i="13"/>
  <c r="AO19" i="13"/>
  <c r="AQ19" i="13"/>
  <c r="AS19" i="13"/>
  <c r="C20" i="13"/>
  <c r="D20" i="13"/>
  <c r="F20" i="13"/>
  <c r="O20" i="13"/>
  <c r="P20" i="13"/>
  <c r="V20" i="13"/>
  <c r="Y20" i="13"/>
  <c r="AB20" i="13"/>
  <c r="AC20" i="13" s="1"/>
  <c r="AE20" i="13"/>
  <c r="AO20" i="13"/>
  <c r="AQ20" i="13"/>
  <c r="AS20" i="13"/>
  <c r="C21" i="13"/>
  <c r="D21" i="13"/>
  <c r="F21" i="13"/>
  <c r="O21" i="13"/>
  <c r="P21" i="13"/>
  <c r="Q21" i="13" s="1"/>
  <c r="V21" i="13"/>
  <c r="Y21" i="13"/>
  <c r="AB21" i="13"/>
  <c r="AC21" i="13" s="1"/>
  <c r="AE21" i="13"/>
  <c r="AO21" i="13"/>
  <c r="AQ21" i="13"/>
  <c r="AS21" i="13"/>
  <c r="D22" i="13"/>
  <c r="F22" i="13"/>
  <c r="O22" i="13"/>
  <c r="P22" i="13"/>
  <c r="Q22" i="13" s="1"/>
  <c r="V22" i="13"/>
  <c r="Y22" i="13"/>
  <c r="AB22" i="13"/>
  <c r="AC22" i="13" s="1"/>
  <c r="AE22" i="13"/>
  <c r="AO22" i="13"/>
  <c r="AQ22" i="13"/>
  <c r="AS22" i="13"/>
  <c r="C23" i="13"/>
  <c r="D23" i="13"/>
  <c r="F23" i="13"/>
  <c r="O23" i="13"/>
  <c r="P23" i="13"/>
  <c r="V23" i="13"/>
  <c r="Y23" i="13"/>
  <c r="AB23" i="13"/>
  <c r="AC23" i="13" s="1"/>
  <c r="AE23" i="13"/>
  <c r="AO23" i="13"/>
  <c r="AQ23" i="13"/>
  <c r="AS23" i="13"/>
  <c r="D24" i="13"/>
  <c r="F24" i="13"/>
  <c r="O24" i="13"/>
  <c r="P24" i="13"/>
  <c r="V24" i="13"/>
  <c r="Y24" i="13"/>
  <c r="AB24" i="13"/>
  <c r="AC24" i="13" s="1"/>
  <c r="AE24" i="13"/>
  <c r="AO24" i="13"/>
  <c r="AQ24" i="13"/>
  <c r="AS24" i="13"/>
  <c r="D25" i="13"/>
  <c r="F25" i="13"/>
  <c r="O25" i="13"/>
  <c r="P25" i="13"/>
  <c r="Q25" i="13" s="1"/>
  <c r="V25" i="13"/>
  <c r="Y25" i="13"/>
  <c r="AB25" i="13"/>
  <c r="AC25" i="13" s="1"/>
  <c r="AE25" i="13"/>
  <c r="AO25" i="13"/>
  <c r="AQ25" i="13"/>
  <c r="AS25" i="13"/>
  <c r="C26" i="13"/>
  <c r="D26" i="13"/>
  <c r="F26" i="13"/>
  <c r="O26" i="13"/>
  <c r="P26" i="13"/>
  <c r="V26" i="13"/>
  <c r="Y26" i="13"/>
  <c r="AB26" i="13"/>
  <c r="AC26" i="13" s="1"/>
  <c r="AE26" i="13"/>
  <c r="AO26" i="13"/>
  <c r="AQ26" i="13"/>
  <c r="AS26" i="13"/>
  <c r="C27" i="13"/>
  <c r="D27" i="13"/>
  <c r="F27" i="13"/>
  <c r="O27" i="13"/>
  <c r="P27" i="13"/>
  <c r="Q27" i="13" s="1"/>
  <c r="V27" i="13"/>
  <c r="Y27" i="13"/>
  <c r="AB27" i="13"/>
  <c r="AC27" i="13" s="1"/>
  <c r="AE27" i="13"/>
  <c r="AO27" i="13"/>
  <c r="AQ27" i="13"/>
  <c r="AS27" i="13"/>
  <c r="C28" i="13"/>
  <c r="D28" i="13"/>
  <c r="F28" i="13"/>
  <c r="O28" i="13"/>
  <c r="P28" i="13"/>
  <c r="Q28" i="13" s="1"/>
  <c r="V28" i="13"/>
  <c r="Y28" i="13"/>
  <c r="AB28" i="13"/>
  <c r="AC28" i="13" s="1"/>
  <c r="AE28" i="13"/>
  <c r="AO28" i="13"/>
  <c r="AQ28" i="13"/>
  <c r="AS28" i="13"/>
  <c r="C29" i="13"/>
  <c r="D29" i="13"/>
  <c r="F29" i="13"/>
  <c r="O29" i="13"/>
  <c r="P29" i="13"/>
  <c r="V29" i="13"/>
  <c r="Y29" i="13"/>
  <c r="AB29" i="13"/>
  <c r="AC29" i="13" s="1"/>
  <c r="AE29" i="13"/>
  <c r="AO29" i="13"/>
  <c r="AQ29" i="13"/>
  <c r="AS29" i="13"/>
  <c r="F30" i="13"/>
  <c r="V30" i="13"/>
  <c r="X30" i="13"/>
  <c r="Y30" i="13"/>
  <c r="AB30" i="13"/>
  <c r="AC30" i="13" s="1"/>
  <c r="F31" i="13"/>
  <c r="V31" i="13"/>
  <c r="X31" i="13"/>
  <c r="Y31" i="13"/>
  <c r="AB31" i="13"/>
  <c r="AC31" i="13" s="1"/>
  <c r="F32" i="13"/>
  <c r="V32" i="13"/>
  <c r="X32" i="13"/>
  <c r="Y32" i="13"/>
  <c r="AB32" i="13"/>
  <c r="AC32" i="13" s="1"/>
  <c r="AE32" i="13"/>
  <c r="AM32" i="13" s="1"/>
  <c r="AO32" i="13"/>
  <c r="AQ32" i="13"/>
  <c r="AS32" i="13"/>
  <c r="F33" i="13"/>
  <c r="V33" i="13"/>
  <c r="X33" i="13"/>
  <c r="Y33" i="13"/>
  <c r="AB33" i="13"/>
  <c r="AC33" i="13" s="1"/>
  <c r="AE33" i="13"/>
  <c r="AM33" i="13" s="1"/>
  <c r="AO33" i="13"/>
  <c r="AQ33" i="13"/>
  <c r="AS33" i="13"/>
  <c r="F34" i="13"/>
  <c r="V34" i="13"/>
  <c r="X34" i="13"/>
  <c r="Y34" i="13"/>
  <c r="AB34" i="13"/>
  <c r="AC34" i="13" s="1"/>
  <c r="AE34" i="13"/>
  <c r="AM34" i="13" s="1"/>
  <c r="AO34" i="13"/>
  <c r="AQ34" i="13"/>
  <c r="AS34" i="13"/>
  <c r="F35" i="13"/>
  <c r="V35" i="13"/>
  <c r="X35" i="13"/>
  <c r="Y35" i="13"/>
  <c r="AB35" i="13"/>
  <c r="AC35" i="13" s="1"/>
  <c r="AE35" i="13"/>
  <c r="AM35" i="13" s="1"/>
  <c r="AO35" i="13"/>
  <c r="AQ35" i="13"/>
  <c r="AS35" i="13"/>
  <c r="F36" i="13"/>
  <c r="O36" i="13"/>
  <c r="P36" i="13"/>
  <c r="V36" i="13"/>
  <c r="X36" i="13"/>
  <c r="Y36" i="13"/>
  <c r="AB36" i="13"/>
  <c r="AC36" i="13" s="1"/>
  <c r="AE36" i="13"/>
  <c r="AO36" i="13"/>
  <c r="AQ36" i="13"/>
  <c r="AS36" i="13"/>
  <c r="F37" i="13"/>
  <c r="O37" i="13"/>
  <c r="P37" i="13"/>
  <c r="V37" i="13"/>
  <c r="X37" i="13"/>
  <c r="Y37" i="13"/>
  <c r="AB37" i="13"/>
  <c r="AC37" i="13" s="1"/>
  <c r="AE37" i="13"/>
  <c r="AO37" i="13"/>
  <c r="AQ37" i="13"/>
  <c r="AS37" i="13"/>
  <c r="C38" i="13"/>
  <c r="F38" i="13"/>
  <c r="O38" i="13"/>
  <c r="P38" i="13"/>
  <c r="V38" i="13"/>
  <c r="AB38" i="13"/>
  <c r="AE38" i="13"/>
  <c r="F39" i="13"/>
  <c r="O39" i="13"/>
  <c r="P39" i="13"/>
  <c r="Q39" i="13" s="1"/>
  <c r="V39" i="13"/>
  <c r="AB39" i="13"/>
  <c r="AC39" i="13" s="1"/>
  <c r="AE39" i="13"/>
  <c r="C40" i="13"/>
  <c r="F40" i="13"/>
  <c r="O40" i="13"/>
  <c r="P40" i="13"/>
  <c r="V40" i="13"/>
  <c r="AB40" i="13"/>
  <c r="AC40" i="13" s="1"/>
  <c r="AE40" i="13"/>
  <c r="AO40" i="13"/>
  <c r="AQ40" i="13"/>
  <c r="AS40" i="13"/>
  <c r="F41" i="13"/>
  <c r="O41" i="13"/>
  <c r="P41" i="13"/>
  <c r="Q41" i="13" s="1"/>
  <c r="V41" i="13"/>
  <c r="AB41" i="13"/>
  <c r="AC41" i="13" s="1"/>
  <c r="AE41" i="13"/>
  <c r="AO41" i="13"/>
  <c r="AQ41" i="13"/>
  <c r="AS41" i="13"/>
  <c r="F42" i="13"/>
  <c r="O42" i="13"/>
  <c r="P42" i="13"/>
  <c r="V42" i="13"/>
  <c r="AB42" i="13"/>
  <c r="AC42" i="13" s="1"/>
  <c r="AE42" i="13"/>
  <c r="AO42" i="13"/>
  <c r="AQ42" i="13"/>
  <c r="AS42" i="13"/>
  <c r="C43" i="13"/>
  <c r="F43" i="13"/>
  <c r="O43" i="13"/>
  <c r="P43" i="13"/>
  <c r="V43" i="13"/>
  <c r="AB43" i="13"/>
  <c r="AC43" i="13" s="1"/>
  <c r="AE43" i="13"/>
  <c r="AO43" i="13"/>
  <c r="AQ43" i="13"/>
  <c r="AS43" i="13"/>
  <c r="C44" i="13"/>
  <c r="F44" i="13"/>
  <c r="O44" i="13"/>
  <c r="P44" i="13"/>
  <c r="V44" i="13"/>
  <c r="AB44" i="13"/>
  <c r="AC44" i="13" s="1"/>
  <c r="AE44" i="13"/>
  <c r="AO44" i="13"/>
  <c r="AQ44" i="13"/>
  <c r="AS44" i="13"/>
  <c r="C45" i="13"/>
  <c r="F45" i="13"/>
  <c r="O45" i="13"/>
  <c r="P45" i="13"/>
  <c r="V45" i="13"/>
  <c r="AB45" i="13"/>
  <c r="AC45" i="13" s="1"/>
  <c r="AE45" i="13"/>
  <c r="AO45" i="13"/>
  <c r="AQ45" i="13"/>
  <c r="AS45" i="13"/>
  <c r="AF40" i="13" l="1"/>
  <c r="AF43" i="13"/>
  <c r="AF44" i="13"/>
  <c r="AF45" i="13"/>
  <c r="AF41" i="13"/>
  <c r="AF28" i="13"/>
  <c r="AF23" i="13"/>
  <c r="AF21" i="13"/>
  <c r="AF42" i="13"/>
  <c r="AF29" i="13"/>
  <c r="AF26" i="13"/>
  <c r="AF24" i="13"/>
  <c r="AF22" i="13"/>
  <c r="AF27" i="13"/>
  <c r="AF20" i="13"/>
  <c r="AF14" i="13"/>
  <c r="AF19" i="13"/>
  <c r="AF18" i="13"/>
  <c r="AF16" i="13"/>
  <c r="AF15" i="13"/>
  <c r="AM18" i="13"/>
  <c r="Q26" i="13"/>
  <c r="Q45" i="13"/>
  <c r="AM41" i="13"/>
  <c r="AM40" i="13"/>
  <c r="AM22" i="13"/>
  <c r="AM43" i="13"/>
  <c r="Q36" i="13"/>
  <c r="AM23" i="13"/>
  <c r="AM45" i="13"/>
  <c r="Q44" i="13"/>
  <c r="Q23" i="13"/>
  <c r="Q14" i="13"/>
  <c r="AM20" i="13"/>
  <c r="AM36" i="13"/>
  <c r="AM27" i="13"/>
  <c r="AM19" i="13"/>
  <c r="AM15" i="13"/>
  <c r="AM44" i="13"/>
  <c r="AM42" i="13"/>
  <c r="Q37" i="13"/>
  <c r="AM28" i="13"/>
  <c r="Q40" i="13"/>
  <c r="AM26" i="13"/>
  <c r="AM12" i="13"/>
  <c r="Q42" i="13"/>
  <c r="AM29" i="13"/>
  <c r="Q29" i="13"/>
  <c r="AM16" i="13"/>
  <c r="AC14" i="13"/>
  <c r="AM13" i="13"/>
  <c r="AC38" i="13"/>
  <c r="AM37" i="13"/>
  <c r="AM14" i="13"/>
  <c r="AM21" i="13"/>
  <c r="Q38" i="13"/>
  <c r="AM25" i="13"/>
  <c r="AM24" i="13"/>
  <c r="Q24" i="13"/>
  <c r="Q43" i="13"/>
  <c r="Q20" i="13"/>
  <c r="Q17" i="13"/>
  <c r="AE17" i="12" l="1"/>
  <c r="AE18" i="12"/>
  <c r="AE19" i="12"/>
  <c r="AE20" i="12"/>
  <c r="AE21" i="12"/>
  <c r="AE22" i="12"/>
  <c r="AE24" i="12"/>
  <c r="AE25" i="12"/>
  <c r="AE26" i="12"/>
  <c r="AE27" i="12"/>
  <c r="AE28" i="12"/>
  <c r="AE29" i="12"/>
  <c r="AE30" i="12"/>
  <c r="AE32" i="12"/>
  <c r="AE33" i="12"/>
  <c r="AE34" i="12"/>
  <c r="AE35" i="12"/>
  <c r="AE36" i="12"/>
  <c r="AE37" i="12"/>
  <c r="AE38" i="12"/>
  <c r="AE16" i="12"/>
  <c r="AC17" i="12"/>
  <c r="AC18" i="12"/>
  <c r="AC19" i="12"/>
  <c r="AC20" i="12"/>
  <c r="AC21" i="12"/>
  <c r="AC22" i="12"/>
  <c r="AC24" i="12"/>
  <c r="AC25" i="12"/>
  <c r="AC26" i="12"/>
  <c r="AC27" i="12"/>
  <c r="AC28" i="12"/>
  <c r="AC29" i="12"/>
  <c r="AC30" i="12"/>
  <c r="AC32" i="12"/>
  <c r="AC33" i="12"/>
  <c r="AC34" i="12"/>
  <c r="AC35" i="12"/>
  <c r="AC36" i="12"/>
  <c r="AC37" i="12"/>
  <c r="AC38" i="12"/>
  <c r="AC16" i="12"/>
  <c r="AA17" i="12"/>
  <c r="AA18" i="12"/>
  <c r="AA19" i="12"/>
  <c r="AA20" i="12"/>
  <c r="AA21" i="12"/>
  <c r="AA22" i="12"/>
  <c r="AA24" i="12"/>
  <c r="AA25" i="12"/>
  <c r="AA26" i="12"/>
  <c r="AA27" i="12"/>
  <c r="AA28" i="12"/>
  <c r="AA29" i="12"/>
  <c r="AA30" i="12"/>
  <c r="AA32" i="12"/>
  <c r="AA33" i="12"/>
  <c r="AA34" i="12"/>
  <c r="AA35" i="12"/>
  <c r="AA36" i="12"/>
  <c r="AA37" i="12"/>
  <c r="AA38" i="12"/>
  <c r="AA16" i="12"/>
  <c r="P15" i="12"/>
  <c r="Q15" i="12" s="1"/>
  <c r="AF14" i="11"/>
  <c r="AF15" i="11"/>
  <c r="AF16" i="11"/>
  <c r="AF17" i="11"/>
  <c r="AF18" i="11"/>
  <c r="AF19" i="11"/>
  <c r="AF20" i="11"/>
  <c r="AF21" i="11"/>
  <c r="AF22" i="11"/>
  <c r="AF23" i="11"/>
  <c r="AF24" i="11"/>
  <c r="AF25" i="11"/>
  <c r="AF26" i="11"/>
  <c r="AF27" i="11"/>
  <c r="AF28" i="11"/>
  <c r="AF29" i="11"/>
  <c r="AF30" i="11"/>
  <c r="AF31" i="11"/>
  <c r="AF32" i="11"/>
  <c r="AF33" i="11"/>
  <c r="AF13" i="11"/>
  <c r="AD14" i="11"/>
  <c r="AD15" i="11"/>
  <c r="AD16" i="11"/>
  <c r="AD17" i="11"/>
  <c r="AD18" i="11"/>
  <c r="AD19" i="11"/>
  <c r="AD20" i="11"/>
  <c r="AD21" i="11"/>
  <c r="AD22" i="11"/>
  <c r="AD23" i="11"/>
  <c r="AD24" i="11"/>
  <c r="AD25" i="11"/>
  <c r="AD26" i="11"/>
  <c r="AD27" i="11"/>
  <c r="AD28" i="11"/>
  <c r="AD29" i="11"/>
  <c r="AD30" i="11"/>
  <c r="AD31" i="11"/>
  <c r="AD32" i="11"/>
  <c r="AD33" i="11"/>
  <c r="AD13" i="11"/>
  <c r="AB14" i="11"/>
  <c r="AB15" i="11"/>
  <c r="AB16" i="11"/>
  <c r="AB17" i="11"/>
  <c r="AB18" i="11"/>
  <c r="AB19" i="11"/>
  <c r="AB20" i="11"/>
  <c r="AB21" i="11"/>
  <c r="AB22" i="11"/>
  <c r="AB23" i="11"/>
  <c r="AB24" i="11"/>
  <c r="AB25" i="11"/>
  <c r="AB26" i="11"/>
  <c r="AB27" i="11"/>
  <c r="AB28" i="11"/>
  <c r="AB29" i="11"/>
  <c r="AB30" i="11"/>
  <c r="AB31" i="11"/>
  <c r="AB32" i="11"/>
  <c r="AB33" i="11"/>
  <c r="AB13" i="11"/>
  <c r="E7" i="12" l="1"/>
  <c r="E8" i="12"/>
  <c r="X8" i="12"/>
  <c r="AH8" i="12"/>
  <c r="AJ8" i="12"/>
  <c r="AL8" i="12"/>
  <c r="E9" i="12"/>
  <c r="X9" i="12"/>
  <c r="AH9" i="12"/>
  <c r="AJ9" i="12"/>
  <c r="AL9" i="12"/>
  <c r="E10" i="12"/>
  <c r="X10" i="12"/>
  <c r="AH10" i="12"/>
  <c r="AJ10" i="12"/>
  <c r="AL10" i="12"/>
  <c r="E11" i="12"/>
  <c r="X11" i="12"/>
  <c r="AH11" i="12"/>
  <c r="AJ11" i="12"/>
  <c r="AL11" i="12"/>
  <c r="E12" i="12"/>
  <c r="X12" i="12"/>
  <c r="AH12" i="12"/>
  <c r="AJ12" i="12"/>
  <c r="AL12" i="12"/>
  <c r="E13" i="12"/>
  <c r="X13" i="12"/>
  <c r="AH13" i="12"/>
  <c r="AJ13" i="12"/>
  <c r="AL13" i="12"/>
  <c r="E14" i="12"/>
  <c r="X14" i="12"/>
  <c r="AH14" i="12"/>
  <c r="AJ14" i="12"/>
  <c r="AL14" i="12"/>
  <c r="C15" i="12"/>
  <c r="E15" i="12"/>
  <c r="F15" i="12"/>
  <c r="O15" i="12"/>
  <c r="R15" i="12"/>
  <c r="U15" i="12"/>
  <c r="X15" i="12"/>
  <c r="E16" i="12"/>
  <c r="F16" i="12"/>
  <c r="O16" i="12"/>
  <c r="P16" i="12"/>
  <c r="R16" i="12"/>
  <c r="U16" i="12"/>
  <c r="V16" i="12" s="1"/>
  <c r="X16" i="12"/>
  <c r="AH16" i="12"/>
  <c r="AJ16" i="12"/>
  <c r="AL16" i="12"/>
  <c r="C17" i="12"/>
  <c r="E17" i="12"/>
  <c r="F17" i="12"/>
  <c r="O17" i="12"/>
  <c r="P17" i="12"/>
  <c r="Q17" i="12" s="1"/>
  <c r="R17" i="12"/>
  <c r="U17" i="12"/>
  <c r="V17" i="12" s="1"/>
  <c r="X17" i="12"/>
  <c r="AH17" i="12"/>
  <c r="AJ17" i="12"/>
  <c r="AL17" i="12"/>
  <c r="C18" i="12"/>
  <c r="E18" i="12"/>
  <c r="F18" i="12"/>
  <c r="O18" i="12"/>
  <c r="P18" i="12"/>
  <c r="Q18" i="12" s="1"/>
  <c r="R18" i="12"/>
  <c r="U18" i="12"/>
  <c r="V18" i="12" s="1"/>
  <c r="X18" i="12"/>
  <c r="AH18" i="12"/>
  <c r="AJ18" i="12"/>
  <c r="AL18" i="12"/>
  <c r="C19" i="12"/>
  <c r="E19" i="12"/>
  <c r="F19" i="12"/>
  <c r="O19" i="12"/>
  <c r="P19" i="12"/>
  <c r="R19" i="12"/>
  <c r="U19" i="12"/>
  <c r="V19" i="12" s="1"/>
  <c r="X19" i="12"/>
  <c r="AJ19" i="12"/>
  <c r="AL19" i="12"/>
  <c r="E20" i="12"/>
  <c r="F20" i="12"/>
  <c r="O20" i="12"/>
  <c r="P20" i="12"/>
  <c r="R20" i="12"/>
  <c r="U20" i="12"/>
  <c r="V20" i="12" s="1"/>
  <c r="X20" i="12"/>
  <c r="AH20" i="12"/>
  <c r="AJ20" i="12"/>
  <c r="AL20" i="12"/>
  <c r="E21" i="12"/>
  <c r="F21" i="12"/>
  <c r="O21" i="12"/>
  <c r="P21" i="12"/>
  <c r="R21" i="12"/>
  <c r="U21" i="12"/>
  <c r="V21" i="12" s="1"/>
  <c r="X21" i="12"/>
  <c r="AH21" i="12"/>
  <c r="AJ21" i="12"/>
  <c r="AL21" i="12"/>
  <c r="E22" i="12"/>
  <c r="F22" i="12"/>
  <c r="O22" i="12"/>
  <c r="P22" i="12"/>
  <c r="Q22" i="12" s="1"/>
  <c r="R22" i="12"/>
  <c r="U22" i="12"/>
  <c r="V22" i="12" s="1"/>
  <c r="X22" i="12"/>
  <c r="AH22" i="12"/>
  <c r="AJ22" i="12"/>
  <c r="AL22" i="12"/>
  <c r="C23" i="12"/>
  <c r="E23" i="12"/>
  <c r="F23" i="12"/>
  <c r="O23" i="12"/>
  <c r="P23" i="12"/>
  <c r="Q23" i="12" s="1"/>
  <c r="R23" i="12"/>
  <c r="U23" i="12"/>
  <c r="V23" i="12" s="1"/>
  <c r="X23" i="12"/>
  <c r="C24" i="12"/>
  <c r="E24" i="12"/>
  <c r="F24" i="12"/>
  <c r="O24" i="12"/>
  <c r="P24" i="12"/>
  <c r="R24" i="12"/>
  <c r="U24" i="12"/>
  <c r="V24" i="12" s="1"/>
  <c r="X24" i="12"/>
  <c r="AH24" i="12"/>
  <c r="AJ24" i="12"/>
  <c r="AL24" i="12"/>
  <c r="C25" i="12"/>
  <c r="E25" i="12"/>
  <c r="F25" i="12"/>
  <c r="O25" i="12"/>
  <c r="P25" i="12"/>
  <c r="R25" i="12"/>
  <c r="U25" i="12"/>
  <c r="V25" i="12" s="1"/>
  <c r="X25" i="12"/>
  <c r="AH25" i="12"/>
  <c r="AJ25" i="12"/>
  <c r="AL25" i="12"/>
  <c r="E26" i="12"/>
  <c r="F26" i="12"/>
  <c r="O26" i="12"/>
  <c r="P26" i="12"/>
  <c r="Q26" i="12" s="1"/>
  <c r="R26" i="12"/>
  <c r="U26" i="12"/>
  <c r="V26" i="12" s="1"/>
  <c r="X26" i="12"/>
  <c r="AH26" i="12"/>
  <c r="AJ26" i="12"/>
  <c r="AL26" i="12"/>
  <c r="C27" i="12"/>
  <c r="E27" i="12"/>
  <c r="F27" i="12"/>
  <c r="O27" i="12"/>
  <c r="P27" i="12"/>
  <c r="Q27" i="12" s="1"/>
  <c r="R27" i="12"/>
  <c r="U27" i="12"/>
  <c r="V27" i="12" s="1"/>
  <c r="X27" i="12"/>
  <c r="AH27" i="12"/>
  <c r="AJ27" i="12"/>
  <c r="AL27" i="12"/>
  <c r="E28" i="12"/>
  <c r="F28" i="12"/>
  <c r="O28" i="12"/>
  <c r="P28" i="12"/>
  <c r="R28" i="12"/>
  <c r="U28" i="12"/>
  <c r="V28" i="12" s="1"/>
  <c r="X28" i="12"/>
  <c r="AH28" i="12"/>
  <c r="AJ28" i="12"/>
  <c r="AL28" i="12"/>
  <c r="C29" i="12"/>
  <c r="E29" i="12"/>
  <c r="F29" i="12"/>
  <c r="O29" i="12"/>
  <c r="P29" i="12"/>
  <c r="R29" i="12"/>
  <c r="U29" i="12"/>
  <c r="V29" i="12" s="1"/>
  <c r="X29" i="12"/>
  <c r="AH29" i="12"/>
  <c r="AJ29" i="12"/>
  <c r="AL29" i="12"/>
  <c r="C30" i="12"/>
  <c r="E30" i="12"/>
  <c r="F30" i="12"/>
  <c r="O30" i="12"/>
  <c r="P30" i="12"/>
  <c r="R30" i="12"/>
  <c r="U30" i="12"/>
  <c r="V30" i="12" s="1"/>
  <c r="X30" i="12"/>
  <c r="AH30" i="12"/>
  <c r="AJ30" i="12"/>
  <c r="AL30" i="12"/>
  <c r="C31" i="12"/>
  <c r="E31" i="12"/>
  <c r="O31" i="12"/>
  <c r="P31" i="12"/>
  <c r="Q31" i="12" s="1"/>
  <c r="R31" i="12"/>
  <c r="U31" i="12"/>
  <c r="X31" i="12"/>
  <c r="C32" i="12"/>
  <c r="E32" i="12"/>
  <c r="O32" i="12"/>
  <c r="P32" i="12"/>
  <c r="Q32" i="12" s="1"/>
  <c r="R32" i="12"/>
  <c r="U32" i="12"/>
  <c r="V32" i="12" s="1"/>
  <c r="X32" i="12"/>
  <c r="AH32" i="12"/>
  <c r="AJ32" i="12"/>
  <c r="AL32" i="12"/>
  <c r="C33" i="12"/>
  <c r="E33" i="12"/>
  <c r="O33" i="12"/>
  <c r="P33" i="12"/>
  <c r="Q33" i="12" s="1"/>
  <c r="R33" i="12"/>
  <c r="U33" i="12"/>
  <c r="V33" i="12" s="1"/>
  <c r="X33" i="12"/>
  <c r="AH33" i="12"/>
  <c r="AJ33" i="12"/>
  <c r="AL33" i="12"/>
  <c r="C34" i="12"/>
  <c r="E34" i="12"/>
  <c r="O34" i="12"/>
  <c r="P34" i="12"/>
  <c r="Q34" i="12" s="1"/>
  <c r="R34" i="12"/>
  <c r="U34" i="12"/>
  <c r="V34" i="12" s="1"/>
  <c r="X34" i="12"/>
  <c r="AH34" i="12"/>
  <c r="AJ34" i="12"/>
  <c r="AL34" i="12"/>
  <c r="C35" i="12"/>
  <c r="E35" i="12"/>
  <c r="O35" i="12"/>
  <c r="P35" i="12"/>
  <c r="R35" i="12"/>
  <c r="U35" i="12"/>
  <c r="V35" i="12" s="1"/>
  <c r="X35" i="12"/>
  <c r="AH35" i="12"/>
  <c r="AJ35" i="12"/>
  <c r="AL35" i="12"/>
  <c r="C36" i="12"/>
  <c r="E36" i="12"/>
  <c r="O36" i="12"/>
  <c r="P36" i="12"/>
  <c r="R36" i="12"/>
  <c r="U36" i="12"/>
  <c r="V36" i="12" s="1"/>
  <c r="X36" i="12"/>
  <c r="AH36" i="12"/>
  <c r="AJ36" i="12"/>
  <c r="AL36" i="12"/>
  <c r="C37" i="12"/>
  <c r="E37" i="12"/>
  <c r="O37" i="12"/>
  <c r="P37" i="12"/>
  <c r="R37" i="12"/>
  <c r="U37" i="12"/>
  <c r="V37" i="12" s="1"/>
  <c r="X37" i="12"/>
  <c r="AH37" i="12"/>
  <c r="AJ37" i="12"/>
  <c r="AL37" i="12"/>
  <c r="E38" i="12"/>
  <c r="O38" i="12"/>
  <c r="P38" i="12"/>
  <c r="Q38" i="12" s="1"/>
  <c r="R38" i="12"/>
  <c r="U38" i="12"/>
  <c r="V38" i="12" s="1"/>
  <c r="X38" i="12"/>
  <c r="AH38" i="12"/>
  <c r="AJ38" i="12"/>
  <c r="AL38" i="12"/>
  <c r="Y25" i="12" l="1"/>
  <c r="Y32" i="12"/>
  <c r="AF26" i="12"/>
  <c r="Y34" i="12"/>
  <c r="AF9" i="12"/>
  <c r="Y17" i="12"/>
  <c r="Y37" i="12"/>
  <c r="Y28" i="12"/>
  <c r="AF12" i="12"/>
  <c r="Y20" i="12"/>
  <c r="AF27" i="12"/>
  <c r="Y35" i="12"/>
  <c r="AF10" i="12"/>
  <c r="Y18" i="12"/>
  <c r="Y33" i="12"/>
  <c r="Y26" i="12"/>
  <c r="Y21" i="12"/>
  <c r="Y38" i="12"/>
  <c r="Y16" i="12"/>
  <c r="Y29" i="12"/>
  <c r="Y24" i="12"/>
  <c r="AF11" i="12"/>
  <c r="Y19" i="12"/>
  <c r="Y36" i="12"/>
  <c r="Y30" i="12"/>
  <c r="Y27" i="12"/>
  <c r="AF14" i="12"/>
  <c r="Y22" i="12"/>
  <c r="AF21" i="12"/>
  <c r="Q16" i="12"/>
  <c r="Q36" i="12"/>
  <c r="AF35" i="12"/>
  <c r="AF29" i="12"/>
  <c r="Q37" i="12"/>
  <c r="Q35" i="12"/>
  <c r="AF34" i="12"/>
  <c r="AF33" i="12"/>
  <c r="Q30" i="12"/>
  <c r="Q25" i="12"/>
  <c r="Q20" i="12"/>
  <c r="Q24" i="12"/>
  <c r="AF37" i="12"/>
  <c r="Q19" i="12"/>
  <c r="AF18" i="12"/>
  <c r="AF13" i="12"/>
  <c r="AF30" i="12"/>
  <c r="AF32" i="12"/>
  <c r="Q28" i="12"/>
  <c r="AF22" i="12"/>
  <c r="AF19" i="12"/>
  <c r="AF38" i="12"/>
  <c r="AF36" i="12"/>
  <c r="V31" i="12"/>
  <c r="AF28" i="12"/>
  <c r="AF20" i="12"/>
  <c r="Q29" i="12"/>
  <c r="AF24" i="12"/>
  <c r="AF17" i="12"/>
  <c r="AF25" i="12"/>
  <c r="V15" i="12"/>
  <c r="AF16" i="12"/>
  <c r="Q21" i="12"/>
  <c r="AF8" i="12"/>
  <c r="E6" i="11" l="1"/>
  <c r="Y6" i="11"/>
  <c r="AG6" i="11"/>
  <c r="AI6" i="11"/>
  <c r="AK6" i="11"/>
  <c r="AM6" i="11"/>
  <c r="E7" i="11"/>
  <c r="Y7" i="11"/>
  <c r="AG7" i="11"/>
  <c r="AI7" i="11"/>
  <c r="AK7" i="11"/>
  <c r="AM7" i="11"/>
  <c r="E8" i="11"/>
  <c r="Y8" i="11"/>
  <c r="AG8" i="11"/>
  <c r="AI8" i="11"/>
  <c r="AK8" i="11"/>
  <c r="AM8" i="11"/>
  <c r="E9" i="11"/>
  <c r="Y9" i="11"/>
  <c r="AG9" i="11"/>
  <c r="AI9" i="11"/>
  <c r="AK9" i="11"/>
  <c r="AM9" i="11"/>
  <c r="E10" i="11"/>
  <c r="Y10" i="11"/>
  <c r="AG10" i="11"/>
  <c r="AI10" i="11"/>
  <c r="AK10" i="11"/>
  <c r="AM10" i="11"/>
  <c r="E11" i="11"/>
  <c r="Y11" i="11"/>
  <c r="AG11" i="11"/>
  <c r="AI11" i="11"/>
  <c r="AK11" i="11"/>
  <c r="AM11" i="11"/>
  <c r="E12" i="11"/>
  <c r="Y12" i="11"/>
  <c r="AG12" i="11"/>
  <c r="AI12" i="11"/>
  <c r="AK12" i="11"/>
  <c r="AM12" i="11"/>
  <c r="D13" i="11"/>
  <c r="E13" i="11"/>
  <c r="F13" i="11"/>
  <c r="R13" i="11"/>
  <c r="V13" i="11"/>
  <c r="W13" i="11" s="1"/>
  <c r="Y13" i="11"/>
  <c r="AI13" i="11"/>
  <c r="AK13" i="11"/>
  <c r="AM13" i="11"/>
  <c r="E14" i="11"/>
  <c r="F14" i="11"/>
  <c r="O14" i="11"/>
  <c r="P14" i="11"/>
  <c r="Q14" i="11" s="1"/>
  <c r="R14" i="11"/>
  <c r="S14" i="11" s="1"/>
  <c r="V14" i="11"/>
  <c r="W14" i="11" s="1"/>
  <c r="Y14" i="11"/>
  <c r="AI14" i="11"/>
  <c r="AK14" i="11"/>
  <c r="AM14" i="11"/>
  <c r="D15" i="11"/>
  <c r="E15" i="11"/>
  <c r="F15" i="11"/>
  <c r="O15" i="11"/>
  <c r="P15" i="11"/>
  <c r="R15" i="11"/>
  <c r="S15" i="11" s="1"/>
  <c r="V15" i="11"/>
  <c r="W15" i="11" s="1"/>
  <c r="Y15" i="11"/>
  <c r="AI15" i="11"/>
  <c r="AK15" i="11"/>
  <c r="AM15" i="11"/>
  <c r="D16" i="11"/>
  <c r="E16" i="11"/>
  <c r="F16" i="11"/>
  <c r="O16" i="11"/>
  <c r="P16" i="11"/>
  <c r="R16" i="11"/>
  <c r="S16" i="11" s="1"/>
  <c r="V16" i="11"/>
  <c r="W16" i="11" s="1"/>
  <c r="Y16" i="11"/>
  <c r="AK16" i="11"/>
  <c r="AM16" i="11"/>
  <c r="D17" i="11"/>
  <c r="E17" i="11"/>
  <c r="F17" i="11"/>
  <c r="O17" i="11"/>
  <c r="P17" i="11"/>
  <c r="Q17" i="11" s="1"/>
  <c r="R17" i="11"/>
  <c r="S17" i="11" s="1"/>
  <c r="V17" i="11"/>
  <c r="W17" i="11" s="1"/>
  <c r="Y17" i="11"/>
  <c r="AI17" i="11"/>
  <c r="AK17" i="11"/>
  <c r="AM17" i="11"/>
  <c r="D18" i="11"/>
  <c r="E18" i="11"/>
  <c r="F18" i="11"/>
  <c r="O18" i="11"/>
  <c r="P18" i="11"/>
  <c r="R18" i="11"/>
  <c r="S18" i="11" s="1"/>
  <c r="V18" i="11"/>
  <c r="W18" i="11" s="1"/>
  <c r="Y18" i="11"/>
  <c r="AI18" i="11"/>
  <c r="AK18" i="11"/>
  <c r="AM18" i="11"/>
  <c r="D19" i="11"/>
  <c r="E19" i="11"/>
  <c r="F19" i="11"/>
  <c r="O19" i="11"/>
  <c r="P19" i="11"/>
  <c r="Q19" i="11" s="1"/>
  <c r="R19" i="11"/>
  <c r="S19" i="11" s="1"/>
  <c r="V19" i="11"/>
  <c r="W19" i="11" s="1"/>
  <c r="Y19" i="11"/>
  <c r="AI19" i="11"/>
  <c r="AK19" i="11"/>
  <c r="AM19" i="11"/>
  <c r="D20" i="11"/>
  <c r="E20" i="11"/>
  <c r="F20" i="11"/>
  <c r="O20" i="11"/>
  <c r="P20" i="11"/>
  <c r="R20" i="11"/>
  <c r="S20" i="11" s="1"/>
  <c r="V20" i="11"/>
  <c r="W20" i="11" s="1"/>
  <c r="Y20" i="11"/>
  <c r="AI20" i="11"/>
  <c r="AK20" i="11"/>
  <c r="AM20" i="11"/>
  <c r="D21" i="11"/>
  <c r="E21" i="11"/>
  <c r="F21" i="11"/>
  <c r="O21" i="11"/>
  <c r="P21" i="11"/>
  <c r="R21" i="11"/>
  <c r="S21" i="11" s="1"/>
  <c r="V21" i="11"/>
  <c r="W21" i="11" s="1"/>
  <c r="Y21" i="11"/>
  <c r="AI21" i="11"/>
  <c r="AK21" i="11"/>
  <c r="AM21" i="11"/>
  <c r="D22" i="11"/>
  <c r="E22" i="11"/>
  <c r="F22" i="11"/>
  <c r="O22" i="11"/>
  <c r="P22" i="11"/>
  <c r="Q22" i="11" s="1"/>
  <c r="R22" i="11"/>
  <c r="S22" i="11" s="1"/>
  <c r="V22" i="11"/>
  <c r="W22" i="11" s="1"/>
  <c r="Y22" i="11"/>
  <c r="AI22" i="11"/>
  <c r="AK22" i="11"/>
  <c r="AM22" i="11"/>
  <c r="D23" i="11"/>
  <c r="E23" i="11"/>
  <c r="F23" i="11"/>
  <c r="O23" i="11"/>
  <c r="P23" i="11"/>
  <c r="Q23" i="11" s="1"/>
  <c r="R23" i="11"/>
  <c r="S23" i="11" s="1"/>
  <c r="V23" i="11"/>
  <c r="W23" i="11" s="1"/>
  <c r="AI23" i="11"/>
  <c r="AK23" i="11"/>
  <c r="AM23" i="11"/>
  <c r="D24" i="11"/>
  <c r="E24" i="11"/>
  <c r="F24" i="11"/>
  <c r="O24" i="11"/>
  <c r="P24" i="11"/>
  <c r="Q24" i="11" s="1"/>
  <c r="R24" i="11"/>
  <c r="S24" i="11" s="1"/>
  <c r="V24" i="11"/>
  <c r="W24" i="11" s="1"/>
  <c r="Y24" i="11"/>
  <c r="AI24" i="11"/>
  <c r="AK24" i="11"/>
  <c r="AM24" i="11"/>
  <c r="D25" i="11"/>
  <c r="E25" i="11"/>
  <c r="F25" i="11"/>
  <c r="O25" i="11"/>
  <c r="P25" i="11"/>
  <c r="R25" i="11"/>
  <c r="S25" i="11" s="1"/>
  <c r="V25" i="11"/>
  <c r="W25" i="11" s="1"/>
  <c r="Y25" i="11"/>
  <c r="AI25" i="11"/>
  <c r="AK25" i="11"/>
  <c r="AM25" i="11"/>
  <c r="D26" i="11"/>
  <c r="E26" i="11"/>
  <c r="F26" i="11"/>
  <c r="O26" i="11"/>
  <c r="P26" i="11"/>
  <c r="R26" i="11"/>
  <c r="S26" i="11" s="1"/>
  <c r="V26" i="11"/>
  <c r="W26" i="11" s="1"/>
  <c r="Y26" i="11"/>
  <c r="AI26" i="11"/>
  <c r="AK26" i="11"/>
  <c r="AM26" i="11"/>
  <c r="D27" i="11"/>
  <c r="E27" i="11"/>
  <c r="F27" i="11"/>
  <c r="O27" i="11"/>
  <c r="P27" i="11"/>
  <c r="Q27" i="11" s="1"/>
  <c r="R27" i="11"/>
  <c r="S27" i="11" s="1"/>
  <c r="V27" i="11"/>
  <c r="W27" i="11" s="1"/>
  <c r="Y27" i="11"/>
  <c r="AI27" i="11"/>
  <c r="AK27" i="11"/>
  <c r="AM27" i="11"/>
  <c r="D28" i="11"/>
  <c r="E28" i="11"/>
  <c r="F28" i="11"/>
  <c r="O28" i="11"/>
  <c r="P28" i="11"/>
  <c r="Q28" i="11" s="1"/>
  <c r="R28" i="11"/>
  <c r="S28" i="11" s="1"/>
  <c r="V28" i="11"/>
  <c r="W28" i="11" s="1"/>
  <c r="Y28" i="11"/>
  <c r="AI28" i="11"/>
  <c r="AK28" i="11"/>
  <c r="AM28" i="11"/>
  <c r="D29" i="11"/>
  <c r="E29" i="11"/>
  <c r="F29" i="11"/>
  <c r="O29" i="11"/>
  <c r="P29" i="11"/>
  <c r="Q29" i="11" s="1"/>
  <c r="R29" i="11"/>
  <c r="S29" i="11" s="1"/>
  <c r="V29" i="11"/>
  <c r="W29" i="11" s="1"/>
  <c r="Y29" i="11"/>
  <c r="AI29" i="11"/>
  <c r="AK29" i="11"/>
  <c r="AM29" i="11"/>
  <c r="D30" i="11"/>
  <c r="E30" i="11"/>
  <c r="F30" i="11"/>
  <c r="O30" i="11"/>
  <c r="P30" i="11"/>
  <c r="Q30" i="11" s="1"/>
  <c r="R30" i="11"/>
  <c r="S30" i="11" s="1"/>
  <c r="V30" i="11"/>
  <c r="W30" i="11" s="1"/>
  <c r="Y30" i="11"/>
  <c r="AI30" i="11"/>
  <c r="AK30" i="11"/>
  <c r="AM30" i="11"/>
  <c r="D31" i="11"/>
  <c r="E31" i="11"/>
  <c r="F31" i="11"/>
  <c r="O31" i="11"/>
  <c r="P31" i="11"/>
  <c r="Q31" i="11" s="1"/>
  <c r="R31" i="11"/>
  <c r="S31" i="11" s="1"/>
  <c r="V31" i="11"/>
  <c r="W31" i="11" s="1"/>
  <c r="Y31" i="11"/>
  <c r="AI31" i="11"/>
  <c r="AK31" i="11"/>
  <c r="AM31" i="11"/>
  <c r="D32" i="11"/>
  <c r="E32" i="11"/>
  <c r="F32" i="11"/>
  <c r="O32" i="11"/>
  <c r="P32" i="11"/>
  <c r="Q32" i="11" s="1"/>
  <c r="R32" i="11"/>
  <c r="S32" i="11" s="1"/>
  <c r="V32" i="11"/>
  <c r="W32" i="11" s="1"/>
  <c r="Y32" i="11"/>
  <c r="AI32" i="11"/>
  <c r="AK32" i="11"/>
  <c r="AM32" i="11"/>
  <c r="D33" i="11"/>
  <c r="E33" i="11"/>
  <c r="F33" i="11"/>
  <c r="O33" i="11"/>
  <c r="P33" i="11"/>
  <c r="R33" i="11"/>
  <c r="S33" i="11" s="1"/>
  <c r="V33" i="11"/>
  <c r="W33" i="11" s="1"/>
  <c r="Y33" i="11"/>
  <c r="AI33" i="11"/>
  <c r="AK33" i="11"/>
  <c r="AM33" i="11"/>
  <c r="Z31" i="11" l="1"/>
  <c r="Z13" i="11"/>
  <c r="Z32" i="11"/>
  <c r="Z29" i="11"/>
  <c r="Z26" i="11"/>
  <c r="Z19" i="11"/>
  <c r="Z15" i="11"/>
  <c r="Z21" i="11"/>
  <c r="Z33" i="11"/>
  <c r="Z24" i="11"/>
  <c r="Z16" i="11"/>
  <c r="AG26" i="11"/>
  <c r="Z27" i="11"/>
  <c r="Z22" i="11"/>
  <c r="Z17" i="11"/>
  <c r="Z25" i="11"/>
  <c r="Z28" i="11"/>
  <c r="Z20" i="11"/>
  <c r="Z18" i="11"/>
  <c r="Z14" i="11"/>
  <c r="AG27" i="11"/>
  <c r="Q16" i="11"/>
  <c r="Q21" i="11"/>
  <c r="AG30" i="11"/>
  <c r="AG28" i="11"/>
  <c r="AG21" i="11"/>
  <c r="AG31" i="11"/>
  <c r="AG17" i="11"/>
  <c r="Q33" i="11"/>
  <c r="AG29" i="11"/>
  <c r="AG13" i="11"/>
  <c r="Q18" i="11"/>
  <c r="AG24" i="11"/>
  <c r="AG32" i="11"/>
  <c r="Q20" i="11"/>
  <c r="Q15" i="11"/>
  <c r="Q25" i="11"/>
  <c r="AG19" i="11"/>
  <c r="AG16" i="11"/>
  <c r="Q26" i="11"/>
  <c r="AG14" i="11"/>
  <c r="AG33" i="11"/>
  <c r="AG20" i="11"/>
  <c r="AG15" i="11"/>
  <c r="S13" i="11"/>
  <c r="AG25" i="11"/>
  <c r="AG18" i="11"/>
  <c r="AG22" i="11"/>
  <c r="M20" i="1" l="1"/>
  <c r="G6" i="5" l="1"/>
  <c r="G3" i="5" l="1"/>
  <c r="G4" i="5"/>
  <c r="G5" i="5"/>
  <c r="G8" i="5"/>
  <c r="G9" i="5"/>
  <c r="G10" i="5"/>
  <c r="G11" i="5"/>
  <c r="G12" i="5"/>
  <c r="G13" i="5"/>
  <c r="G14" i="5"/>
  <c r="G15" i="5"/>
  <c r="G16" i="5"/>
  <c r="G17" i="5"/>
  <c r="G18" i="5"/>
  <c r="G19" i="5"/>
  <c r="G21" i="5"/>
  <c r="G22" i="5"/>
  <c r="G23" i="5"/>
  <c r="G24" i="5"/>
  <c r="G25" i="5"/>
  <c r="G26" i="5"/>
  <c r="G27" i="5"/>
  <c r="G28" i="5"/>
  <c r="G29" i="5"/>
  <c r="G31" i="5"/>
  <c r="G32" i="5"/>
  <c r="G34" i="5"/>
  <c r="G35" i="5"/>
  <c r="G36" i="5"/>
  <c r="G37" i="5"/>
  <c r="G38" i="5"/>
  <c r="G40" i="5"/>
  <c r="G2" i="5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G7" i="5"/>
  <c r="F20" i="5"/>
  <c r="G20" i="5" s="1"/>
  <c r="F30" i="5"/>
  <c r="G30" i="5" s="1"/>
  <c r="F33" i="5"/>
  <c r="G33" i="5" s="1"/>
  <c r="F39" i="5"/>
  <c r="G39" i="5" s="1"/>
  <c r="E16" i="1" l="1"/>
  <c r="M32" i="1" l="1"/>
  <c r="Q19" i="1" l="1"/>
  <c r="Q21" i="1"/>
  <c r="Q20" i="1"/>
  <c r="M21" i="1"/>
  <c r="M22" i="1"/>
  <c r="M24" i="1"/>
  <c r="M25" i="1"/>
  <c r="M26" i="1"/>
  <c r="M27" i="1"/>
  <c r="M28" i="1"/>
  <c r="M29" i="1"/>
  <c r="M30" i="1"/>
  <c r="M31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19" i="1"/>
  <c r="O57" i="1"/>
  <c r="Q57" i="1"/>
  <c r="S57" i="1"/>
  <c r="U57" i="1"/>
  <c r="O58" i="1"/>
  <c r="Q58" i="1"/>
  <c r="S58" i="1"/>
  <c r="U58" i="1"/>
  <c r="O59" i="1"/>
  <c r="Q59" i="1"/>
  <c r="S59" i="1"/>
  <c r="U59" i="1"/>
  <c r="O60" i="1"/>
  <c r="Q60" i="1"/>
  <c r="S60" i="1"/>
  <c r="U60" i="1"/>
  <c r="S61" i="1"/>
  <c r="U61" i="1"/>
  <c r="O64" i="1"/>
  <c r="Q64" i="1"/>
  <c r="S64" i="1"/>
  <c r="U64" i="1"/>
  <c r="O65" i="1"/>
  <c r="Q65" i="1"/>
  <c r="S65" i="1"/>
  <c r="U65" i="1"/>
  <c r="O66" i="1"/>
  <c r="Q66" i="1"/>
  <c r="S66" i="1"/>
  <c r="U66" i="1"/>
  <c r="O52" i="1"/>
  <c r="Q52" i="1"/>
  <c r="S52" i="1"/>
  <c r="U52" i="1"/>
  <c r="O53" i="1"/>
  <c r="Q53" i="1"/>
  <c r="S53" i="1"/>
  <c r="U53" i="1"/>
  <c r="O51" i="1"/>
  <c r="S51" i="1"/>
  <c r="Q51" i="1"/>
  <c r="U51" i="1"/>
  <c r="O50" i="1"/>
  <c r="O36" i="1"/>
  <c r="Q36" i="1"/>
  <c r="S36" i="1"/>
  <c r="U36" i="1"/>
  <c r="O37" i="1"/>
  <c r="Q37" i="1"/>
  <c r="S37" i="1"/>
  <c r="U37" i="1"/>
  <c r="O41" i="1"/>
  <c r="Q41" i="1"/>
  <c r="S41" i="1"/>
  <c r="U41" i="1"/>
  <c r="O42" i="1"/>
  <c r="Q42" i="1"/>
  <c r="S42" i="1"/>
  <c r="U42" i="1"/>
  <c r="O43" i="1"/>
  <c r="Q43" i="1"/>
  <c r="S43" i="1"/>
  <c r="U43" i="1"/>
  <c r="O44" i="1"/>
  <c r="Q44" i="1"/>
  <c r="S44" i="1"/>
  <c r="U44" i="1"/>
  <c r="O45" i="1"/>
  <c r="Q45" i="1"/>
  <c r="S45" i="1"/>
  <c r="U45" i="1"/>
  <c r="O48" i="1"/>
  <c r="Q48" i="1"/>
  <c r="S48" i="1"/>
  <c r="U48" i="1"/>
  <c r="O49" i="1"/>
  <c r="Q49" i="1"/>
  <c r="S49" i="1"/>
  <c r="U49" i="1"/>
  <c r="Q50" i="1"/>
  <c r="S50" i="1"/>
  <c r="U50" i="1"/>
  <c r="S35" i="1"/>
  <c r="Q35" i="1"/>
  <c r="U35" i="1"/>
  <c r="O34" i="1"/>
  <c r="O26" i="1"/>
  <c r="Q26" i="1"/>
  <c r="S26" i="1"/>
  <c r="U26" i="1"/>
  <c r="O27" i="1"/>
  <c r="Q27" i="1"/>
  <c r="S27" i="1"/>
  <c r="U27" i="1"/>
  <c r="O28" i="1"/>
  <c r="Q28" i="1"/>
  <c r="S28" i="1"/>
  <c r="U28" i="1"/>
  <c r="O29" i="1"/>
  <c r="Q29" i="1"/>
  <c r="S29" i="1"/>
  <c r="U29" i="1"/>
  <c r="O32" i="1"/>
  <c r="Q32" i="1"/>
  <c r="S32" i="1"/>
  <c r="U32" i="1"/>
  <c r="O33" i="1"/>
  <c r="Q33" i="1"/>
  <c r="S33" i="1"/>
  <c r="U33" i="1"/>
  <c r="Q34" i="1"/>
  <c r="S34" i="1"/>
  <c r="U34" i="1"/>
  <c r="U25" i="1"/>
  <c r="S25" i="1"/>
  <c r="Q25" i="1"/>
  <c r="O25" i="1"/>
  <c r="S20" i="1"/>
  <c r="U20" i="1"/>
  <c r="S21" i="1"/>
  <c r="U21" i="1"/>
  <c r="U19" i="1"/>
  <c r="O21" i="1"/>
  <c r="O20" i="1"/>
  <c r="E4" i="1" l="1"/>
  <c r="E5" i="1"/>
  <c r="E6" i="1"/>
  <c r="E7" i="1"/>
  <c r="E8" i="1"/>
  <c r="E9" i="1"/>
  <c r="E10" i="1"/>
  <c r="E11" i="1"/>
  <c r="E12" i="1"/>
  <c r="E13" i="1"/>
  <c r="E14" i="1"/>
  <c r="E15" i="1"/>
  <c r="E17" i="1"/>
  <c r="E18" i="1"/>
  <c r="E3" i="1"/>
</calcChain>
</file>

<file path=xl/sharedStrings.xml><?xml version="1.0" encoding="utf-8"?>
<sst xmlns="http://schemas.openxmlformats.org/spreadsheetml/2006/main" count="1466" uniqueCount="473">
  <si>
    <t>3H</t>
  </si>
  <si>
    <t>MCB</t>
  </si>
  <si>
    <t>T</t>
  </si>
  <si>
    <t>3L</t>
  </si>
  <si>
    <t>3O</t>
  </si>
  <si>
    <t>3A</t>
  </si>
  <si>
    <t>3B</t>
  </si>
  <si>
    <t>3C</t>
  </si>
  <si>
    <t>3D1</t>
  </si>
  <si>
    <t>3F1</t>
  </si>
  <si>
    <t>3G1</t>
  </si>
  <si>
    <t>3E1</t>
  </si>
  <si>
    <t>3I2</t>
  </si>
  <si>
    <t>3J2</t>
  </si>
  <si>
    <t>3K2</t>
  </si>
  <si>
    <t>3M2</t>
  </si>
  <si>
    <t>3N2</t>
  </si>
  <si>
    <t>WCB</t>
  </si>
  <si>
    <t>PC</t>
  </si>
  <si>
    <t>3E2</t>
  </si>
  <si>
    <t>Viab BT%</t>
  </si>
  <si>
    <t xml:space="preserve">LDH/e6 </t>
  </si>
  <si>
    <t>gluc</t>
  </si>
  <si>
    <t>lac</t>
  </si>
  <si>
    <t>GLUT</t>
  </si>
  <si>
    <t>NH4</t>
  </si>
  <si>
    <t>gluc0-gluc</t>
  </si>
  <si>
    <t>lac-lac0</t>
  </si>
  <si>
    <t>glut0-glut</t>
  </si>
  <si>
    <t>cell-cell0</t>
  </si>
  <si>
    <t>GLUC/LAC</t>
  </si>
  <si>
    <t>cell = f(glucose)</t>
  </si>
  <si>
    <t>cell = f(glutamine)</t>
  </si>
  <si>
    <t>D - Sp7</t>
  </si>
  <si>
    <t>E - Sp7</t>
  </si>
  <si>
    <t>E - Sp8</t>
  </si>
  <si>
    <t>F - Sp7</t>
  </si>
  <si>
    <t>F - Sp8</t>
  </si>
  <si>
    <t>G - Sp7</t>
  </si>
  <si>
    <t>G - Sp8</t>
  </si>
  <si>
    <t>ML</t>
  </si>
  <si>
    <t>3h</t>
  </si>
  <si>
    <t>3l</t>
  </si>
  <si>
    <t>3o</t>
  </si>
  <si>
    <t>3d1</t>
  </si>
  <si>
    <t>3f1</t>
  </si>
  <si>
    <t>3g1</t>
  </si>
  <si>
    <t>3e1</t>
  </si>
  <si>
    <t>3e2</t>
  </si>
  <si>
    <t>3k2</t>
  </si>
  <si>
    <t>3m2</t>
  </si>
  <si>
    <t>3n2</t>
  </si>
  <si>
    <t>LDH mu/mL</t>
  </si>
  <si>
    <t>LDH mU/mL</t>
  </si>
  <si>
    <t>Total cells/ml</t>
  </si>
  <si>
    <t>Monolayer w/ 10% FBS</t>
  </si>
  <si>
    <t>ID</t>
  </si>
  <si>
    <t>Cell Bank</t>
  </si>
  <si>
    <t>Free cell count</t>
  </si>
  <si>
    <t>Day</t>
  </si>
  <si>
    <r>
      <t xml:space="preserve">alive/ml </t>
    </r>
    <r>
      <rPr>
        <sz val="11"/>
        <color theme="1"/>
        <rFont val="Calibri"/>
        <family val="2"/>
        <scheme val="minor"/>
      </rPr>
      <t>(TRYPSalive)</t>
    </r>
  </si>
  <si>
    <t>ln(xt/X0)</t>
  </si>
  <si>
    <r>
      <t xml:space="preserve">dead/ml </t>
    </r>
    <r>
      <rPr>
        <sz val="11"/>
        <color theme="1"/>
        <rFont val="Calibri"/>
        <family val="2"/>
        <scheme val="minor"/>
      </rPr>
      <t>(TRYPSdead)</t>
    </r>
  </si>
  <si>
    <r>
      <t xml:space="preserve">total/ml </t>
    </r>
    <r>
      <rPr>
        <sz val="11"/>
        <color theme="1"/>
        <rFont val="Calibri"/>
        <family val="2"/>
        <scheme val="minor"/>
      </rPr>
      <t>(TRYPStot)</t>
    </r>
  </si>
  <si>
    <r>
      <t xml:space="preserve">alive free cell/ml </t>
    </r>
    <r>
      <rPr>
        <sz val="11"/>
        <color theme="1"/>
        <rFont val="Calibri"/>
        <family val="2"/>
        <scheme val="minor"/>
      </rPr>
      <t>(FCalive)</t>
    </r>
  </si>
  <si>
    <r>
      <t xml:space="preserve">Dead free cell/ml </t>
    </r>
    <r>
      <rPr>
        <sz val="11"/>
        <color theme="1"/>
        <rFont val="Calibri"/>
        <family val="2"/>
        <scheme val="minor"/>
      </rPr>
      <t>(FCdead)</t>
    </r>
  </si>
  <si>
    <t>Total free cell/ml (FCtot)</t>
  </si>
  <si>
    <r>
      <t xml:space="preserve">Viability FC (BT, %)
</t>
    </r>
    <r>
      <rPr>
        <sz val="11"/>
        <color theme="1"/>
        <rFont val="Calibri"/>
        <family val="2"/>
        <scheme val="minor"/>
      </rPr>
      <t>(FC)</t>
    </r>
  </si>
  <si>
    <r>
      <t xml:space="preserve">LDH
 </t>
    </r>
    <r>
      <rPr>
        <sz val="11"/>
        <color theme="1"/>
        <rFont val="Calibri"/>
        <family val="2"/>
        <scheme val="minor"/>
      </rPr>
      <t>(mU/ml)</t>
    </r>
  </si>
  <si>
    <r>
      <t xml:space="preserve">LDH 
</t>
    </r>
    <r>
      <rPr>
        <sz val="11"/>
        <color theme="1"/>
        <rFont val="Calibri"/>
        <family val="2"/>
        <scheme val="minor"/>
      </rPr>
      <t xml:space="preserve">(mU/e6 </t>
    </r>
    <r>
      <rPr>
        <b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cells)</t>
    </r>
  </si>
  <si>
    <t>% FC</t>
  </si>
  <si>
    <t>Glucose (g/l)</t>
  </si>
  <si>
    <t>glucose (mM)</t>
  </si>
  <si>
    <t>Ammonium (mM)</t>
  </si>
  <si>
    <t>Lactate (mM)</t>
  </si>
  <si>
    <t>Glutamine (mM)</t>
  </si>
  <si>
    <t>Day 0</t>
  </si>
  <si>
    <t>Day 1</t>
  </si>
  <si>
    <t>Day 2</t>
  </si>
  <si>
    <t>/</t>
  </si>
  <si>
    <t xml:space="preserve">Day 3 
</t>
  </si>
  <si>
    <t>lysed cells LDH</t>
  </si>
  <si>
    <t>H - Sp6</t>
  </si>
  <si>
    <t>H - Sp5</t>
  </si>
  <si>
    <t>G - Sp6</t>
  </si>
  <si>
    <t>G - Sp5</t>
  </si>
  <si>
    <t>F - Sp6</t>
  </si>
  <si>
    <t>F - Sp5</t>
  </si>
  <si>
    <t>D - Sp5</t>
  </si>
  <si>
    <t>C - Sp5</t>
  </si>
  <si>
    <t>cell = f(gluc)</t>
  </si>
  <si>
    <t>Glucose (mM)</t>
  </si>
  <si>
    <r>
      <t xml:space="preserve">alive/ml </t>
    </r>
    <r>
      <rPr>
        <sz val="11"/>
        <color theme="1"/>
        <rFont val="Calibri"/>
        <family val="2"/>
        <scheme val="minor"/>
      </rPr>
      <t>(TRYPSalive) X1e6 cells</t>
    </r>
  </si>
  <si>
    <r>
      <t xml:space="preserve">alive/ml </t>
    </r>
    <r>
      <rPr>
        <sz val="11"/>
        <color theme="1"/>
        <rFont val="Calibri"/>
        <family val="2"/>
        <scheme val="minor"/>
      </rPr>
      <t xml:space="preserve">(TRYPSalive) x1e6 </t>
    </r>
  </si>
  <si>
    <t>E4</t>
  </si>
  <si>
    <t>E3</t>
  </si>
  <si>
    <t>D4</t>
  </si>
  <si>
    <t>D3</t>
  </si>
  <si>
    <t>C2</t>
  </si>
  <si>
    <t>C1</t>
  </si>
  <si>
    <t>B2</t>
  </si>
  <si>
    <t>B1</t>
  </si>
  <si>
    <t>Day 3 
(24h after medium changed)</t>
  </si>
  <si>
    <r>
      <t xml:space="preserve">Day 2 
</t>
    </r>
    <r>
      <rPr>
        <i/>
        <sz val="10"/>
        <color theme="1"/>
        <rFont val="Calibri"/>
        <family val="2"/>
        <scheme val="minor"/>
      </rPr>
      <t>(reseeding)</t>
    </r>
  </si>
  <si>
    <t>Y = 0,0006783*X + 2,857</t>
  </si>
  <si>
    <r>
      <t xml:space="preserve">Aggr.  cells
 </t>
    </r>
    <r>
      <rPr>
        <sz val="11"/>
        <color theme="1"/>
        <rFont val="Calibri"/>
        <family val="2"/>
        <scheme val="minor"/>
      </rPr>
      <t>(TRYPStot-FCtot)</t>
    </r>
  </si>
  <si>
    <r>
      <t xml:space="preserve">Total cells
</t>
    </r>
    <r>
      <rPr>
        <sz val="11"/>
        <color theme="1"/>
        <rFont val="Calibri"/>
        <family val="2"/>
        <scheme val="minor"/>
      </rPr>
      <t>(Volume*tot cell TRYPS)</t>
    </r>
  </si>
  <si>
    <t>% medium renewal</t>
  </si>
  <si>
    <t>Volume (ml)</t>
  </si>
  <si>
    <t>Viab LDH</t>
  </si>
  <si>
    <r>
      <t xml:space="preserve">LDH 
</t>
    </r>
    <r>
      <rPr>
        <sz val="11"/>
        <color theme="1"/>
        <rFont val="Calibri"/>
        <family val="2"/>
        <scheme val="minor"/>
      </rPr>
      <t>(mU/e6 total cells)</t>
    </r>
  </si>
  <si>
    <t>LDH (mU/ml)</t>
  </si>
  <si>
    <t>ln(Xt/X0)</t>
  </si>
  <si>
    <t>Experiment ID</t>
  </si>
  <si>
    <t>Surface (µm²/mL)</t>
  </si>
  <si>
    <t>LDH</t>
  </si>
  <si>
    <t>0,5 L SpF</t>
  </si>
  <si>
    <t>STBR</t>
  </si>
  <si>
    <t>22A</t>
  </si>
  <si>
    <t>22N</t>
  </si>
  <si>
    <t>22L</t>
  </si>
  <si>
    <t>22J</t>
  </si>
  <si>
    <t>22E</t>
  </si>
  <si>
    <t>22D</t>
  </si>
  <si>
    <t>22C</t>
  </si>
  <si>
    <t>22B</t>
  </si>
  <si>
    <t>22M</t>
  </si>
  <si>
    <t>22i</t>
  </si>
  <si>
    <t>22G</t>
  </si>
  <si>
    <t>22K</t>
  </si>
  <si>
    <t>22H</t>
  </si>
  <si>
    <t>22F</t>
  </si>
  <si>
    <t>Hour</t>
  </si>
  <si>
    <t>P/V constant = 75 rpm</t>
  </si>
  <si>
    <t>Vtip constant = 61 rpm</t>
  </si>
  <si>
    <t>90 rpm</t>
  </si>
  <si>
    <t>25C2</t>
  </si>
  <si>
    <t>25C1</t>
  </si>
  <si>
    <t>25B2</t>
  </si>
  <si>
    <t>25B1</t>
  </si>
  <si>
    <t>25A1</t>
  </si>
  <si>
    <t>0.5L SpF</t>
  </si>
  <si>
    <t>0,125L SpF 90 rpm</t>
  </si>
  <si>
    <t>22O</t>
  </si>
  <si>
    <t>Day 3 
(24h after medium changed)</t>
  </si>
  <si>
    <r>
      <t xml:space="preserve">Day 2 
</t>
    </r>
    <r>
      <rPr>
        <i/>
        <sz val="10"/>
        <color theme="1"/>
        <rFont val="Calibri"/>
        <family val="2"/>
        <scheme val="minor"/>
      </rPr>
      <t>(reseeding)</t>
    </r>
  </si>
  <si>
    <t>gluc/lac</t>
  </si>
  <si>
    <t>%FC</t>
  </si>
  <si>
    <t>µmax</t>
  </si>
  <si>
    <t>cells/ml x106</t>
  </si>
  <si>
    <t>cells/ml</t>
  </si>
  <si>
    <t>PDT</t>
  </si>
  <si>
    <t>µ</t>
  </si>
  <si>
    <t>time (h)</t>
  </si>
  <si>
    <t>15D_3</t>
  </si>
  <si>
    <t>15C_4</t>
  </si>
  <si>
    <t>15C_3</t>
  </si>
  <si>
    <t>15A_4</t>
  </si>
  <si>
    <t>15A_3</t>
  </si>
  <si>
    <t>15H_6</t>
  </si>
  <si>
    <t>15H_5</t>
  </si>
  <si>
    <t>15G_6</t>
  </si>
  <si>
    <t>15G_5</t>
  </si>
  <si>
    <t>15F_6</t>
  </si>
  <si>
    <t>15F_5</t>
  </si>
  <si>
    <t>15D_5</t>
  </si>
  <si>
    <t>15C_5</t>
  </si>
  <si>
    <t>15G_8</t>
  </si>
  <si>
    <t>15G_7</t>
  </si>
  <si>
    <t>15F_8</t>
  </si>
  <si>
    <t>15F_7</t>
  </si>
  <si>
    <t>15E_8</t>
  </si>
  <si>
    <t>15E_7</t>
  </si>
  <si>
    <t>15D_7</t>
  </si>
  <si>
    <t>µ (h-1)</t>
  </si>
  <si>
    <t>PDT (h)</t>
  </si>
  <si>
    <t>mean</t>
  </si>
  <si>
    <t>sd</t>
  </si>
  <si>
    <t>racine</t>
  </si>
  <si>
    <t>SEM</t>
  </si>
  <si>
    <r>
      <t>PE-bEV-</t>
    </r>
    <r>
      <rPr>
        <b/>
        <sz val="20"/>
        <color rgb="FFC00000"/>
        <rFont val="Calibri"/>
        <family val="2"/>
        <scheme val="minor"/>
      </rPr>
      <t>3C</t>
    </r>
  </si>
  <si>
    <r>
      <t>PE-bEV-</t>
    </r>
    <r>
      <rPr>
        <b/>
        <sz val="20"/>
        <color rgb="FFC00000"/>
        <rFont val="Calibri"/>
        <family val="2"/>
        <scheme val="minor"/>
      </rPr>
      <t>3N2</t>
    </r>
  </si>
  <si>
    <r>
      <t>PE-bEV-</t>
    </r>
    <r>
      <rPr>
        <b/>
        <sz val="20"/>
        <color rgb="FFC00000"/>
        <rFont val="Calibri"/>
        <family val="2"/>
        <scheme val="minor"/>
      </rPr>
      <t>3B</t>
    </r>
  </si>
  <si>
    <r>
      <t>PE-bEV-</t>
    </r>
    <r>
      <rPr>
        <b/>
        <sz val="20"/>
        <color rgb="FFC00000"/>
        <rFont val="Calibri"/>
        <family val="2"/>
        <scheme val="minor"/>
      </rPr>
      <t>3M2</t>
    </r>
  </si>
  <si>
    <r>
      <t>PE-bEV-</t>
    </r>
    <r>
      <rPr>
        <b/>
        <sz val="20"/>
        <color rgb="FFC00000"/>
        <rFont val="Calibri"/>
        <family val="2"/>
        <scheme val="minor"/>
      </rPr>
      <t>3A</t>
    </r>
  </si>
  <si>
    <r>
      <t>PE-bEV-</t>
    </r>
    <r>
      <rPr>
        <b/>
        <sz val="20"/>
        <color rgb="FFC00000"/>
        <rFont val="Calibri"/>
        <family val="2"/>
        <scheme val="minor"/>
      </rPr>
      <t>3K2</t>
    </r>
  </si>
  <si>
    <r>
      <t>PE-bEV-</t>
    </r>
    <r>
      <rPr>
        <b/>
        <sz val="20"/>
        <color rgb="FFC00000"/>
        <rFont val="Calibri"/>
        <family val="2"/>
        <scheme val="minor"/>
      </rPr>
      <t>3G1</t>
    </r>
  </si>
  <si>
    <t>Batch</t>
  </si>
  <si>
    <r>
      <t>PE-bEV-</t>
    </r>
    <r>
      <rPr>
        <b/>
        <sz val="20"/>
        <color rgb="FFC00000"/>
        <rFont val="Calibri"/>
        <family val="2"/>
        <scheme val="minor"/>
      </rPr>
      <t>3J2</t>
    </r>
  </si>
  <si>
    <r>
      <t>PE-bEV-</t>
    </r>
    <r>
      <rPr>
        <b/>
        <sz val="20"/>
        <color rgb="FFC00000"/>
        <rFont val="Calibri"/>
        <family val="2"/>
        <scheme val="minor"/>
      </rPr>
      <t>3F1</t>
    </r>
  </si>
  <si>
    <r>
      <t>PE-bEV-</t>
    </r>
    <r>
      <rPr>
        <b/>
        <sz val="20"/>
        <color rgb="FFC00000"/>
        <rFont val="Calibri"/>
        <family val="2"/>
        <scheme val="minor"/>
      </rPr>
      <t>3O</t>
    </r>
  </si>
  <si>
    <r>
      <t>PE-bEV-</t>
    </r>
    <r>
      <rPr>
        <b/>
        <sz val="20"/>
        <color rgb="FFC00000"/>
        <rFont val="Calibri"/>
        <family val="2"/>
        <scheme val="minor"/>
      </rPr>
      <t>3I2</t>
    </r>
  </si>
  <si>
    <r>
      <t>PE-bEV-</t>
    </r>
    <r>
      <rPr>
        <b/>
        <sz val="20"/>
        <color rgb="FFC00000"/>
        <rFont val="Calibri"/>
        <family val="2"/>
        <scheme val="minor"/>
      </rPr>
      <t>3E1</t>
    </r>
  </si>
  <si>
    <r>
      <t>PE-bEV-</t>
    </r>
    <r>
      <rPr>
        <b/>
        <sz val="20"/>
        <color rgb="FFC00000"/>
        <rFont val="Calibri"/>
        <family val="2"/>
        <scheme val="minor"/>
      </rPr>
      <t>3L</t>
    </r>
  </si>
  <si>
    <r>
      <t>PE-bEV-</t>
    </r>
    <r>
      <rPr>
        <b/>
        <sz val="20"/>
        <color rgb="FFC00000"/>
        <rFont val="Calibri"/>
        <family val="2"/>
        <scheme val="minor"/>
      </rPr>
      <t>3E2</t>
    </r>
  </si>
  <si>
    <r>
      <t>PE-bEV-</t>
    </r>
    <r>
      <rPr>
        <b/>
        <sz val="20"/>
        <color rgb="FFC00000"/>
        <rFont val="Calibri"/>
        <family val="2"/>
        <scheme val="minor"/>
      </rPr>
      <t>3D1</t>
    </r>
  </si>
  <si>
    <r>
      <t>PE-bEV-</t>
    </r>
    <r>
      <rPr>
        <b/>
        <sz val="20"/>
        <color rgb="FFC00000"/>
        <rFont val="Calibri"/>
        <family val="2"/>
        <scheme val="minor"/>
      </rPr>
      <t>3H</t>
    </r>
  </si>
  <si>
    <t>µ &amp; PDT</t>
  </si>
  <si>
    <t>Hours</t>
  </si>
  <si>
    <t>Protocol</t>
  </si>
  <si>
    <t>Xv</t>
  </si>
  <si>
    <t>WCB(2)</t>
  </si>
  <si>
    <t>Pool monolayer</t>
  </si>
  <si>
    <t>SATURE</t>
  </si>
  <si>
    <t>M4</t>
  </si>
  <si>
    <t>ML3</t>
  </si>
  <si>
    <t>ML2</t>
  </si>
  <si>
    <t>ML1</t>
  </si>
  <si>
    <t>LDH1</t>
  </si>
  <si>
    <t>LDH2</t>
  </si>
  <si>
    <t>Proto ID</t>
  </si>
  <si>
    <t>15H</t>
  </si>
  <si>
    <t>15G</t>
  </si>
  <si>
    <t>15F</t>
  </si>
  <si>
    <t>15E</t>
  </si>
  <si>
    <t>LDH3</t>
  </si>
  <si>
    <t>RPMI + 10% FBS</t>
  </si>
  <si>
    <t>STANDARD CURVE LDH (mu/mL)</t>
  </si>
  <si>
    <t>STANDARD CURVE LYSED CELLS (cells/mL)</t>
  </si>
  <si>
    <t>15H - Sp6</t>
  </si>
  <si>
    <t>19F_2</t>
  </si>
  <si>
    <t>15H - Sp5</t>
  </si>
  <si>
    <t>19F_1</t>
  </si>
  <si>
    <t>15G - Sp6</t>
  </si>
  <si>
    <t>19E</t>
  </si>
  <si>
    <t>15G - Sp5</t>
  </si>
  <si>
    <t>19D</t>
  </si>
  <si>
    <t>15F - Sp6</t>
  </si>
  <si>
    <t>19C</t>
  </si>
  <si>
    <t>15F - Sp5</t>
  </si>
  <si>
    <t>15D - Sp5</t>
  </si>
  <si>
    <t>15C - Sp5</t>
  </si>
  <si>
    <t>19A</t>
  </si>
  <si>
    <t>19B</t>
  </si>
  <si>
    <t>120 rpm</t>
  </si>
  <si>
    <t>60 rpm</t>
  </si>
  <si>
    <t>F2/F3/F4</t>
  </si>
  <si>
    <t xml:space="preserve">Amicon 100kDa </t>
  </si>
  <si>
    <t>5 Dia</t>
  </si>
  <si>
    <t>949-/</t>
  </si>
  <si>
    <t>50 ml/min</t>
  </si>
  <si>
    <t>300 kDa DO4-E300-05-N ; SN: 2104884-008</t>
  </si>
  <si>
    <t>TFF 300Kda</t>
  </si>
  <si>
    <t>78 rpm</t>
  </si>
  <si>
    <t xml:space="preserve">24h </t>
  </si>
  <si>
    <t>2 days</t>
  </si>
  <si>
    <t>1 Sp0,5L</t>
  </si>
  <si>
    <t>Béa</t>
  </si>
  <si>
    <t>Vincent</t>
  </si>
  <si>
    <t>952-827</t>
  </si>
  <si>
    <t>300kDa D04-E300-05-N ; SN 20104884-013</t>
  </si>
  <si>
    <t>61 rpm</t>
  </si>
  <si>
    <t>Edouard</t>
  </si>
  <si>
    <t xml:space="preserve">PE-bEV-022/23 A
</t>
  </si>
  <si>
    <t xml:space="preserve">50mL/min      PTM 350 </t>
  </si>
  <si>
    <t xml:space="preserve">Mbrane 20049597-02/22-010   </t>
  </si>
  <si>
    <t>24h</t>
  </si>
  <si>
    <t>3 days</t>
  </si>
  <si>
    <t xml:space="preserve">Mbrane  20082156-12/22-084   </t>
  </si>
  <si>
    <t>RPMI adv + 2mM L-glut</t>
  </si>
  <si>
    <t>Tyrannion</t>
  </si>
  <si>
    <t>PE-bEV-014 A</t>
  </si>
  <si>
    <t>TFF 300 kDa</t>
  </si>
  <si>
    <t>F2/3/4</t>
  </si>
  <si>
    <t>Amicon 100 kDa</t>
  </si>
  <si>
    <t>854-546</t>
  </si>
  <si>
    <t>50 ml/min ; PTM ~280 ?</t>
  </si>
  <si>
    <t xml:space="preserve">Mbrane  20082156-12/22-164   </t>
  </si>
  <si>
    <t>300 rpm</t>
  </si>
  <si>
    <t>Ambr250 dual pitch-blade #2A23</t>
  </si>
  <si>
    <t>JP</t>
  </si>
  <si>
    <t>PE-bEV-17/18 E</t>
  </si>
  <si>
    <t>1001-516</t>
  </si>
  <si>
    <t>Bruno</t>
  </si>
  <si>
    <t>PE-bEV-17/18 D</t>
  </si>
  <si>
    <t>F3/F4/F5</t>
  </si>
  <si>
    <t>1231-536</t>
  </si>
  <si>
    <r>
      <t>50 ml/min ; PTM ~</t>
    </r>
    <r>
      <rPr>
        <sz val="7.7"/>
        <rFont val="Calibri"/>
        <family val="2"/>
        <scheme val="minor"/>
      </rPr>
      <t>180 ?</t>
    </r>
  </si>
  <si>
    <t>PE-bEV-17/18 C</t>
  </si>
  <si>
    <t>2081-576</t>
  </si>
  <si>
    <t>Emilie</t>
  </si>
  <si>
    <t>PE-bEV-17/18 B</t>
  </si>
  <si>
    <t>Ambr250</t>
  </si>
  <si>
    <t>PE-bEV-022/23 E</t>
  </si>
  <si>
    <t>886-508</t>
  </si>
  <si>
    <t>PE-bEV-022/23 D</t>
  </si>
  <si>
    <t>826-637</t>
  </si>
  <si>
    <t>PE-bEV-022/23 B</t>
  </si>
  <si>
    <t>Bertille</t>
  </si>
  <si>
    <t>10 T300</t>
  </si>
  <si>
    <t>1233-738</t>
  </si>
  <si>
    <t>RPMI adv + 4mM L-glut + 1% P/S</t>
  </si>
  <si>
    <t>16 T225</t>
  </si>
  <si>
    <t>PE-bEV-014 D</t>
  </si>
  <si>
    <t>2150-969</t>
  </si>
  <si>
    <t>PE-bEV-014 C</t>
  </si>
  <si>
    <t>814-497</t>
  </si>
  <si>
    <t>19 T225</t>
  </si>
  <si>
    <t>Néon</t>
  </si>
  <si>
    <t>PE-bEV-014 B</t>
  </si>
  <si>
    <t>Colonne Neuve 1447-869</t>
  </si>
  <si>
    <t>F3                    30 nm</t>
  </si>
  <si>
    <t>1950 (colonne neuve)</t>
  </si>
  <si>
    <t xml:space="preserve">50mL/min      PTM 150 /200 </t>
  </si>
  <si>
    <t>Nietze</t>
  </si>
  <si>
    <t>PE-bEV-009 A</t>
  </si>
  <si>
    <t>MONOLAYER</t>
  </si>
  <si>
    <r>
      <rPr>
        <b/>
        <sz val="11"/>
        <color theme="1"/>
        <rFont val="Calibri"/>
        <family val="2"/>
        <scheme val="minor"/>
      </rPr>
      <t xml:space="preserve">qEV </t>
    </r>
    <r>
      <rPr>
        <sz val="11"/>
        <color theme="1"/>
        <rFont val="Calibri"/>
        <family val="2"/>
        <scheme val="minor"/>
      </rPr>
      <t xml:space="preserve">              Yield     </t>
    </r>
    <r>
      <rPr>
        <b/>
        <sz val="11"/>
        <color theme="1"/>
        <rFont val="Calibri"/>
        <family val="2"/>
        <scheme val="minor"/>
      </rPr>
      <t xml:space="preserve">          </t>
    </r>
    <r>
      <rPr>
        <sz val="11"/>
        <color theme="1"/>
        <rFont val="Calibri"/>
        <family val="2"/>
        <scheme val="minor"/>
      </rPr>
      <t>µg/cells</t>
    </r>
  </si>
  <si>
    <r>
      <rPr>
        <b/>
        <sz val="11"/>
        <color theme="1"/>
        <rFont val="Calibri"/>
        <family val="2"/>
        <scheme val="minor"/>
      </rPr>
      <t xml:space="preserve">qEV    </t>
    </r>
    <r>
      <rPr>
        <sz val="11"/>
        <color theme="1"/>
        <rFont val="Calibri"/>
        <family val="2"/>
        <scheme val="minor"/>
      </rPr>
      <t xml:space="preserve">        Protein total (µg)</t>
    </r>
  </si>
  <si>
    <r>
      <rPr>
        <b/>
        <sz val="11"/>
        <color theme="1"/>
        <rFont val="Calibri"/>
        <family val="2"/>
        <scheme val="minor"/>
      </rPr>
      <t>qEV</t>
    </r>
    <r>
      <rPr>
        <sz val="11"/>
        <color theme="1"/>
        <rFont val="Calibri"/>
        <family val="2"/>
        <scheme val="minor"/>
      </rPr>
      <t xml:space="preserve">                  fluo              EV/µg</t>
    </r>
  </si>
  <si>
    <r>
      <rPr>
        <b/>
        <sz val="11"/>
        <color theme="1"/>
        <rFont val="Calibri"/>
        <family val="2"/>
        <scheme val="minor"/>
      </rPr>
      <t xml:space="preserve">qEV   </t>
    </r>
    <r>
      <rPr>
        <sz val="11"/>
        <color theme="1"/>
        <rFont val="Calibri"/>
        <family val="2"/>
        <scheme val="minor"/>
      </rPr>
      <t xml:space="preserve">       scatter          EV/µg</t>
    </r>
  </si>
  <si>
    <r>
      <rPr>
        <b/>
        <sz val="11"/>
        <color theme="1"/>
        <rFont val="Calibri"/>
        <family val="2"/>
        <scheme val="minor"/>
      </rPr>
      <t>qEV</t>
    </r>
    <r>
      <rPr>
        <sz val="11"/>
        <color theme="1"/>
        <rFont val="Calibri"/>
        <family val="2"/>
        <scheme val="minor"/>
      </rPr>
      <t xml:space="preserve">                Proteins (µg/ml)</t>
    </r>
  </si>
  <si>
    <r>
      <t xml:space="preserve">TFF+UF               </t>
    </r>
    <r>
      <rPr>
        <sz val="11"/>
        <color theme="1"/>
        <rFont val="Calibri"/>
        <family val="2"/>
        <scheme val="minor"/>
      </rPr>
      <t xml:space="preserve">Yield     </t>
    </r>
    <r>
      <rPr>
        <b/>
        <sz val="11"/>
        <color theme="1"/>
        <rFont val="Calibri"/>
        <family val="2"/>
        <scheme val="minor"/>
      </rPr>
      <t xml:space="preserve">          </t>
    </r>
    <r>
      <rPr>
        <sz val="11"/>
        <color theme="1"/>
        <rFont val="Calibri"/>
        <family val="2"/>
        <scheme val="minor"/>
      </rPr>
      <t>µg/cells</t>
    </r>
  </si>
  <si>
    <r>
      <t xml:space="preserve">TFF+UF           </t>
    </r>
    <r>
      <rPr>
        <sz val="11"/>
        <color theme="1"/>
        <rFont val="Calibri"/>
        <family val="2"/>
        <scheme val="minor"/>
      </rPr>
      <t>Protein total (µg)</t>
    </r>
  </si>
  <si>
    <r>
      <t xml:space="preserve">TFF+UF          </t>
    </r>
    <r>
      <rPr>
        <sz val="11"/>
        <color theme="1"/>
        <rFont val="Calibri"/>
        <family val="2"/>
        <scheme val="minor"/>
      </rPr>
      <t xml:space="preserve">fluo     </t>
    </r>
    <r>
      <rPr>
        <b/>
        <sz val="11"/>
        <color theme="1"/>
        <rFont val="Calibri"/>
        <family val="2"/>
        <scheme val="minor"/>
      </rPr>
      <t xml:space="preserve">    </t>
    </r>
    <r>
      <rPr>
        <sz val="11"/>
        <color theme="1"/>
        <rFont val="Calibri"/>
        <family val="2"/>
        <scheme val="minor"/>
      </rPr>
      <t xml:space="preserve"> EV/µg</t>
    </r>
  </si>
  <si>
    <r>
      <t xml:space="preserve">TFF+UF          </t>
    </r>
    <r>
      <rPr>
        <sz val="11"/>
        <color theme="1"/>
        <rFont val="Calibri"/>
        <family val="2"/>
        <scheme val="minor"/>
      </rPr>
      <t xml:space="preserve">scatter     </t>
    </r>
    <r>
      <rPr>
        <b/>
        <sz val="11"/>
        <color theme="1"/>
        <rFont val="Calibri"/>
        <family val="2"/>
        <scheme val="minor"/>
      </rPr>
      <t xml:space="preserve">    </t>
    </r>
    <r>
      <rPr>
        <sz val="11"/>
        <color theme="1"/>
        <rFont val="Calibri"/>
        <family val="2"/>
        <scheme val="minor"/>
      </rPr>
      <t xml:space="preserve"> EV/µg</t>
    </r>
  </si>
  <si>
    <r>
      <t xml:space="preserve">TFF+UF               </t>
    </r>
    <r>
      <rPr>
        <sz val="11"/>
        <color theme="1"/>
        <rFont val="Calibri"/>
        <family val="2"/>
        <scheme val="minor"/>
      </rPr>
      <t xml:space="preserve"> Proteins (µg/ml)</t>
    </r>
  </si>
  <si>
    <r>
      <rPr>
        <b/>
        <sz val="12"/>
        <color theme="1"/>
        <rFont val="Calibri"/>
        <family val="2"/>
        <scheme val="minor"/>
      </rPr>
      <t>qEV</t>
    </r>
    <r>
      <rPr>
        <sz val="12"/>
        <color theme="1"/>
        <rFont val="Calibri"/>
        <family val="2"/>
        <scheme val="minor"/>
      </rPr>
      <t xml:space="preserve">                   fluo (tetraS)           EV/surface mm²       </t>
    </r>
  </si>
  <si>
    <r>
      <rPr>
        <b/>
        <sz val="12"/>
        <color theme="1"/>
        <rFont val="Calibri"/>
        <family val="2"/>
        <scheme val="minor"/>
      </rPr>
      <t>qEV</t>
    </r>
    <r>
      <rPr>
        <sz val="12"/>
        <color theme="1"/>
        <rFont val="Calibri"/>
        <family val="2"/>
        <scheme val="minor"/>
      </rPr>
      <t xml:space="preserve">                   fluo (tetraS)           EV/cell              </t>
    </r>
  </si>
  <si>
    <r>
      <rPr>
        <b/>
        <sz val="12"/>
        <color theme="1"/>
        <rFont val="Calibri"/>
        <family val="2"/>
        <scheme val="minor"/>
      </rPr>
      <t xml:space="preserve">qEV </t>
    </r>
    <r>
      <rPr>
        <sz val="12"/>
        <color theme="1"/>
        <rFont val="Calibri"/>
        <family val="2"/>
        <scheme val="minor"/>
      </rPr>
      <t xml:space="preserve">                    scatter           EV/cell              </t>
    </r>
  </si>
  <si>
    <r>
      <rPr>
        <b/>
        <sz val="12"/>
        <color theme="1"/>
        <rFont val="Calibri"/>
        <family val="2"/>
        <scheme val="minor"/>
      </rPr>
      <t>qEV</t>
    </r>
    <r>
      <rPr>
        <sz val="12"/>
        <color theme="1"/>
        <rFont val="Calibri"/>
        <family val="2"/>
        <scheme val="minor"/>
      </rPr>
      <t xml:space="preserve">             fluo (tetraS)           EV/ml              </t>
    </r>
  </si>
  <si>
    <r>
      <rPr>
        <b/>
        <sz val="12"/>
        <color theme="1"/>
        <rFont val="Calibri"/>
        <family val="2"/>
        <scheme val="minor"/>
      </rPr>
      <t>qEV</t>
    </r>
    <r>
      <rPr>
        <sz val="12"/>
        <color theme="1"/>
        <rFont val="Calibri"/>
        <family val="2"/>
        <scheme val="minor"/>
      </rPr>
      <t xml:space="preserve">           scatter           EV/ml              </t>
    </r>
  </si>
  <si>
    <r>
      <rPr>
        <b/>
        <sz val="12"/>
        <color theme="1"/>
        <rFont val="Calibri"/>
        <family val="2"/>
        <scheme val="minor"/>
      </rPr>
      <t xml:space="preserve">TFF+UF </t>
    </r>
    <r>
      <rPr>
        <sz val="12"/>
        <color theme="1"/>
        <rFont val="Calibri"/>
        <family val="2"/>
        <scheme val="minor"/>
      </rPr>
      <t xml:space="preserve">          fluo (tetraS)           EV/cell              </t>
    </r>
  </si>
  <si>
    <r>
      <rPr>
        <b/>
        <sz val="12"/>
        <color theme="1"/>
        <rFont val="Calibri"/>
        <family val="2"/>
        <scheme val="minor"/>
      </rPr>
      <t>TFF+UF</t>
    </r>
    <r>
      <rPr>
        <sz val="12"/>
        <color theme="1"/>
        <rFont val="Calibri"/>
        <family val="2"/>
        <scheme val="minor"/>
      </rPr>
      <t xml:space="preserve">           scatter           EV/cell              </t>
    </r>
  </si>
  <si>
    <r>
      <rPr>
        <b/>
        <sz val="12"/>
        <color theme="1"/>
        <rFont val="Calibri"/>
        <family val="2"/>
        <scheme val="minor"/>
      </rPr>
      <t>TFF+UF</t>
    </r>
    <r>
      <rPr>
        <sz val="12"/>
        <color theme="1"/>
        <rFont val="Calibri"/>
        <family val="2"/>
        <scheme val="minor"/>
      </rPr>
      <t xml:space="preserve">           fluo (tetraS)           EV/ml              </t>
    </r>
  </si>
  <si>
    <r>
      <rPr>
        <b/>
        <sz val="12"/>
        <color theme="1"/>
        <rFont val="Calibri"/>
        <family val="2"/>
        <scheme val="minor"/>
      </rPr>
      <t>TFF+UF</t>
    </r>
    <r>
      <rPr>
        <sz val="12"/>
        <color theme="1"/>
        <rFont val="Calibri"/>
        <family val="2"/>
        <scheme val="minor"/>
      </rPr>
      <t xml:space="preserve">           scatter           EV/ml              </t>
    </r>
  </si>
  <si>
    <r>
      <rPr>
        <b/>
        <sz val="12"/>
        <color theme="1"/>
        <rFont val="Calibri"/>
        <family val="2"/>
        <scheme val="minor"/>
      </rPr>
      <t xml:space="preserve">Cl. Medium </t>
    </r>
    <r>
      <rPr>
        <sz val="12"/>
        <color theme="1"/>
        <rFont val="Calibri"/>
        <family val="2"/>
        <scheme val="minor"/>
      </rPr>
      <t xml:space="preserve">          fluo (tetraS)           EV/cell              </t>
    </r>
  </si>
  <si>
    <r>
      <rPr>
        <b/>
        <sz val="12"/>
        <color theme="1"/>
        <rFont val="Calibri"/>
        <family val="2"/>
        <scheme val="minor"/>
      </rPr>
      <t>Cl. Medium</t>
    </r>
    <r>
      <rPr>
        <sz val="12"/>
        <color theme="1"/>
        <rFont val="Calibri"/>
        <family val="2"/>
        <scheme val="minor"/>
      </rPr>
      <t xml:space="preserve">           scatter           EV/cell              </t>
    </r>
  </si>
  <si>
    <r>
      <rPr>
        <b/>
        <sz val="12"/>
        <color theme="1"/>
        <rFont val="Calibri"/>
        <family val="2"/>
        <scheme val="minor"/>
      </rPr>
      <t xml:space="preserve">Cl. Medium </t>
    </r>
    <r>
      <rPr>
        <sz val="12"/>
        <color theme="1"/>
        <rFont val="Calibri"/>
        <family val="2"/>
        <scheme val="minor"/>
      </rPr>
      <t xml:space="preserve">          fluo (tetraS)           EV/ml              </t>
    </r>
  </si>
  <si>
    <r>
      <rPr>
        <b/>
        <sz val="12"/>
        <color theme="1"/>
        <rFont val="Calibri"/>
        <family val="2"/>
        <scheme val="minor"/>
      </rPr>
      <t xml:space="preserve">Cl. Medium  </t>
    </r>
    <r>
      <rPr>
        <sz val="12"/>
        <color theme="1"/>
        <rFont val="Calibri"/>
        <family val="2"/>
        <scheme val="minor"/>
      </rPr>
      <t xml:space="preserve">         scatter           EV/ml              </t>
    </r>
  </si>
  <si>
    <r>
      <rPr>
        <b/>
        <sz val="11"/>
        <color theme="8"/>
        <rFont val="Calibri"/>
        <family val="2"/>
        <scheme val="minor"/>
      </rPr>
      <t xml:space="preserve">qEV              </t>
    </r>
    <r>
      <rPr>
        <sz val="11"/>
        <color theme="8"/>
        <rFont val="Calibri"/>
        <family val="2"/>
        <scheme val="minor"/>
      </rPr>
      <t>fluo (tetraS)              mode (nm)</t>
    </r>
  </si>
  <si>
    <r>
      <rPr>
        <b/>
        <sz val="11"/>
        <color theme="8"/>
        <rFont val="Calibri"/>
        <family val="2"/>
        <scheme val="minor"/>
      </rPr>
      <t xml:space="preserve">qEV          </t>
    </r>
    <r>
      <rPr>
        <sz val="11"/>
        <color theme="8"/>
        <rFont val="Calibri"/>
        <family val="2"/>
        <scheme val="minor"/>
      </rPr>
      <t xml:space="preserve"> scatter     </t>
    </r>
    <r>
      <rPr>
        <b/>
        <sz val="11"/>
        <color theme="8"/>
        <rFont val="Calibri"/>
        <family val="2"/>
        <scheme val="minor"/>
      </rPr>
      <t xml:space="preserve">            </t>
    </r>
    <r>
      <rPr>
        <sz val="11"/>
        <color theme="8"/>
        <rFont val="Calibri"/>
        <family val="2"/>
        <scheme val="minor"/>
      </rPr>
      <t>mode (nm)</t>
    </r>
  </si>
  <si>
    <r>
      <rPr>
        <b/>
        <sz val="11"/>
        <rFont val="Calibri"/>
        <family val="2"/>
        <scheme val="minor"/>
      </rPr>
      <t xml:space="preserve">qEV           </t>
    </r>
    <r>
      <rPr>
        <sz val="11"/>
        <rFont val="Calibri"/>
        <family val="2"/>
        <scheme val="minor"/>
      </rPr>
      <t>purity</t>
    </r>
  </si>
  <si>
    <r>
      <rPr>
        <b/>
        <sz val="11"/>
        <rFont val="Calibri"/>
        <family val="2"/>
        <scheme val="minor"/>
      </rPr>
      <t xml:space="preserve">qEV                </t>
    </r>
    <r>
      <rPr>
        <sz val="11"/>
        <rFont val="Calibri"/>
        <family val="2"/>
        <scheme val="minor"/>
      </rPr>
      <t xml:space="preserve"> fluo (tetraS)                 (part/ml)</t>
    </r>
  </si>
  <si>
    <r>
      <rPr>
        <b/>
        <sz val="11"/>
        <rFont val="Calibri"/>
        <family val="2"/>
        <scheme val="minor"/>
      </rPr>
      <t xml:space="preserve">qEV                </t>
    </r>
    <r>
      <rPr>
        <sz val="11"/>
        <rFont val="Calibri"/>
        <family val="2"/>
        <scheme val="minor"/>
      </rPr>
      <t xml:space="preserve"> scatter 85                 (part/ml)</t>
    </r>
  </si>
  <si>
    <r>
      <rPr>
        <b/>
        <sz val="11"/>
        <color theme="8"/>
        <rFont val="Calibri"/>
        <family val="2"/>
        <scheme val="minor"/>
      </rPr>
      <t xml:space="preserve">TFF+UF          </t>
    </r>
    <r>
      <rPr>
        <sz val="11"/>
        <color theme="8"/>
        <rFont val="Calibri"/>
        <family val="2"/>
        <scheme val="minor"/>
      </rPr>
      <t xml:space="preserve"> fluo (tetraS)   </t>
    </r>
    <r>
      <rPr>
        <b/>
        <sz val="11"/>
        <color theme="8"/>
        <rFont val="Calibri"/>
        <family val="2"/>
        <scheme val="minor"/>
      </rPr>
      <t xml:space="preserve">        </t>
    </r>
    <r>
      <rPr>
        <sz val="11"/>
        <color theme="8"/>
        <rFont val="Calibri"/>
        <family val="2"/>
        <scheme val="minor"/>
      </rPr>
      <t>mode (nm)</t>
    </r>
  </si>
  <si>
    <r>
      <rPr>
        <b/>
        <sz val="11"/>
        <color theme="8"/>
        <rFont val="Calibri"/>
        <family val="2"/>
        <scheme val="minor"/>
      </rPr>
      <t xml:space="preserve">TFF+UF       </t>
    </r>
    <r>
      <rPr>
        <sz val="11"/>
        <color theme="8"/>
        <rFont val="Calibri"/>
        <family val="2"/>
        <scheme val="minor"/>
      </rPr>
      <t xml:space="preserve">    scatter </t>
    </r>
    <r>
      <rPr>
        <b/>
        <sz val="11"/>
        <color theme="8"/>
        <rFont val="Calibri"/>
        <family val="2"/>
        <scheme val="minor"/>
      </rPr>
      <t xml:space="preserve">          </t>
    </r>
    <r>
      <rPr>
        <sz val="11"/>
        <color theme="8"/>
        <rFont val="Calibri"/>
        <family val="2"/>
        <scheme val="minor"/>
      </rPr>
      <t>mode (nm)</t>
    </r>
  </si>
  <si>
    <r>
      <rPr>
        <b/>
        <sz val="11"/>
        <rFont val="Calibri"/>
        <family val="2"/>
        <scheme val="minor"/>
      </rPr>
      <t xml:space="preserve">TFF+UF           </t>
    </r>
    <r>
      <rPr>
        <sz val="11"/>
        <rFont val="Calibri"/>
        <family val="2"/>
        <scheme val="minor"/>
      </rPr>
      <t>purity</t>
    </r>
  </si>
  <si>
    <r>
      <rPr>
        <b/>
        <sz val="11"/>
        <rFont val="Calibri"/>
        <family val="2"/>
        <scheme val="minor"/>
      </rPr>
      <t xml:space="preserve">TFF+UF           </t>
    </r>
    <r>
      <rPr>
        <sz val="11"/>
        <rFont val="Calibri"/>
        <family val="2"/>
        <scheme val="minor"/>
      </rPr>
      <t>fluo (tetraS)                  (part/ml)</t>
    </r>
  </si>
  <si>
    <r>
      <rPr>
        <b/>
        <sz val="11"/>
        <rFont val="Calibri"/>
        <family val="2"/>
        <scheme val="minor"/>
      </rPr>
      <t xml:space="preserve">TFF+UF       </t>
    </r>
    <r>
      <rPr>
        <sz val="11"/>
        <rFont val="Calibri"/>
        <family val="2"/>
        <scheme val="minor"/>
      </rPr>
      <t xml:space="preserve"> scatter 85        (part/ml)</t>
    </r>
  </si>
  <si>
    <r>
      <rPr>
        <b/>
        <sz val="11"/>
        <color rgb="FF0070C0"/>
        <rFont val="Calibri"/>
        <family val="2"/>
        <scheme val="minor"/>
      </rPr>
      <t xml:space="preserve">Clarified media </t>
    </r>
    <r>
      <rPr>
        <sz val="11"/>
        <color rgb="FF0070C0"/>
        <rFont val="Calibri"/>
        <family val="2"/>
        <scheme val="minor"/>
      </rPr>
      <t xml:space="preserve">             fluo(tetraS)                mode (nm)</t>
    </r>
  </si>
  <si>
    <r>
      <rPr>
        <b/>
        <sz val="11"/>
        <color rgb="FF0070C0"/>
        <rFont val="Calibri"/>
        <family val="2"/>
        <scheme val="minor"/>
      </rPr>
      <t xml:space="preserve">Clarified media </t>
    </r>
    <r>
      <rPr>
        <sz val="11"/>
        <color rgb="FF0070C0"/>
        <rFont val="Calibri"/>
        <family val="2"/>
        <scheme val="minor"/>
      </rPr>
      <t xml:space="preserve">          Scatter                   mode (nm)</t>
    </r>
  </si>
  <si>
    <r>
      <rPr>
        <b/>
        <sz val="11"/>
        <color theme="1"/>
        <rFont val="Calibri"/>
        <family val="2"/>
        <scheme val="minor"/>
      </rPr>
      <t xml:space="preserve">Clarified media </t>
    </r>
    <r>
      <rPr>
        <sz val="11"/>
        <color theme="1"/>
        <rFont val="Calibri"/>
        <family val="2"/>
        <scheme val="minor"/>
      </rPr>
      <t xml:space="preserve">          purity</t>
    </r>
  </si>
  <si>
    <r>
      <rPr>
        <b/>
        <sz val="11"/>
        <color theme="1"/>
        <rFont val="Calibri"/>
        <family val="2"/>
        <scheme val="minor"/>
      </rPr>
      <t>Clarified media</t>
    </r>
    <r>
      <rPr>
        <sz val="11"/>
        <color theme="1"/>
        <rFont val="Calibri"/>
        <family val="2"/>
        <scheme val="minor"/>
      </rPr>
      <t xml:space="preserve">                 fluo (tetraS)                 (part/ml)</t>
    </r>
  </si>
  <si>
    <r>
      <rPr>
        <b/>
        <sz val="11"/>
        <color theme="1"/>
        <rFont val="Calibri"/>
        <family val="2"/>
        <scheme val="minor"/>
      </rPr>
      <t>Clarified media</t>
    </r>
    <r>
      <rPr>
        <sz val="11"/>
        <color theme="1"/>
        <rFont val="Calibri"/>
        <family val="2"/>
        <scheme val="minor"/>
      </rPr>
      <t xml:space="preserve">                 scatter 85                 (part/ml)</t>
    </r>
  </si>
  <si>
    <t>qEV Concentrated volume (µl)</t>
  </si>
  <si>
    <t>TFF+UF Concentrated volume (µl)</t>
  </si>
  <si>
    <t>qEV IZON (Fractions) 35 nm</t>
  </si>
  <si>
    <t>UF</t>
  </si>
  <si>
    <t>Diafiltrations</t>
  </si>
  <si>
    <t>Set up TFF</t>
  </si>
  <si>
    <t>TFF</t>
  </si>
  <si>
    <t>Power input (W/m3)</t>
  </si>
  <si>
    <t>Tip speed (m/s)</t>
  </si>
  <si>
    <t>Stirring speed</t>
  </si>
  <si>
    <t>Production medium</t>
  </si>
  <si>
    <t>FINAL (total cells)</t>
  </si>
  <si>
    <t>LDH (mU/e6 cells total)</t>
  </si>
  <si>
    <t>LDH (mU)/mL</t>
  </si>
  <si>
    <t>surface (µm²/mL)</t>
  </si>
  <si>
    <r>
      <t xml:space="preserve">FINAL density (cells/ml) </t>
    </r>
    <r>
      <rPr>
        <i/>
        <sz val="11"/>
        <color theme="1"/>
        <rFont val="Calibri"/>
        <family val="2"/>
        <scheme val="minor"/>
      </rPr>
      <t>(ML=0,12/cm²)</t>
    </r>
  </si>
  <si>
    <t>FINAL density (cells/cm²)</t>
  </si>
  <si>
    <t>PRODUCTION (total cells)  (ALIVE + DEAD)</t>
  </si>
  <si>
    <t>surface (mm²/mL)</t>
  </si>
  <si>
    <r>
      <t xml:space="preserve">PRODUCTION density (cells/ml) </t>
    </r>
    <r>
      <rPr>
        <b/>
        <i/>
        <sz val="11"/>
        <color rgb="FFC00000"/>
        <rFont val="Calibri"/>
        <family val="2"/>
        <scheme val="minor"/>
      </rPr>
      <t xml:space="preserve">(ML=0,12ml/cm²)  </t>
    </r>
    <r>
      <rPr>
        <b/>
        <sz val="11"/>
        <color rgb="FFC00000"/>
        <rFont val="Calibri"/>
        <family val="2"/>
        <scheme val="minor"/>
      </rPr>
      <t>(ALIVE + DEAD)</t>
    </r>
  </si>
  <si>
    <r>
      <t xml:space="preserve">PRODUCTION density (cells/cm²) </t>
    </r>
    <r>
      <rPr>
        <b/>
        <sz val="11"/>
        <color theme="1"/>
        <rFont val="Calibri"/>
        <family val="2"/>
        <scheme val="minor"/>
      </rPr>
      <t>(ALIVE + DEAD)</t>
    </r>
  </si>
  <si>
    <t>INITIAL (total cells)</t>
  </si>
  <si>
    <r>
      <t>INITIAL density  (cells/ml)</t>
    </r>
    <r>
      <rPr>
        <i/>
        <sz val="11"/>
        <color theme="1"/>
        <rFont val="Calibri"/>
        <family val="2"/>
        <scheme val="minor"/>
      </rPr>
      <t xml:space="preserve"> (ML=0,2 ml/cm²)</t>
    </r>
  </si>
  <si>
    <t>INITIAL density (cells/cm²)</t>
  </si>
  <si>
    <t>Vessel</t>
  </si>
  <si>
    <t>PDL</t>
  </si>
  <si>
    <t>Passage</t>
  </si>
  <si>
    <t>sEV 1.4E7</t>
  </si>
  <si>
    <t>Bradford / protein</t>
  </si>
  <si>
    <t>Yield</t>
  </si>
  <si>
    <t>ZetaView</t>
  </si>
  <si>
    <t>Volumes</t>
  </si>
  <si>
    <t>SPINNER</t>
  </si>
  <si>
    <t>qs glucose</t>
  </si>
  <si>
    <t>qs glutamine</t>
  </si>
  <si>
    <t>qp lactate</t>
  </si>
  <si>
    <t>qp Nh4</t>
  </si>
  <si>
    <t>NH4-NH40</t>
  </si>
  <si>
    <t>NH4(t)-NH4(t-1)</t>
  </si>
  <si>
    <t>lac(t)-lac(t-1)</t>
  </si>
  <si>
    <t>glut(t-1)-glut(t)</t>
  </si>
  <si>
    <t>LAC/GLUC  vs. t0</t>
  </si>
  <si>
    <t>NH4/GLUT vs t0</t>
  </si>
  <si>
    <t>NH4/GLUT at 72h</t>
  </si>
  <si>
    <t>LAC/GLUC  at t72h</t>
  </si>
  <si>
    <t>cell(t)-cell(t-1)</t>
  </si>
  <si>
    <t>CELL/GLUC at 72h</t>
  </si>
  <si>
    <t>CELL/GLUT at 72h</t>
  </si>
  <si>
    <r>
      <rPr>
        <b/>
        <sz val="12"/>
        <color theme="1"/>
        <rFont val="Calibri"/>
        <family val="2"/>
        <scheme val="minor"/>
      </rPr>
      <t>qEV</t>
    </r>
    <r>
      <rPr>
        <sz val="12"/>
        <color theme="1"/>
        <rFont val="Calibri"/>
        <family val="2"/>
        <scheme val="minor"/>
      </rPr>
      <t xml:space="preserve">                   fluo (tetraS)           total</t>
    </r>
  </si>
  <si>
    <t>Concentration factor</t>
  </si>
  <si>
    <t>TFF water permeability (L/m2/h/bars) initial-final</t>
  </si>
  <si>
    <t>Column midikross</t>
  </si>
  <si>
    <t>Total volume after clarification</t>
  </si>
  <si>
    <t>Viability (end production)</t>
  </si>
  <si>
    <t>Viability (start production)</t>
  </si>
  <si>
    <t>Production time</t>
  </si>
  <si>
    <t>Culture time before prod (ML establishment / spheroid formation)</t>
  </si>
  <si>
    <t>total free cell (/ml medium)</t>
  </si>
  <si>
    <t>Production volume</t>
  </si>
  <si>
    <t>Cell batch</t>
  </si>
  <si>
    <t>Date</t>
  </si>
  <si>
    <t>RPMI adv + 4mM L-glutamin + 1% P/S</t>
  </si>
  <si>
    <t>Buffer</t>
  </si>
  <si>
    <t>Protocol ID</t>
  </si>
  <si>
    <t>Culture condition</t>
  </si>
  <si>
    <t>ML4</t>
  </si>
  <si>
    <t>standard curve 2</t>
  </si>
  <si>
    <t>standard LDH (mU/mL)</t>
  </si>
  <si>
    <t>standard cells (cells/mL)</t>
  </si>
  <si>
    <t>f(cells) = LDH</t>
  </si>
  <si>
    <r>
      <t>Cell count total</t>
    </r>
    <r>
      <rPr>
        <sz val="11"/>
        <color theme="1"/>
        <rFont val="Calibri"/>
        <family val="2"/>
        <scheme val="minor"/>
      </rPr>
      <t xml:space="preserve"> (after trypsine dissociation)</t>
    </r>
  </si>
  <si>
    <t>% cells in spheroid</t>
  </si>
  <si>
    <t>spheroid/ml</t>
  </si>
  <si>
    <t>spheroid size (µm)</t>
  </si>
  <si>
    <r>
      <t xml:space="preserve">spheroid cells
 </t>
    </r>
    <r>
      <rPr>
        <sz val="11"/>
        <color theme="1"/>
        <rFont val="Calibri"/>
        <family val="2"/>
        <scheme val="minor"/>
      </rPr>
      <t>(TRYPStot-FCtot)</t>
    </r>
  </si>
  <si>
    <t>cells/spheroid</t>
  </si>
  <si>
    <r>
      <t xml:space="preserve">spheroid viable cells
 </t>
    </r>
    <r>
      <rPr>
        <sz val="11"/>
        <color theme="1"/>
        <rFont val="Calibri"/>
        <family val="2"/>
        <scheme val="minor"/>
      </rPr>
      <t>(TRYPSalive-FCalive)</t>
    </r>
  </si>
  <si>
    <t>spheroids1</t>
  </si>
  <si>
    <t>spheroids3</t>
  </si>
  <si>
    <t>spheroids4</t>
  </si>
  <si>
    <t>spheroids2</t>
  </si>
  <si>
    <t>lysed cells</t>
  </si>
  <si>
    <t>Cell count total (after trypsine dissociation)</t>
  </si>
  <si>
    <t>Viability (based on LDH)</t>
  </si>
  <si>
    <r>
      <t xml:space="preserve">Viability </t>
    </r>
    <r>
      <rPr>
        <sz val="11"/>
        <color theme="1"/>
        <rFont val="Calibri"/>
        <family val="2"/>
        <scheme val="minor"/>
      </rPr>
      <t>(based on LDH)</t>
    </r>
  </si>
  <si>
    <r>
      <t>Viability</t>
    </r>
    <r>
      <rPr>
        <sz val="11"/>
        <color theme="1"/>
        <rFont val="Calibri"/>
        <family val="2"/>
        <scheme val="minor"/>
      </rPr>
      <t xml:space="preserve"> (based on LDH)</t>
    </r>
  </si>
  <si>
    <t>% Free cell</t>
  </si>
  <si>
    <t>Metabolites</t>
  </si>
  <si>
    <r>
      <t xml:space="preserve">Viability (BT, %)
</t>
    </r>
    <r>
      <rPr>
        <sz val="11"/>
        <color theme="1"/>
        <rFont val="Calibri"/>
        <family val="2"/>
        <scheme val="minor"/>
      </rPr>
      <t>(Trypsin)</t>
    </r>
  </si>
  <si>
    <r>
      <rPr>
        <b/>
        <sz val="11"/>
        <color theme="1"/>
        <rFont val="Calibri"/>
        <family val="2"/>
        <scheme val="minor"/>
      </rPr>
      <t>Total free cell/ml</t>
    </r>
    <r>
      <rPr>
        <sz val="11"/>
        <color theme="1"/>
        <rFont val="Calibri"/>
        <family val="2"/>
        <scheme val="minor"/>
      </rPr>
      <t xml:space="preserve"> (FCtot)</t>
    </r>
  </si>
  <si>
    <t>Ammonium production rate</t>
  </si>
  <si>
    <t>Lactate production rate</t>
  </si>
  <si>
    <t>Glutamine consumption rate</t>
  </si>
  <si>
    <t>Ammonium-Ammonium0</t>
  </si>
  <si>
    <t>Ammonium = f(glutamine)</t>
  </si>
  <si>
    <t>glut/ammonium</t>
  </si>
  <si>
    <r>
      <t>Glucose consumption rate (</t>
    </r>
    <r>
      <rPr>
        <b/>
        <sz val="12"/>
        <color theme="0"/>
        <rFont val="Ebrima"/>
      </rPr>
      <t xml:space="preserve"> Δ</t>
    </r>
    <r>
      <rPr>
        <b/>
        <sz val="12"/>
        <color theme="0"/>
        <rFont val="Calibri"/>
        <family val="2"/>
      </rPr>
      <t>/1e6 cell) vs T-1</t>
    </r>
  </si>
  <si>
    <r>
      <t>Ammonium production rate (</t>
    </r>
    <r>
      <rPr>
        <b/>
        <sz val="12"/>
        <color theme="0"/>
        <rFont val="Ebrima"/>
      </rPr>
      <t xml:space="preserve"> Δ</t>
    </r>
    <r>
      <rPr>
        <b/>
        <sz val="12"/>
        <color theme="0"/>
        <rFont val="Calibri"/>
        <family val="2"/>
      </rPr>
      <t>/1e6 cell) vs T-1</t>
    </r>
  </si>
  <si>
    <r>
      <t>Lactate production rate (</t>
    </r>
    <r>
      <rPr>
        <b/>
        <sz val="12"/>
        <color theme="0"/>
        <rFont val="Ebrima"/>
      </rPr>
      <t xml:space="preserve"> Δ</t>
    </r>
    <r>
      <rPr>
        <b/>
        <sz val="12"/>
        <color theme="0"/>
        <rFont val="Calibri"/>
        <family val="2"/>
      </rPr>
      <t>/1e6 cell) vs T-1</t>
    </r>
  </si>
  <si>
    <r>
      <t>Glutamine consumption rate (</t>
    </r>
    <r>
      <rPr>
        <b/>
        <sz val="12"/>
        <color theme="0"/>
        <rFont val="Ebrima"/>
      </rPr>
      <t xml:space="preserve"> Δ</t>
    </r>
    <r>
      <rPr>
        <b/>
        <sz val="12"/>
        <color theme="0"/>
        <rFont val="Calibri"/>
        <family val="2"/>
      </rPr>
      <t>/1e6 cell) vs T-1</t>
    </r>
  </si>
  <si>
    <t>lysed cell</t>
  </si>
  <si>
    <r>
      <t xml:space="preserve">alive/mL </t>
    </r>
    <r>
      <rPr>
        <sz val="11"/>
        <color theme="1"/>
        <rFont val="Calibri"/>
        <family val="2"/>
        <scheme val="minor"/>
      </rPr>
      <t>(x1e6 cells)</t>
    </r>
  </si>
  <si>
    <t>spheroids/ml</t>
  </si>
  <si>
    <t>spheroids size (µm)</t>
  </si>
  <si>
    <r>
      <t xml:space="preserve">spheroid viable cells
</t>
    </r>
    <r>
      <rPr>
        <sz val="11"/>
        <color theme="1"/>
        <rFont val="Calibri"/>
        <family val="2"/>
        <scheme val="minor"/>
      </rPr>
      <t xml:space="preserve"> (TRYPSalive-FCalive)</t>
    </r>
  </si>
  <si>
    <t>Spheroids size (µm)</t>
  </si>
  <si>
    <t>cells/spheroids</t>
  </si>
  <si>
    <t>glutamine/ammonium</t>
  </si>
  <si>
    <t>ammonium-ammonium0</t>
  </si>
  <si>
    <t>0.5L SpF EV production : RPMI-1640 advanced w/o FBS + 4mM glutamine</t>
  </si>
  <si>
    <t>Ambr250 STBr  EV production : RPMI-1640 advanced w/o FBS + 4mM glutamine</t>
  </si>
  <si>
    <t>0.125L SpF : RPMI-1640 advanced w/o FBS + 4mM glutamine</t>
  </si>
  <si>
    <t>0.125L SpF : RPMI-1640 + 10% FBS + 2mM glutamine</t>
  </si>
  <si>
    <t>spheroid</t>
  </si>
  <si>
    <t>free cell</t>
  </si>
  <si>
    <t>total</t>
  </si>
  <si>
    <t>mean during EV production</t>
  </si>
  <si>
    <t>single cell size (µm)</t>
  </si>
  <si>
    <t>Upstream</t>
  </si>
  <si>
    <t>TOTAL CELLS "real" (based on medium collected after clarification)</t>
  </si>
  <si>
    <t>Downstream</t>
  </si>
  <si>
    <r>
      <rPr>
        <b/>
        <sz val="11"/>
        <color theme="1"/>
        <rFont val="Calibri"/>
        <family val="2"/>
        <scheme val="minor"/>
      </rPr>
      <t>Total amount of protein</t>
    </r>
    <r>
      <rPr>
        <sz val="11"/>
        <color theme="1"/>
        <rFont val="Calibri"/>
        <family val="2"/>
        <scheme val="minor"/>
      </rPr>
      <t xml:space="preserve"> per batch (µg)</t>
    </r>
  </si>
  <si>
    <t>Volume (mL)</t>
  </si>
  <si>
    <r>
      <t xml:space="preserve">TFF+UF               </t>
    </r>
    <r>
      <rPr>
        <sz val="11"/>
        <color theme="1"/>
        <rFont val="Calibri"/>
        <family val="2"/>
        <scheme val="minor"/>
      </rPr>
      <t xml:space="preserve">Yield     </t>
    </r>
    <r>
      <rPr>
        <b/>
        <sz val="11"/>
        <color theme="1"/>
        <rFont val="Calibri"/>
        <family val="2"/>
        <scheme val="minor"/>
      </rPr>
      <t xml:space="preserve">          </t>
    </r>
    <r>
      <rPr>
        <sz val="11"/>
        <color theme="1"/>
        <rFont val="Calibri"/>
        <family val="2"/>
        <scheme val="minor"/>
      </rPr>
      <t>µg/ml medium</t>
    </r>
  </si>
  <si>
    <r>
      <rPr>
        <b/>
        <sz val="11"/>
        <color theme="1"/>
        <rFont val="Calibri"/>
        <family val="2"/>
        <scheme val="minor"/>
      </rPr>
      <t xml:space="preserve">qEV  </t>
    </r>
    <r>
      <rPr>
        <sz val="11"/>
        <color theme="1"/>
        <rFont val="Calibri"/>
        <family val="2"/>
        <scheme val="minor"/>
      </rPr>
      <t xml:space="preserve">         Yield     </t>
    </r>
    <r>
      <rPr>
        <b/>
        <sz val="11"/>
        <color theme="1"/>
        <rFont val="Calibri"/>
        <family val="2"/>
        <scheme val="minor"/>
      </rPr>
      <t xml:space="preserve">          </t>
    </r>
    <r>
      <rPr>
        <sz val="11"/>
        <color theme="1"/>
        <rFont val="Calibri"/>
        <family val="2"/>
        <scheme val="minor"/>
      </rPr>
      <t>µg/ml medium</t>
    </r>
  </si>
  <si>
    <t>0.125L SpF - RPMI 10% FBS</t>
  </si>
  <si>
    <t>0.125L SpF - RPMI adv w/o FBS</t>
  </si>
  <si>
    <t>Parental cells (PC)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</si>
</sst>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"/>
    <numFmt numFmtId="165" formatCode="0.0000"/>
    <numFmt numFmtId="166" formatCode="0.00000"/>
    <numFmt numFmtId="167" formatCode="0.000"/>
    <numFmt numFmtId="168" formatCode="0.00000000000"/>
    <numFmt numFmtId="169" formatCode="0.0E+00"/>
    <numFmt numFmtId="170" formatCode="0.000000"/>
  </numFmts>
  <fonts count="6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2"/>
      <color theme="0"/>
      <name val="Ebrima"/>
    </font>
    <font>
      <b/>
      <sz val="12"/>
      <color theme="0"/>
      <name val="Calibri"/>
      <family val="2"/>
    </font>
    <font>
      <b/>
      <sz val="20"/>
      <color rgb="FFFF0000"/>
      <name val="Calibri"/>
      <family val="2"/>
      <scheme val="minor"/>
    </font>
    <font>
      <sz val="20"/>
      <color rgb="FFFF0000"/>
      <name val="Calibri"/>
      <family val="2"/>
      <scheme val="minor"/>
    </font>
    <font>
      <sz val="11"/>
      <color theme="1"/>
      <name val="Calibri"/>
      <family val="2"/>
    </font>
    <font>
      <i/>
      <sz val="1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002060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7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7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rgb="FFFF0000"/>
      <name val="Arial"/>
      <family val="2"/>
    </font>
    <font>
      <b/>
      <sz val="20"/>
      <color rgb="FFC0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theme="1"/>
      <name val="Calibri"/>
      <family val="2"/>
    </font>
    <font>
      <b/>
      <sz val="1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8"/>
      <color rgb="FFC00000"/>
      <name val="Calibri"/>
      <family val="2"/>
      <scheme val="minor"/>
    </font>
    <font>
      <b/>
      <sz val="11"/>
      <color rgb="FFFF0000"/>
      <name val="Calibri"/>
      <family val="2"/>
    </font>
    <font>
      <i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8"/>
      <name val="Calibri"/>
      <family val="2"/>
      <scheme val="minor"/>
    </font>
    <font>
      <sz val="7.7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009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9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1">
    <xf numFmtId="0" fontId="0" fillId="0" borderId="0" xfId="0"/>
    <xf numFmtId="11" fontId="0" fillId="0" borderId="0" xfId="0" applyNumberFormat="1"/>
    <xf numFmtId="0" fontId="0" fillId="3" borderId="2" xfId="0" applyFill="1" applyBorder="1"/>
    <xf numFmtId="11" fontId="0" fillId="3" borderId="2" xfId="0" applyNumberFormat="1" applyFill="1" applyBorder="1"/>
    <xf numFmtId="0" fontId="0" fillId="3" borderId="0" xfId="0" applyFill="1"/>
    <xf numFmtId="11" fontId="0" fillId="3" borderId="0" xfId="0" applyNumberFormat="1" applyFill="1"/>
    <xf numFmtId="0" fontId="0" fillId="3" borderId="5" xfId="0" applyFill="1" applyBorder="1"/>
    <xf numFmtId="11" fontId="0" fillId="3" borderId="5" xfId="0" applyNumberFormat="1" applyFill="1" applyBorder="1"/>
    <xf numFmtId="49" fontId="0" fillId="3" borderId="2" xfId="0" applyNumberFormat="1" applyFill="1" applyBorder="1"/>
    <xf numFmtId="0" fontId="0" fillId="4" borderId="2" xfId="0" applyFill="1" applyBorder="1"/>
    <xf numFmtId="11" fontId="0" fillId="4" borderId="2" xfId="0" applyNumberFormat="1" applyFill="1" applyBorder="1"/>
    <xf numFmtId="0" fontId="0" fillId="4" borderId="0" xfId="0" applyFill="1"/>
    <xf numFmtId="11" fontId="0" fillId="4" borderId="0" xfId="0" applyNumberFormat="1" applyFill="1"/>
    <xf numFmtId="0" fontId="0" fillId="4" borderId="5" xfId="0" applyFill="1" applyBorder="1"/>
    <xf numFmtId="11" fontId="0" fillId="4" borderId="5" xfId="0" applyNumberFormat="1" applyFill="1" applyBorder="1"/>
    <xf numFmtId="49" fontId="0" fillId="4" borderId="0" xfId="0" applyNumberFormat="1" applyFill="1"/>
    <xf numFmtId="0" fontId="0" fillId="5" borderId="2" xfId="0" applyFill="1" applyBorder="1"/>
    <xf numFmtId="11" fontId="0" fillId="5" borderId="2" xfId="0" applyNumberFormat="1" applyFill="1" applyBorder="1"/>
    <xf numFmtId="0" fontId="0" fillId="5" borderId="0" xfId="0" applyFill="1"/>
    <xf numFmtId="11" fontId="0" fillId="5" borderId="0" xfId="0" applyNumberFormat="1" applyFill="1"/>
    <xf numFmtId="0" fontId="0" fillId="5" borderId="5" xfId="0" applyFill="1" applyBorder="1"/>
    <xf numFmtId="11" fontId="0" fillId="5" borderId="5" xfId="0" applyNumberFormat="1" applyFill="1" applyBorder="1"/>
    <xf numFmtId="49" fontId="0" fillId="5" borderId="2" xfId="0" applyNumberFormat="1" applyFill="1" applyBorder="1"/>
    <xf numFmtId="0" fontId="0" fillId="2" borderId="2" xfId="0" applyFill="1" applyBorder="1"/>
    <xf numFmtId="11" fontId="0" fillId="2" borderId="2" xfId="0" applyNumberFormat="1" applyFill="1" applyBorder="1"/>
    <xf numFmtId="49" fontId="0" fillId="2" borderId="0" xfId="0" applyNumberFormat="1" applyFill="1"/>
    <xf numFmtId="0" fontId="0" fillId="2" borderId="0" xfId="0" applyFill="1"/>
    <xf numFmtId="11" fontId="0" fillId="2" borderId="0" xfId="0" applyNumberFormat="1" applyFill="1"/>
    <xf numFmtId="0" fontId="0" fillId="2" borderId="5" xfId="0" applyFill="1" applyBorder="1"/>
    <xf numFmtId="11" fontId="0" fillId="2" borderId="5" xfId="0" applyNumberFormat="1" applyFill="1" applyBorder="1"/>
    <xf numFmtId="49" fontId="0" fillId="2" borderId="2" xfId="0" applyNumberFormat="1" applyFill="1" applyBorder="1"/>
    <xf numFmtId="0" fontId="1" fillId="6" borderId="3" xfId="0" applyFont="1" applyFill="1" applyBorder="1" applyAlignment="1">
      <alignment horizontal="center" vertical="center" wrapText="1"/>
    </xf>
    <xf numFmtId="0" fontId="1" fillId="0" borderId="0" xfId="0" applyFont="1"/>
    <xf numFmtId="0" fontId="1" fillId="10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11" fontId="0" fillId="4" borderId="0" xfId="0" applyNumberFormat="1" applyFill="1" applyAlignment="1">
      <alignment horizontal="center" vertical="center"/>
    </xf>
    <xf numFmtId="11" fontId="0" fillId="5" borderId="0" xfId="0" applyNumberFormat="1" applyFill="1" applyAlignment="1">
      <alignment horizontal="center" vertical="center"/>
    </xf>
    <xf numFmtId="2" fontId="0" fillId="0" borderId="0" xfId="0" applyNumberFormat="1"/>
    <xf numFmtId="2" fontId="0" fillId="4" borderId="0" xfId="0" applyNumberFormat="1" applyFill="1" applyAlignment="1">
      <alignment horizontal="center" vertical="center"/>
    </xf>
    <xf numFmtId="2" fontId="0" fillId="5" borderId="0" xfId="0" applyNumberFormat="1" applyFill="1" applyAlignment="1">
      <alignment horizontal="center" vertical="center"/>
    </xf>
    <xf numFmtId="11" fontId="0" fillId="3" borderId="0" xfId="0" applyNumberFormat="1" applyFill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49" fontId="0" fillId="4" borderId="2" xfId="0" applyNumberFormat="1" applyFill="1" applyBorder="1"/>
    <xf numFmtId="49" fontId="0" fillId="5" borderId="0" xfId="0" applyNumberFormat="1" applyFill="1"/>
    <xf numFmtId="49" fontId="0" fillId="3" borderId="0" xfId="0" applyNumberFormat="1" applyFill="1"/>
    <xf numFmtId="0" fontId="1" fillId="3" borderId="2" xfId="0" applyFont="1" applyFill="1" applyBorder="1" applyAlignment="1">
      <alignment horizontal="center" vertical="center" wrapText="1"/>
    </xf>
    <xf numFmtId="0" fontId="0" fillId="11" borderId="6" xfId="0" applyFill="1" applyBorder="1"/>
    <xf numFmtId="0" fontId="1" fillId="11" borderId="7" xfId="0" applyFont="1" applyFill="1" applyBorder="1" applyAlignment="1">
      <alignment horizontal="center" vertical="center" wrapText="1"/>
    </xf>
    <xf numFmtId="0" fontId="2" fillId="11" borderId="6" xfId="0" applyFont="1" applyFill="1" applyBorder="1"/>
    <xf numFmtId="0" fontId="2" fillId="11" borderId="7" xfId="0" applyFont="1" applyFill="1" applyBorder="1"/>
    <xf numFmtId="0" fontId="3" fillId="11" borderId="7" xfId="0" applyFont="1" applyFill="1" applyBorder="1"/>
    <xf numFmtId="49" fontId="3" fillId="11" borderId="7" xfId="0" applyNumberFormat="1" applyFont="1" applyFill="1" applyBorder="1"/>
    <xf numFmtId="0" fontId="3" fillId="11" borderId="6" xfId="0" applyFont="1" applyFill="1" applyBorder="1"/>
    <xf numFmtId="49" fontId="0" fillId="11" borderId="7" xfId="0" applyNumberFormat="1" applyFill="1" applyBorder="1"/>
    <xf numFmtId="0" fontId="0" fillId="11" borderId="7" xfId="0" applyFill="1" applyBorder="1"/>
    <xf numFmtId="0" fontId="0" fillId="11" borderId="8" xfId="0" applyFill="1" applyBorder="1"/>
    <xf numFmtId="0" fontId="1" fillId="0" borderId="0" xfId="0" applyFont="1" applyAlignment="1">
      <alignment horizontal="center" vertical="center"/>
    </xf>
    <xf numFmtId="11" fontId="1" fillId="0" borderId="0" xfId="0" applyNumberFormat="1" applyFont="1" applyAlignment="1">
      <alignment horizontal="center" vertical="center"/>
    </xf>
    <xf numFmtId="0" fontId="2" fillId="11" borderId="2" xfId="0" applyFont="1" applyFill="1" applyBorder="1"/>
    <xf numFmtId="0" fontId="0" fillId="11" borderId="2" xfId="0" applyFill="1" applyBorder="1"/>
    <xf numFmtId="11" fontId="2" fillId="11" borderId="2" xfId="0" applyNumberFormat="1" applyFont="1" applyFill="1" applyBorder="1"/>
    <xf numFmtId="11" fontId="0" fillId="11" borderId="2" xfId="0" applyNumberFormat="1" applyFill="1" applyBorder="1"/>
    <xf numFmtId="0" fontId="2" fillId="11" borderId="0" xfId="0" applyFont="1" applyFill="1"/>
    <xf numFmtId="0" fontId="0" fillId="11" borderId="0" xfId="0" applyFill="1"/>
    <xf numFmtId="11" fontId="2" fillId="11" borderId="0" xfId="0" applyNumberFormat="1" applyFont="1" applyFill="1"/>
    <xf numFmtId="0" fontId="3" fillId="11" borderId="0" xfId="0" applyFont="1" applyFill="1"/>
    <xf numFmtId="11" fontId="3" fillId="11" borderId="0" xfId="0" applyNumberFormat="1" applyFont="1" applyFill="1"/>
    <xf numFmtId="0" fontId="3" fillId="11" borderId="2" xfId="0" applyFont="1" applyFill="1" applyBorder="1"/>
    <xf numFmtId="11" fontId="3" fillId="11" borderId="2" xfId="0" applyNumberFormat="1" applyFont="1" applyFill="1" applyBorder="1"/>
    <xf numFmtId="11" fontId="0" fillId="11" borderId="0" xfId="0" applyNumberFormat="1" applyFill="1"/>
    <xf numFmtId="0" fontId="0" fillId="11" borderId="5" xfId="0" applyFill="1" applyBorder="1"/>
    <xf numFmtId="11" fontId="0" fillId="11" borderId="5" xfId="0" applyNumberFormat="1" applyFill="1" applyBorder="1"/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/>
    </xf>
    <xf numFmtId="164" fontId="0" fillId="0" borderId="0" xfId="0" applyNumberFormat="1"/>
    <xf numFmtId="0" fontId="4" fillId="11" borderId="12" xfId="0" applyFont="1" applyFill="1" applyBorder="1" applyAlignment="1">
      <alignment horizontal="center" vertical="center" wrapText="1"/>
    </xf>
    <xf numFmtId="0" fontId="1" fillId="14" borderId="12" xfId="0" applyFont="1" applyFill="1" applyBorder="1" applyAlignment="1">
      <alignment horizontal="center" vertical="center" wrapText="1"/>
    </xf>
    <xf numFmtId="0" fontId="1" fillId="15" borderId="8" xfId="0" applyFont="1" applyFill="1" applyBorder="1" applyAlignment="1">
      <alignment horizontal="center" vertical="center" wrapText="1"/>
    </xf>
    <xf numFmtId="2" fontId="1" fillId="15" borderId="8" xfId="0" applyNumberFormat="1" applyFont="1" applyFill="1" applyBorder="1" applyAlignment="1">
      <alignment horizontal="center" vertical="center" wrapText="1"/>
    </xf>
    <xf numFmtId="0" fontId="1" fillId="13" borderId="8" xfId="0" applyFont="1" applyFill="1" applyBorder="1" applyAlignment="1">
      <alignment horizontal="center" vertical="center" wrapText="1"/>
    </xf>
    <xf numFmtId="0" fontId="0" fillId="13" borderId="8" xfId="0" applyFill="1" applyBorder="1" applyAlignment="1">
      <alignment horizontal="center" vertical="center" wrapText="1"/>
    </xf>
    <xf numFmtId="2" fontId="1" fillId="13" borderId="8" xfId="0" applyNumberFormat="1" applyFont="1" applyFill="1" applyBorder="1" applyAlignment="1">
      <alignment horizontal="center" vertical="center" wrapText="1"/>
    </xf>
    <xf numFmtId="2" fontId="1" fillId="3" borderId="8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2" fontId="1" fillId="14" borderId="14" xfId="0" applyNumberFormat="1" applyFont="1" applyFill="1" applyBorder="1" applyAlignment="1">
      <alignment horizontal="center" vertical="center" wrapText="1"/>
    </xf>
    <xf numFmtId="164" fontId="1" fillId="14" borderId="12" xfId="0" applyNumberFormat="1" applyFont="1" applyFill="1" applyBorder="1" applyAlignment="1">
      <alignment horizontal="center" vertical="center" wrapText="1"/>
    </xf>
    <xf numFmtId="11" fontId="1" fillId="14" borderId="12" xfId="0" applyNumberFormat="1" applyFont="1" applyFill="1" applyBorder="1" applyAlignment="1">
      <alignment horizontal="center" vertical="center" wrapText="1"/>
    </xf>
    <xf numFmtId="0" fontId="1" fillId="16" borderId="8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vertical="center"/>
    </xf>
    <xf numFmtId="11" fontId="0" fillId="19" borderId="12" xfId="0" applyNumberFormat="1" applyFill="1" applyBorder="1" applyAlignment="1">
      <alignment horizontal="right" vertical="center"/>
    </xf>
    <xf numFmtId="2" fontId="0" fillId="19" borderId="12" xfId="0" applyNumberFormat="1" applyFill="1" applyBorder="1" applyAlignment="1">
      <alignment horizontal="right" vertical="center"/>
    </xf>
    <xf numFmtId="2" fontId="8" fillId="0" borderId="12" xfId="0" applyNumberFormat="1" applyFont="1" applyBorder="1" applyAlignment="1">
      <alignment vertical="center"/>
    </xf>
    <xf numFmtId="11" fontId="8" fillId="19" borderId="12" xfId="0" applyNumberFormat="1" applyFont="1" applyFill="1" applyBorder="1" applyAlignment="1">
      <alignment vertical="center"/>
    </xf>
    <xf numFmtId="2" fontId="8" fillId="19" borderId="12" xfId="0" applyNumberFormat="1" applyFont="1" applyFill="1" applyBorder="1" applyAlignment="1">
      <alignment vertical="center"/>
    </xf>
    <xf numFmtId="164" fontId="8" fillId="0" borderId="12" xfId="0" applyNumberFormat="1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0" fillId="0" borderId="12" xfId="0" applyBorder="1"/>
    <xf numFmtId="11" fontId="8" fillId="0" borderId="12" xfId="0" applyNumberFormat="1" applyFont="1" applyBorder="1" applyAlignment="1">
      <alignment vertical="center"/>
    </xf>
    <xf numFmtId="0" fontId="8" fillId="19" borderId="12" xfId="0" applyFont="1" applyFill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164" fontId="8" fillId="19" borderId="12" xfId="0" applyNumberFormat="1" applyFont="1" applyFill="1" applyBorder="1" applyAlignment="1">
      <alignment vertical="center"/>
    </xf>
    <xf numFmtId="0" fontId="8" fillId="11" borderId="12" xfId="0" applyFont="1" applyFill="1" applyBorder="1" applyAlignment="1">
      <alignment vertical="center"/>
    </xf>
    <xf numFmtId="11" fontId="8" fillId="11" borderId="12" xfId="0" applyNumberFormat="1" applyFont="1" applyFill="1" applyBorder="1" applyAlignment="1">
      <alignment vertical="center"/>
    </xf>
    <xf numFmtId="2" fontId="8" fillId="11" borderId="12" xfId="0" applyNumberFormat="1" applyFont="1" applyFill="1" applyBorder="1" applyAlignment="1">
      <alignment vertical="center"/>
    </xf>
    <xf numFmtId="11" fontId="9" fillId="11" borderId="12" xfId="0" applyNumberFormat="1" applyFont="1" applyFill="1" applyBorder="1" applyAlignment="1">
      <alignment vertical="center"/>
    </xf>
    <xf numFmtId="164" fontId="8" fillId="11" borderId="12" xfId="0" applyNumberFormat="1" applyFont="1" applyFill="1" applyBorder="1" applyAlignment="1">
      <alignment vertical="center"/>
    </xf>
    <xf numFmtId="0" fontId="0" fillId="14" borderId="12" xfId="0" applyFill="1" applyBorder="1" applyAlignment="1">
      <alignment horizontal="center" vertical="center"/>
    </xf>
    <xf numFmtId="0" fontId="0" fillId="14" borderId="12" xfId="0" applyFill="1" applyBorder="1"/>
    <xf numFmtId="11" fontId="8" fillId="11" borderId="12" xfId="0" applyNumberFormat="1" applyFont="1" applyFill="1" applyBorder="1"/>
    <xf numFmtId="2" fontId="8" fillId="11" borderId="12" xfId="0" applyNumberFormat="1" applyFont="1" applyFill="1" applyBorder="1"/>
    <xf numFmtId="0" fontId="8" fillId="14" borderId="12" xfId="0" applyFont="1" applyFill="1" applyBorder="1" applyAlignment="1">
      <alignment horizontal="center" vertical="center"/>
    </xf>
    <xf numFmtId="0" fontId="8" fillId="12" borderId="12" xfId="0" applyFont="1" applyFill="1" applyBorder="1" applyAlignment="1">
      <alignment vertical="center"/>
    </xf>
    <xf numFmtId="11" fontId="8" fillId="12" borderId="12" xfId="0" applyNumberFormat="1" applyFont="1" applyFill="1" applyBorder="1" applyAlignment="1">
      <alignment vertical="center"/>
    </xf>
    <xf numFmtId="2" fontId="8" fillId="12" borderId="12" xfId="0" applyNumberFormat="1" applyFont="1" applyFill="1" applyBorder="1" applyAlignment="1">
      <alignment vertical="center"/>
    </xf>
    <xf numFmtId="11" fontId="9" fillId="12" borderId="12" xfId="0" applyNumberFormat="1" applyFont="1" applyFill="1" applyBorder="1" applyAlignment="1">
      <alignment vertical="center"/>
    </xf>
    <xf numFmtId="2" fontId="8" fillId="20" borderId="12" xfId="0" applyNumberFormat="1" applyFont="1" applyFill="1" applyBorder="1" applyAlignment="1">
      <alignment vertical="center"/>
    </xf>
    <xf numFmtId="164" fontId="8" fillId="12" borderId="12" xfId="0" applyNumberFormat="1" applyFont="1" applyFill="1" applyBorder="1" applyAlignment="1">
      <alignment vertical="center"/>
    </xf>
    <xf numFmtId="11" fontId="8" fillId="20" borderId="12" xfId="0" applyNumberFormat="1" applyFont="1" applyFill="1" applyBorder="1" applyAlignment="1">
      <alignment vertical="center"/>
    </xf>
    <xf numFmtId="0" fontId="0" fillId="12" borderId="12" xfId="0" applyFill="1" applyBorder="1" applyAlignment="1">
      <alignment horizontal="center" vertical="center"/>
    </xf>
    <xf numFmtId="0" fontId="0" fillId="12" borderId="12" xfId="0" applyFill="1" applyBorder="1"/>
    <xf numFmtId="11" fontId="8" fillId="12" borderId="12" xfId="0" applyNumberFormat="1" applyFont="1" applyFill="1" applyBorder="1"/>
    <xf numFmtId="0" fontId="8" fillId="20" borderId="12" xfId="0" applyFont="1" applyFill="1" applyBorder="1" applyAlignment="1">
      <alignment vertical="center"/>
    </xf>
    <xf numFmtId="0" fontId="8" fillId="17" borderId="12" xfId="0" applyFont="1" applyFill="1" applyBorder="1" applyAlignment="1">
      <alignment horizontal="center" vertical="center"/>
    </xf>
    <xf numFmtId="2" fontId="8" fillId="12" borderId="12" xfId="0" applyNumberFormat="1" applyFont="1" applyFill="1" applyBorder="1"/>
    <xf numFmtId="0" fontId="8" fillId="12" borderId="12" xfId="0" applyFont="1" applyFill="1" applyBorder="1" applyAlignment="1">
      <alignment horizontal="center" vertical="center"/>
    </xf>
    <xf numFmtId="0" fontId="8" fillId="21" borderId="12" xfId="0" applyFont="1" applyFill="1" applyBorder="1" applyAlignment="1">
      <alignment vertical="center"/>
    </xf>
    <xf numFmtId="11" fontId="8" fillId="21" borderId="12" xfId="0" applyNumberFormat="1" applyFont="1" applyFill="1" applyBorder="1" applyAlignment="1">
      <alignment vertical="center"/>
    </xf>
    <xf numFmtId="2" fontId="8" fillId="21" borderId="12" xfId="0" applyNumberFormat="1" applyFont="1" applyFill="1" applyBorder="1" applyAlignment="1">
      <alignment vertical="center"/>
    </xf>
    <xf numFmtId="11" fontId="9" fillId="21" borderId="12" xfId="0" applyNumberFormat="1" applyFont="1" applyFill="1" applyBorder="1" applyAlignment="1">
      <alignment vertical="center"/>
    </xf>
    <xf numFmtId="164" fontId="8" fillId="21" borderId="12" xfId="0" applyNumberFormat="1" applyFont="1" applyFill="1" applyBorder="1" applyAlignment="1">
      <alignment vertical="center"/>
    </xf>
    <xf numFmtId="11" fontId="8" fillId="22" borderId="12" xfId="0" applyNumberFormat="1" applyFont="1" applyFill="1" applyBorder="1" applyAlignment="1">
      <alignment vertical="center"/>
    </xf>
    <xf numFmtId="0" fontId="0" fillId="21" borderId="12" xfId="0" applyFill="1" applyBorder="1" applyAlignment="1">
      <alignment horizontal="center" vertical="center"/>
    </xf>
    <xf numFmtId="0" fontId="0" fillId="21" borderId="12" xfId="0" applyFill="1" applyBorder="1"/>
    <xf numFmtId="11" fontId="8" fillId="21" borderId="12" xfId="0" applyNumberFormat="1" applyFont="1" applyFill="1" applyBorder="1"/>
    <xf numFmtId="0" fontId="8" fillId="22" borderId="12" xfId="0" applyFont="1" applyFill="1" applyBorder="1" applyAlignment="1">
      <alignment vertical="center"/>
    </xf>
    <xf numFmtId="0" fontId="2" fillId="21" borderId="12" xfId="0" applyFont="1" applyFill="1" applyBorder="1"/>
    <xf numFmtId="2" fontId="8" fillId="21" borderId="12" xfId="0" applyNumberFormat="1" applyFont="1" applyFill="1" applyBorder="1"/>
    <xf numFmtId="0" fontId="8" fillId="21" borderId="12" xfId="0" applyFont="1" applyFill="1" applyBorder="1" applyAlignment="1">
      <alignment horizontal="center" vertical="center"/>
    </xf>
    <xf numFmtId="165" fontId="8" fillId="14" borderId="12" xfId="0" applyNumberFormat="1" applyFont="1" applyFill="1" applyBorder="1" applyAlignment="1">
      <alignment horizontal="center" vertical="center"/>
    </xf>
    <xf numFmtId="0" fontId="8" fillId="14" borderId="8" xfId="0" applyFont="1" applyFill="1" applyBorder="1" applyAlignment="1">
      <alignment horizontal="center" vertical="center"/>
    </xf>
    <xf numFmtId="0" fontId="8" fillId="21" borderId="12" xfId="0" applyFont="1" applyFill="1" applyBorder="1"/>
    <xf numFmtId="165" fontId="8" fillId="12" borderId="12" xfId="0" applyNumberFormat="1" applyFont="1" applyFill="1" applyBorder="1" applyAlignment="1">
      <alignment horizontal="center" vertical="center"/>
    </xf>
    <xf numFmtId="165" fontId="8" fillId="21" borderId="12" xfId="0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/>
    </xf>
    <xf numFmtId="0" fontId="1" fillId="9" borderId="0" xfId="0" applyFont="1" applyFill="1" applyAlignment="1">
      <alignment horizontal="center" vertical="center" wrapText="1"/>
    </xf>
    <xf numFmtId="11" fontId="1" fillId="8" borderId="0" xfId="0" applyNumberFormat="1" applyFont="1" applyFill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7" fillId="0" borderId="0" xfId="0" applyFont="1"/>
    <xf numFmtId="2" fontId="7" fillId="0" borderId="0" xfId="0" applyNumberFormat="1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1" fontId="0" fillId="15" borderId="12" xfId="0" applyNumberFormat="1" applyFill="1" applyBorder="1"/>
    <xf numFmtId="11" fontId="0" fillId="8" borderId="12" xfId="0" applyNumberFormat="1" applyFill="1" applyBorder="1"/>
    <xf numFmtId="0" fontId="0" fillId="8" borderId="12" xfId="0" applyFill="1" applyBorder="1" applyAlignment="1">
      <alignment horizontal="center"/>
    </xf>
    <xf numFmtId="2" fontId="8" fillId="8" borderId="12" xfId="0" applyNumberFormat="1" applyFont="1" applyFill="1" applyBorder="1" applyAlignment="1">
      <alignment vertical="center"/>
    </xf>
    <xf numFmtId="11" fontId="8" fillId="8" borderId="12" xfId="0" applyNumberFormat="1" applyFont="1" applyFill="1" applyBorder="1" applyAlignment="1">
      <alignment vertical="center"/>
    </xf>
    <xf numFmtId="164" fontId="8" fillId="8" borderId="12" xfId="0" applyNumberFormat="1" applyFont="1" applyFill="1" applyBorder="1" applyAlignment="1">
      <alignment vertical="center"/>
    </xf>
    <xf numFmtId="2" fontId="8" fillId="8" borderId="12" xfId="0" applyNumberFormat="1" applyFont="1" applyFill="1" applyBorder="1"/>
    <xf numFmtId="2" fontId="0" fillId="8" borderId="12" xfId="0" applyNumberFormat="1" applyFill="1" applyBorder="1"/>
    <xf numFmtId="11" fontId="8" fillId="15" borderId="12" xfId="0" applyNumberFormat="1" applyFont="1" applyFill="1" applyBorder="1" applyAlignment="1">
      <alignment vertical="center"/>
    </xf>
    <xf numFmtId="0" fontId="0" fillId="8" borderId="12" xfId="0" applyFill="1" applyBorder="1" applyAlignment="1">
      <alignment vertical="center"/>
    </xf>
    <xf numFmtId="11" fontId="0" fillId="8" borderId="12" xfId="0" applyNumberFormat="1" applyFill="1" applyBorder="1" applyAlignment="1">
      <alignment vertical="center"/>
    </xf>
    <xf numFmtId="2" fontId="0" fillId="8" borderId="12" xfId="0" applyNumberFormat="1" applyFill="1" applyBorder="1" applyAlignment="1">
      <alignment vertical="center"/>
    </xf>
    <xf numFmtId="11" fontId="8" fillId="8" borderId="12" xfId="0" applyNumberFormat="1" applyFont="1" applyFill="1" applyBorder="1"/>
    <xf numFmtId="0" fontId="8" fillId="8" borderId="12" xfId="0" applyFont="1" applyFill="1" applyBorder="1" applyAlignment="1">
      <alignment vertical="center"/>
    </xf>
    <xf numFmtId="11" fontId="0" fillId="23" borderId="12" xfId="0" applyNumberFormat="1" applyFill="1" applyBorder="1"/>
    <xf numFmtId="0" fontId="0" fillId="23" borderId="12" xfId="0" applyFill="1" applyBorder="1" applyAlignment="1">
      <alignment horizontal="center"/>
    </xf>
    <xf numFmtId="0" fontId="8" fillId="23" borderId="12" xfId="0" applyFont="1" applyFill="1" applyBorder="1" applyAlignment="1">
      <alignment horizontal="center"/>
    </xf>
    <xf numFmtId="2" fontId="8" fillId="23" borderId="12" xfId="0" applyNumberFormat="1" applyFont="1" applyFill="1" applyBorder="1" applyAlignment="1">
      <alignment vertical="center"/>
    </xf>
    <xf numFmtId="11" fontId="8" fillId="23" borderId="12" xfId="0" applyNumberFormat="1" applyFont="1" applyFill="1" applyBorder="1" applyAlignment="1">
      <alignment vertical="center"/>
    </xf>
    <xf numFmtId="164" fontId="8" fillId="23" borderId="12" xfId="0" applyNumberFormat="1" applyFont="1" applyFill="1" applyBorder="1" applyAlignment="1">
      <alignment vertical="center"/>
    </xf>
    <xf numFmtId="2" fontId="8" fillId="23" borderId="12" xfId="0" applyNumberFormat="1" applyFont="1" applyFill="1" applyBorder="1"/>
    <xf numFmtId="2" fontId="0" fillId="23" borderId="12" xfId="0" applyNumberFormat="1" applyFill="1" applyBorder="1"/>
    <xf numFmtId="0" fontId="0" fillId="23" borderId="12" xfId="0" applyFill="1" applyBorder="1" applyAlignment="1">
      <alignment vertical="center"/>
    </xf>
    <xf numFmtId="11" fontId="0" fillId="23" borderId="12" xfId="0" applyNumberFormat="1" applyFill="1" applyBorder="1" applyAlignment="1">
      <alignment vertical="center"/>
    </xf>
    <xf numFmtId="2" fontId="0" fillId="23" borderId="12" xfId="0" applyNumberFormat="1" applyFill="1" applyBorder="1" applyAlignment="1">
      <alignment vertical="center"/>
    </xf>
    <xf numFmtId="11" fontId="8" fillId="23" borderId="12" xfId="0" applyNumberFormat="1" applyFont="1" applyFill="1" applyBorder="1"/>
    <xf numFmtId="0" fontId="8" fillId="23" borderId="12" xfId="0" applyFont="1" applyFill="1" applyBorder="1" applyAlignment="1">
      <alignment vertical="center"/>
    </xf>
    <xf numFmtId="0" fontId="0" fillId="15" borderId="12" xfId="0" applyFill="1" applyBorder="1" applyAlignment="1">
      <alignment horizontal="center"/>
    </xf>
    <xf numFmtId="2" fontId="8" fillId="15" borderId="12" xfId="0" applyNumberFormat="1" applyFont="1" applyFill="1" applyBorder="1" applyAlignment="1">
      <alignment vertical="center"/>
    </xf>
    <xf numFmtId="164" fontId="8" fillId="15" borderId="12" xfId="0" applyNumberFormat="1" applyFont="1" applyFill="1" applyBorder="1" applyAlignment="1">
      <alignment vertical="center"/>
    </xf>
    <xf numFmtId="0" fontId="8" fillId="15" borderId="12" xfId="0" applyFont="1" applyFill="1" applyBorder="1"/>
    <xf numFmtId="2" fontId="0" fillId="15" borderId="12" xfId="0" applyNumberFormat="1" applyFill="1" applyBorder="1"/>
    <xf numFmtId="0" fontId="0" fillId="15" borderId="12" xfId="0" applyFill="1" applyBorder="1"/>
    <xf numFmtId="0" fontId="8" fillId="15" borderId="12" xfId="0" applyFont="1" applyFill="1" applyBorder="1" applyAlignment="1">
      <alignment vertical="center"/>
    </xf>
    <xf numFmtId="2" fontId="8" fillId="15" borderId="12" xfId="0" applyNumberFormat="1" applyFont="1" applyFill="1" applyBorder="1"/>
    <xf numFmtId="0" fontId="8" fillId="0" borderId="0" xfId="0" applyFont="1"/>
    <xf numFmtId="11" fontId="8" fillId="15" borderId="12" xfId="0" applyNumberFormat="1" applyFont="1" applyFill="1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19" borderId="12" xfId="0" applyFill="1" applyBorder="1" applyAlignment="1">
      <alignment horizontal="center" vertical="center"/>
    </xf>
    <xf numFmtId="2" fontId="8" fillId="19" borderId="12" xfId="0" applyNumberFormat="1" applyFont="1" applyFill="1" applyBorder="1" applyAlignment="1">
      <alignment horizontal="center" vertical="center"/>
    </xf>
    <xf numFmtId="11" fontId="8" fillId="19" borderId="12" xfId="0" applyNumberFormat="1" applyFont="1" applyFill="1" applyBorder="1" applyAlignment="1">
      <alignment horizontal="center" vertical="center"/>
    </xf>
    <xf numFmtId="164" fontId="0" fillId="0" borderId="12" xfId="0" applyNumberFormat="1" applyBorder="1" applyAlignment="1">
      <alignment vertical="center"/>
    </xf>
    <xf numFmtId="2" fontId="2" fillId="0" borderId="12" xfId="0" applyNumberFormat="1" applyFont="1" applyBorder="1" applyAlignment="1">
      <alignment vertical="center"/>
    </xf>
    <xf numFmtId="164" fontId="2" fillId="0" borderId="12" xfId="0" applyNumberFormat="1" applyFont="1" applyBorder="1" applyAlignment="1">
      <alignment vertical="center"/>
    </xf>
    <xf numFmtId="2" fontId="2" fillId="19" borderId="12" xfId="0" applyNumberFormat="1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12" xfId="0" applyFont="1" applyBorder="1" applyAlignment="1">
      <alignment vertical="center"/>
    </xf>
    <xf numFmtId="11" fontId="2" fillId="19" borderId="12" xfId="0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2" fontId="1" fillId="14" borderId="12" xfId="0" applyNumberFormat="1" applyFont="1" applyFill="1" applyBorder="1" applyAlignment="1">
      <alignment horizontal="center" vertical="center" wrapText="1"/>
    </xf>
    <xf numFmtId="11" fontId="0" fillId="13" borderId="8" xfId="0" applyNumberFormat="1" applyFill="1" applyBorder="1" applyAlignment="1">
      <alignment horizontal="center" vertical="center" wrapText="1"/>
    </xf>
    <xf numFmtId="11" fontId="1" fillId="13" borderId="8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/>
    </xf>
    <xf numFmtId="2" fontId="1" fillId="0" borderId="0" xfId="0" applyNumberFormat="1" applyFont="1"/>
    <xf numFmtId="2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8" fillId="19" borderId="12" xfId="0" applyFont="1" applyFill="1" applyBorder="1" applyAlignment="1">
      <alignment horizontal="center" vertical="center"/>
    </xf>
    <xf numFmtId="164" fontId="1" fillId="11" borderId="0" xfId="0" applyNumberFormat="1" applyFont="1" applyFill="1"/>
    <xf numFmtId="2" fontId="1" fillId="11" borderId="0" xfId="0" applyNumberFormat="1" applyFont="1" applyFill="1"/>
    <xf numFmtId="0" fontId="13" fillId="0" borderId="0" xfId="0" applyFont="1" applyAlignment="1">
      <alignment horizontal="left"/>
    </xf>
    <xf numFmtId="165" fontId="8" fillId="17" borderId="12" xfId="0" applyNumberFormat="1" applyFont="1" applyFill="1" applyBorder="1" applyAlignment="1">
      <alignment horizontal="center" vertical="center"/>
    </xf>
    <xf numFmtId="0" fontId="4" fillId="18" borderId="3" xfId="0" applyFont="1" applyFill="1" applyBorder="1" applyAlignment="1">
      <alignment horizontal="center" vertical="center" wrapText="1"/>
    </xf>
    <xf numFmtId="0" fontId="1" fillId="18" borderId="3" xfId="0" applyFont="1" applyFill="1" applyBorder="1" applyAlignment="1">
      <alignment horizontal="center" vertical="center" wrapText="1"/>
    </xf>
    <xf numFmtId="2" fontId="6" fillId="9" borderId="8" xfId="0" applyNumberFormat="1" applyFont="1" applyFill="1" applyBorder="1" applyAlignment="1">
      <alignment horizontal="center" vertical="center" wrapText="1"/>
    </xf>
    <xf numFmtId="0" fontId="0" fillId="16" borderId="8" xfId="0" applyFill="1" applyBorder="1" applyAlignment="1">
      <alignment horizontal="center" vertical="center"/>
    </xf>
    <xf numFmtId="11" fontId="0" fillId="11" borderId="12" xfId="0" applyNumberFormat="1" applyFill="1" applyBorder="1" applyAlignment="1">
      <alignment horizontal="right" vertical="center"/>
    </xf>
    <xf numFmtId="2" fontId="0" fillId="11" borderId="12" xfId="0" applyNumberFormat="1" applyFill="1" applyBorder="1" applyAlignment="1">
      <alignment horizontal="right" vertical="center"/>
    </xf>
    <xf numFmtId="11" fontId="0" fillId="12" borderId="12" xfId="0" applyNumberFormat="1" applyFill="1" applyBorder="1" applyAlignment="1">
      <alignment horizontal="right" vertical="center"/>
    </xf>
    <xf numFmtId="2" fontId="0" fillId="12" borderId="12" xfId="0" applyNumberFormat="1" applyFill="1" applyBorder="1" applyAlignment="1">
      <alignment horizontal="right" vertical="center"/>
    </xf>
    <xf numFmtId="11" fontId="0" fillId="21" borderId="12" xfId="0" applyNumberFormat="1" applyFill="1" applyBorder="1" applyAlignment="1">
      <alignment horizontal="right" vertical="center"/>
    </xf>
    <xf numFmtId="2" fontId="0" fillId="21" borderId="12" xfId="0" applyNumberFormat="1" applyFill="1" applyBorder="1" applyAlignment="1">
      <alignment horizontal="right" vertical="center"/>
    </xf>
    <xf numFmtId="11" fontId="0" fillId="0" borderId="0" xfId="0" applyNumberFormat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166" fontId="8" fillId="14" borderId="12" xfId="0" applyNumberFormat="1" applyFont="1" applyFill="1" applyBorder="1" applyAlignment="1">
      <alignment horizontal="center" vertical="center"/>
    </xf>
    <xf numFmtId="0" fontId="8" fillId="20" borderId="12" xfId="0" applyFont="1" applyFill="1" applyBorder="1" applyAlignment="1">
      <alignment horizontal="center" vertical="center"/>
    </xf>
    <xf numFmtId="166" fontId="8" fillId="12" borderId="12" xfId="0" applyNumberFormat="1" applyFont="1" applyFill="1" applyBorder="1" applyAlignment="1">
      <alignment horizontal="center" vertical="center"/>
    </xf>
    <xf numFmtId="166" fontId="8" fillId="21" borderId="12" xfId="0" applyNumberFormat="1" applyFont="1" applyFill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  <xf numFmtId="2" fontId="1" fillId="4" borderId="8" xfId="0" applyNumberFormat="1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11" fontId="1" fillId="4" borderId="13" xfId="0" applyNumberFormat="1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8" fillId="15" borderId="12" xfId="0" applyFont="1" applyFill="1" applyBorder="1" applyAlignment="1">
      <alignment horizontal="center"/>
    </xf>
    <xf numFmtId="2" fontId="8" fillId="15" borderId="12" xfId="0" applyNumberFormat="1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center"/>
    </xf>
    <xf numFmtId="2" fontId="8" fillId="23" borderId="12" xfId="0" applyNumberFormat="1" applyFont="1" applyFill="1" applyBorder="1" applyAlignment="1">
      <alignment horizontal="center" vertical="center"/>
    </xf>
    <xf numFmtId="2" fontId="8" fillId="8" borderId="12" xfId="0" applyNumberFormat="1" applyFont="1" applyFill="1" applyBorder="1" applyAlignment="1">
      <alignment horizontal="center" vertical="center"/>
    </xf>
    <xf numFmtId="0" fontId="8" fillId="15" borderId="12" xfId="0" applyFont="1" applyFill="1" applyBorder="1" applyAlignment="1">
      <alignment horizontal="center" vertical="center"/>
    </xf>
    <xf numFmtId="0" fontId="0" fillId="23" borderId="12" xfId="0" applyFill="1" applyBorder="1" applyAlignment="1">
      <alignment horizontal="center" vertical="center"/>
    </xf>
    <xf numFmtId="1" fontId="0" fillId="0" borderId="0" xfId="0" applyNumberFormat="1"/>
    <xf numFmtId="0" fontId="0" fillId="5" borderId="12" xfId="0" applyFill="1" applyBorder="1"/>
    <xf numFmtId="166" fontId="0" fillId="5" borderId="12" xfId="0" applyNumberFormat="1" applyFill="1" applyBorder="1"/>
    <xf numFmtId="2" fontId="8" fillId="5" borderId="12" xfId="0" applyNumberFormat="1" applyFont="1" applyFill="1" applyBorder="1" applyAlignment="1">
      <alignment vertical="center"/>
    </xf>
    <xf numFmtId="11" fontId="8" fillId="5" borderId="12" xfId="0" applyNumberFormat="1" applyFont="1" applyFill="1" applyBorder="1" applyAlignment="1">
      <alignment vertical="center"/>
    </xf>
    <xf numFmtId="164" fontId="8" fillId="5" borderId="12" xfId="0" applyNumberFormat="1" applyFont="1" applyFill="1" applyBorder="1" applyAlignment="1">
      <alignment vertical="center"/>
    </xf>
    <xf numFmtId="1" fontId="0" fillId="5" borderId="12" xfId="0" applyNumberFormat="1" applyFill="1" applyBorder="1" applyAlignment="1">
      <alignment vertical="center"/>
    </xf>
    <xf numFmtId="11" fontId="0" fillId="5" borderId="12" xfId="0" applyNumberFormat="1" applyFill="1" applyBorder="1" applyAlignment="1">
      <alignment vertical="center"/>
    </xf>
    <xf numFmtId="2" fontId="0" fillId="5" borderId="12" xfId="0" applyNumberFormat="1" applyFill="1" applyBorder="1" applyAlignment="1">
      <alignment vertical="center"/>
    </xf>
    <xf numFmtId="0" fontId="0" fillId="5" borderId="12" xfId="0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1" fontId="0" fillId="5" borderId="12" xfId="0" applyNumberFormat="1" applyFill="1" applyBorder="1"/>
    <xf numFmtId="1" fontId="8" fillId="5" borderId="12" xfId="0" applyNumberFormat="1" applyFont="1" applyFill="1" applyBorder="1" applyAlignment="1">
      <alignment vertical="center"/>
    </xf>
    <xf numFmtId="164" fontId="2" fillId="5" borderId="12" xfId="0" applyNumberFormat="1" applyFont="1" applyFill="1" applyBorder="1" applyAlignment="1">
      <alignment vertical="center"/>
    </xf>
    <xf numFmtId="11" fontId="8" fillId="5" borderId="12" xfId="0" applyNumberFormat="1" applyFont="1" applyFill="1" applyBorder="1"/>
    <xf numFmtId="11" fontId="14" fillId="5" borderId="12" xfId="0" applyNumberFormat="1" applyFont="1" applyFill="1" applyBorder="1" applyAlignment="1">
      <alignment vertical="center"/>
    </xf>
    <xf numFmtId="0" fontId="0" fillId="6" borderId="12" xfId="0" applyFill="1" applyBorder="1"/>
    <xf numFmtId="166" fontId="0" fillId="6" borderId="12" xfId="0" applyNumberFormat="1" applyFill="1" applyBorder="1"/>
    <xf numFmtId="2" fontId="8" fillId="6" borderId="12" xfId="0" applyNumberFormat="1" applyFont="1" applyFill="1" applyBorder="1" applyAlignment="1">
      <alignment vertical="center"/>
    </xf>
    <xf numFmtId="11" fontId="8" fillId="6" borderId="12" xfId="0" applyNumberFormat="1" applyFont="1" applyFill="1" applyBorder="1" applyAlignment="1">
      <alignment vertical="center"/>
    </xf>
    <xf numFmtId="164" fontId="8" fillId="6" borderId="12" xfId="0" applyNumberFormat="1" applyFont="1" applyFill="1" applyBorder="1" applyAlignment="1">
      <alignment vertical="center"/>
    </xf>
    <xf numFmtId="1" fontId="0" fillId="6" borderId="12" xfId="0" applyNumberFormat="1" applyFill="1" applyBorder="1"/>
    <xf numFmtId="164" fontId="0" fillId="6" borderId="12" xfId="0" applyNumberFormat="1" applyFill="1" applyBorder="1" applyAlignment="1">
      <alignment vertical="center"/>
    </xf>
    <xf numFmtId="11" fontId="0" fillId="6" borderId="12" xfId="0" applyNumberFormat="1" applyFill="1" applyBorder="1"/>
    <xf numFmtId="2" fontId="0" fillId="6" borderId="12" xfId="0" applyNumberFormat="1" applyFill="1" applyBorder="1"/>
    <xf numFmtId="0" fontId="0" fillId="6" borderId="12" xfId="0" applyFill="1" applyBorder="1" applyAlignment="1">
      <alignment vertical="center"/>
    </xf>
    <xf numFmtId="0" fontId="0" fillId="4" borderId="12" xfId="0" applyFill="1" applyBorder="1"/>
    <xf numFmtId="166" fontId="0" fillId="4" borderId="12" xfId="0" applyNumberFormat="1" applyFill="1" applyBorder="1"/>
    <xf numFmtId="2" fontId="8" fillId="4" borderId="12" xfId="0" applyNumberFormat="1" applyFont="1" applyFill="1" applyBorder="1" applyAlignment="1">
      <alignment vertical="center"/>
    </xf>
    <xf numFmtId="11" fontId="8" fillId="4" borderId="12" xfId="0" applyNumberFormat="1" applyFont="1" applyFill="1" applyBorder="1" applyAlignment="1">
      <alignment vertical="center"/>
    </xf>
    <xf numFmtId="164" fontId="8" fillId="4" borderId="12" xfId="0" applyNumberFormat="1" applyFont="1" applyFill="1" applyBorder="1" applyAlignment="1">
      <alignment vertical="center"/>
    </xf>
    <xf numFmtId="1" fontId="0" fillId="4" borderId="12" xfId="0" applyNumberFormat="1" applyFill="1" applyBorder="1" applyAlignment="1">
      <alignment vertical="center"/>
    </xf>
    <xf numFmtId="164" fontId="0" fillId="4" borderId="12" xfId="0" applyNumberFormat="1" applyFill="1" applyBorder="1" applyAlignment="1">
      <alignment vertical="center"/>
    </xf>
    <xf numFmtId="0" fontId="8" fillId="4" borderId="12" xfId="0" applyFont="1" applyFill="1" applyBorder="1" applyAlignment="1">
      <alignment vertical="center"/>
    </xf>
    <xf numFmtId="1" fontId="8" fillId="4" borderId="12" xfId="0" applyNumberFormat="1" applyFont="1" applyFill="1" applyBorder="1" applyAlignment="1">
      <alignment vertical="center"/>
    </xf>
    <xf numFmtId="11" fontId="8" fillId="4" borderId="12" xfId="0" applyNumberFormat="1" applyFont="1" applyFill="1" applyBorder="1"/>
    <xf numFmtId="11" fontId="9" fillId="4" borderId="12" xfId="0" applyNumberFormat="1" applyFont="1" applyFill="1" applyBorder="1" applyAlignment="1">
      <alignment vertical="center"/>
    </xf>
    <xf numFmtId="0" fontId="0" fillId="3" borderId="12" xfId="0" applyFill="1" applyBorder="1"/>
    <xf numFmtId="166" fontId="0" fillId="3" borderId="12" xfId="0" applyNumberFormat="1" applyFill="1" applyBorder="1"/>
    <xf numFmtId="2" fontId="8" fillId="3" borderId="12" xfId="0" applyNumberFormat="1" applyFont="1" applyFill="1" applyBorder="1" applyAlignment="1">
      <alignment vertical="center"/>
    </xf>
    <xf numFmtId="11" fontId="8" fillId="3" borderId="12" xfId="0" applyNumberFormat="1" applyFont="1" applyFill="1" applyBorder="1" applyAlignment="1">
      <alignment vertical="center"/>
    </xf>
    <xf numFmtId="164" fontId="8" fillId="3" borderId="12" xfId="0" applyNumberFormat="1" applyFont="1" applyFill="1" applyBorder="1" applyAlignment="1">
      <alignment vertical="center"/>
    </xf>
    <xf numFmtId="1" fontId="8" fillId="3" borderId="12" xfId="0" applyNumberFormat="1" applyFont="1" applyFill="1" applyBorder="1" applyAlignment="1">
      <alignment vertical="center"/>
    </xf>
    <xf numFmtId="0" fontId="8" fillId="3" borderId="12" xfId="0" applyFont="1" applyFill="1" applyBorder="1" applyAlignment="1">
      <alignment vertical="center"/>
    </xf>
    <xf numFmtId="11" fontId="8" fillId="3" borderId="12" xfId="0" applyNumberFormat="1" applyFont="1" applyFill="1" applyBorder="1"/>
    <xf numFmtId="11" fontId="9" fillId="3" borderId="12" xfId="0" applyNumberFormat="1" applyFont="1" applyFill="1" applyBorder="1" applyAlignment="1">
      <alignment vertical="center"/>
    </xf>
    <xf numFmtId="166" fontId="8" fillId="0" borderId="12" xfId="0" applyNumberFormat="1" applyFont="1" applyBorder="1"/>
    <xf numFmtId="11" fontId="0" fillId="0" borderId="12" xfId="0" applyNumberFormat="1" applyBorder="1" applyAlignment="1">
      <alignment vertical="center"/>
    </xf>
    <xf numFmtId="1" fontId="8" fillId="19" borderId="12" xfId="0" applyNumberFormat="1" applyFont="1" applyFill="1" applyBorder="1" applyAlignment="1">
      <alignment vertical="center"/>
    </xf>
    <xf numFmtId="0" fontId="8" fillId="0" borderId="12" xfId="0" applyFont="1" applyBorder="1"/>
    <xf numFmtId="11" fontId="2" fillId="0" borderId="12" xfId="0" applyNumberFormat="1" applyFont="1" applyBorder="1" applyAlignment="1">
      <alignment vertical="center"/>
    </xf>
    <xf numFmtId="1" fontId="2" fillId="0" borderId="12" xfId="0" applyNumberFormat="1" applyFont="1" applyBorder="1" applyAlignment="1">
      <alignment vertical="center"/>
    </xf>
    <xf numFmtId="164" fontId="2" fillId="19" borderId="12" xfId="0" applyNumberFormat="1" applyFont="1" applyFill="1" applyBorder="1" applyAlignment="1">
      <alignment vertical="center"/>
    </xf>
    <xf numFmtId="1" fontId="8" fillId="0" borderId="12" xfId="0" applyNumberFormat="1" applyFont="1" applyBorder="1" applyAlignment="1">
      <alignment vertical="center"/>
    </xf>
    <xf numFmtId="11" fontId="16" fillId="0" borderId="0" xfId="0" applyNumberFormat="1" applyFont="1"/>
    <xf numFmtId="0" fontId="16" fillId="0" borderId="0" xfId="0" applyFont="1"/>
    <xf numFmtId="1" fontId="16" fillId="0" borderId="0" xfId="0" applyNumberFormat="1" applyFont="1"/>
    <xf numFmtId="0" fontId="17" fillId="0" borderId="0" xfId="0" applyFont="1"/>
    <xf numFmtId="11" fontId="18" fillId="0" borderId="0" xfId="0" applyNumberFormat="1" applyFont="1"/>
    <xf numFmtId="0" fontId="0" fillId="3" borderId="12" xfId="0" applyFill="1" applyBorder="1" applyAlignment="1">
      <alignment horizontal="center" vertical="center"/>
    </xf>
    <xf numFmtId="1" fontId="1" fillId="14" borderId="12" xfId="0" applyNumberFormat="1" applyFont="1" applyFill="1" applyBorder="1" applyAlignment="1">
      <alignment horizontal="center" vertical="center" wrapText="1"/>
    </xf>
    <xf numFmtId="0" fontId="1" fillId="11" borderId="12" xfId="0" applyFont="1" applyFill="1" applyBorder="1" applyAlignment="1">
      <alignment horizontal="center" vertical="center" wrapText="1"/>
    </xf>
    <xf numFmtId="164" fontId="1" fillId="11" borderId="12" xfId="0" applyNumberFormat="1" applyFont="1" applyFill="1" applyBorder="1" applyAlignment="1">
      <alignment horizontal="center" vertical="center" wrapText="1"/>
    </xf>
    <xf numFmtId="164" fontId="1" fillId="3" borderId="8" xfId="0" applyNumberFormat="1" applyFont="1" applyFill="1" applyBorder="1" applyAlignment="1">
      <alignment horizontal="center" vertical="center" wrapText="1"/>
    </xf>
    <xf numFmtId="2" fontId="1" fillId="13" borderId="4" xfId="0" applyNumberFormat="1" applyFont="1" applyFill="1" applyBorder="1" applyAlignment="1">
      <alignment horizontal="center" vertical="center" wrapText="1"/>
    </xf>
    <xf numFmtId="11" fontId="1" fillId="15" borderId="8" xfId="0" applyNumberFormat="1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2" fontId="16" fillId="0" borderId="0" xfId="0" applyNumberFormat="1" applyFont="1"/>
    <xf numFmtId="11" fontId="1" fillId="3" borderId="13" xfId="0" applyNumberFormat="1" applyFont="1" applyFill="1" applyBorder="1" applyAlignment="1">
      <alignment horizontal="center" vertical="center" wrapText="1"/>
    </xf>
    <xf numFmtId="166" fontId="0" fillId="0" borderId="12" xfId="0" applyNumberFormat="1" applyBorder="1"/>
    <xf numFmtId="166" fontId="8" fillId="19" borderId="12" xfId="0" applyNumberFormat="1" applyFont="1" applyFill="1" applyBorder="1" applyAlignment="1">
      <alignment vertical="center"/>
    </xf>
    <xf numFmtId="166" fontId="8" fillId="3" borderId="12" xfId="0" applyNumberFormat="1" applyFont="1" applyFill="1" applyBorder="1"/>
    <xf numFmtId="2" fontId="8" fillId="3" borderId="12" xfId="0" applyNumberFormat="1" applyFont="1" applyFill="1" applyBorder="1" applyAlignment="1">
      <alignment horizontal="center" vertical="center"/>
    </xf>
    <xf numFmtId="166" fontId="8" fillId="4" borderId="12" xfId="0" applyNumberFormat="1" applyFont="1" applyFill="1" applyBorder="1"/>
    <xf numFmtId="166" fontId="8" fillId="6" borderId="12" xfId="0" applyNumberFormat="1" applyFont="1" applyFill="1" applyBorder="1"/>
    <xf numFmtId="166" fontId="8" fillId="5" borderId="12" xfId="0" applyNumberFormat="1" applyFont="1" applyFill="1" applyBorder="1"/>
    <xf numFmtId="2" fontId="8" fillId="5" borderId="12" xfId="0" applyNumberFormat="1" applyFont="1" applyFill="1" applyBorder="1" applyAlignment="1">
      <alignment horizontal="center" vertical="center"/>
    </xf>
    <xf numFmtId="2" fontId="8" fillId="4" borderId="12" xfId="0" applyNumberFormat="1" applyFont="1" applyFill="1" applyBorder="1" applyAlignment="1">
      <alignment horizontal="center" vertical="center"/>
    </xf>
    <xf numFmtId="0" fontId="20" fillId="0" borderId="0" xfId="0" applyFont="1"/>
    <xf numFmtId="0" fontId="0" fillId="0" borderId="0" xfId="0" applyAlignment="1">
      <alignment horizontal="center" vertical="center"/>
    </xf>
    <xf numFmtId="164" fontId="0" fillId="6" borderId="12" xfId="0" applyNumberForma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/>
    </xf>
    <xf numFmtId="164" fontId="0" fillId="25" borderId="12" xfId="0" applyNumberFormat="1" applyFill="1" applyBorder="1" applyAlignment="1">
      <alignment horizontal="center" vertical="center"/>
    </xf>
    <xf numFmtId="0" fontId="8" fillId="25" borderId="12" xfId="0" applyFont="1" applyFill="1" applyBorder="1" applyAlignment="1">
      <alignment horizontal="center" vertical="center"/>
    </xf>
    <xf numFmtId="164" fontId="0" fillId="16" borderId="12" xfId="0" applyNumberFormat="1" applyFill="1" applyBorder="1" applyAlignment="1">
      <alignment horizontal="center" vertical="center"/>
    </xf>
    <xf numFmtId="0" fontId="0" fillId="16" borderId="12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164" fontId="0" fillId="6" borderId="12" xfId="0" applyNumberFormat="1" applyFill="1" applyBorder="1" applyAlignment="1">
      <alignment horizontal="center"/>
    </xf>
    <xf numFmtId="164" fontId="0" fillId="25" borderId="12" xfId="0" applyNumberFormat="1" applyFill="1" applyBorder="1" applyAlignment="1">
      <alignment horizontal="center"/>
    </xf>
    <xf numFmtId="0" fontId="8" fillId="16" borderId="12" xfId="0" applyFont="1" applyFill="1" applyBorder="1" applyAlignment="1">
      <alignment horizontal="center" vertical="center"/>
    </xf>
    <xf numFmtId="164" fontId="0" fillId="16" borderId="12" xfId="0" applyNumberFormat="1" applyFill="1" applyBorder="1" applyAlignment="1">
      <alignment horizontal="center"/>
    </xf>
    <xf numFmtId="164" fontId="0" fillId="7" borderId="12" xfId="0" applyNumberFormat="1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164" fontId="0" fillId="7" borderId="12" xfId="0" applyNumberFormat="1" applyFill="1" applyBorder="1" applyAlignment="1">
      <alignment horizontal="center"/>
    </xf>
    <xf numFmtId="0" fontId="8" fillId="7" borderId="12" xfId="0" applyFont="1" applyFill="1" applyBorder="1" applyAlignment="1">
      <alignment horizontal="center" vertical="center"/>
    </xf>
    <xf numFmtId="164" fontId="0" fillId="10" borderId="12" xfId="0" applyNumberFormat="1" applyFill="1" applyBorder="1" applyAlignment="1">
      <alignment horizontal="center" vertical="center"/>
    </xf>
    <xf numFmtId="0" fontId="8" fillId="10" borderId="12" xfId="0" applyFont="1" applyFill="1" applyBorder="1" applyAlignment="1">
      <alignment horizontal="center" vertical="center"/>
    </xf>
    <xf numFmtId="164" fontId="0" fillId="10" borderId="12" xfId="0" applyNumberFormat="1" applyFill="1" applyBorder="1" applyAlignment="1">
      <alignment horizontal="center"/>
    </xf>
    <xf numFmtId="164" fontId="0" fillId="13" borderId="12" xfId="0" applyNumberFormat="1" applyFill="1" applyBorder="1" applyAlignment="1">
      <alignment horizontal="center" vertical="center"/>
    </xf>
    <xf numFmtId="0" fontId="8" fillId="13" borderId="12" xfId="0" applyFont="1" applyFill="1" applyBorder="1" applyAlignment="1">
      <alignment horizontal="center" vertical="center"/>
    </xf>
    <xf numFmtId="164" fontId="0" fillId="13" borderId="12" xfId="0" applyNumberFormat="1" applyFill="1" applyBorder="1" applyAlignment="1">
      <alignment horizontal="center"/>
    </xf>
    <xf numFmtId="0" fontId="0" fillId="13" borderId="12" xfId="0" applyFill="1" applyBorder="1" applyAlignment="1">
      <alignment horizontal="center" vertical="center"/>
    </xf>
    <xf numFmtId="0" fontId="0" fillId="8" borderId="12" xfId="0" applyFill="1" applyBorder="1"/>
    <xf numFmtId="10" fontId="8" fillId="8" borderId="12" xfId="0" applyNumberFormat="1" applyFont="1" applyFill="1" applyBorder="1" applyAlignment="1">
      <alignment vertical="center"/>
    </xf>
    <xf numFmtId="0" fontId="22" fillId="8" borderId="12" xfId="0" applyFont="1" applyFill="1" applyBorder="1"/>
    <xf numFmtId="11" fontId="22" fillId="8" borderId="12" xfId="0" applyNumberFormat="1" applyFont="1" applyFill="1" applyBorder="1"/>
    <xf numFmtId="2" fontId="22" fillId="8" borderId="12" xfId="0" applyNumberFormat="1" applyFont="1" applyFill="1" applyBorder="1" applyAlignment="1">
      <alignment vertical="center"/>
    </xf>
    <xf numFmtId="11" fontId="22" fillId="8" borderId="12" xfId="0" applyNumberFormat="1" applyFont="1" applyFill="1" applyBorder="1" applyAlignment="1">
      <alignment vertical="center"/>
    </xf>
    <xf numFmtId="2" fontId="22" fillId="8" borderId="12" xfId="0" applyNumberFormat="1" applyFont="1" applyFill="1" applyBorder="1"/>
    <xf numFmtId="0" fontId="22" fillId="8" borderId="12" xfId="0" applyFont="1" applyFill="1" applyBorder="1" applyAlignment="1">
      <alignment vertical="center"/>
    </xf>
    <xf numFmtId="10" fontId="8" fillId="6" borderId="12" xfId="0" applyNumberFormat="1" applyFont="1" applyFill="1" applyBorder="1" applyAlignment="1">
      <alignment vertical="center"/>
    </xf>
    <xf numFmtId="0" fontId="8" fillId="6" borderId="12" xfId="0" applyFont="1" applyFill="1" applyBorder="1" applyAlignment="1">
      <alignment vertical="center"/>
    </xf>
    <xf numFmtId="0" fontId="22" fillId="6" borderId="12" xfId="0" applyFont="1" applyFill="1" applyBorder="1"/>
    <xf numFmtId="2" fontId="22" fillId="6" borderId="12" xfId="0" applyNumberFormat="1" applyFont="1" applyFill="1" applyBorder="1"/>
    <xf numFmtId="2" fontId="22" fillId="6" borderId="12" xfId="0" applyNumberFormat="1" applyFont="1" applyFill="1" applyBorder="1" applyAlignment="1">
      <alignment vertical="center"/>
    </xf>
    <xf numFmtId="11" fontId="22" fillId="6" borderId="12" xfId="0" applyNumberFormat="1" applyFont="1" applyFill="1" applyBorder="1" applyAlignment="1">
      <alignment vertical="center"/>
    </xf>
    <xf numFmtId="0" fontId="0" fillId="23" borderId="12" xfId="0" applyFill="1" applyBorder="1"/>
    <xf numFmtId="10" fontId="8" fillId="23" borderId="12" xfId="0" applyNumberFormat="1" applyFont="1" applyFill="1" applyBorder="1" applyAlignment="1">
      <alignment vertical="center"/>
    </xf>
    <xf numFmtId="11" fontId="9" fillId="23" borderId="12" xfId="0" applyNumberFormat="1" applyFont="1" applyFill="1" applyBorder="1" applyAlignment="1">
      <alignment vertical="center"/>
    </xf>
    <xf numFmtId="10" fontId="8" fillId="15" borderId="12" xfId="0" applyNumberFormat="1" applyFont="1" applyFill="1" applyBorder="1" applyAlignment="1">
      <alignment vertical="center"/>
    </xf>
    <xf numFmtId="11" fontId="9" fillId="15" borderId="12" xfId="0" applyNumberFormat="1" applyFont="1" applyFill="1" applyBorder="1" applyAlignment="1">
      <alignment vertical="center"/>
    </xf>
    <xf numFmtId="164" fontId="8" fillId="0" borderId="6" xfId="0" applyNumberFormat="1" applyFont="1" applyBorder="1" applyAlignment="1">
      <alignment vertical="center"/>
    </xf>
    <xf numFmtId="164" fontId="16" fillId="0" borderId="12" xfId="0" applyNumberFormat="1" applyFont="1" applyBorder="1" applyAlignment="1">
      <alignment vertical="center"/>
    </xf>
    <xf numFmtId="1" fontId="16" fillId="0" borderId="12" xfId="0" applyNumberFormat="1" applyFont="1" applyBorder="1" applyAlignment="1">
      <alignment vertical="center"/>
    </xf>
    <xf numFmtId="10" fontId="8" fillId="0" borderId="12" xfId="0" applyNumberFormat="1" applyFont="1" applyBorder="1" applyAlignment="1">
      <alignment vertical="center"/>
    </xf>
    <xf numFmtId="10" fontId="0" fillId="0" borderId="0" xfId="0" applyNumberFormat="1"/>
    <xf numFmtId="0" fontId="16" fillId="0" borderId="0" xfId="0" applyFont="1" applyAlignment="1">
      <alignment horizontal="right"/>
    </xf>
    <xf numFmtId="10" fontId="1" fillId="11" borderId="12" xfId="0" applyNumberFormat="1" applyFont="1" applyFill="1" applyBorder="1" applyAlignment="1">
      <alignment horizontal="center" vertical="center" wrapText="1"/>
    </xf>
    <xf numFmtId="164" fontId="1" fillId="16" borderId="13" xfId="0" applyNumberFormat="1" applyFont="1" applyFill="1" applyBorder="1" applyAlignment="1">
      <alignment horizontal="center" vertical="center" wrapText="1"/>
    </xf>
    <xf numFmtId="10" fontId="1" fillId="0" borderId="0" xfId="0" applyNumberFormat="1" applyFont="1" applyAlignment="1">
      <alignment horizontal="center"/>
    </xf>
    <xf numFmtId="0" fontId="16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1" fontId="4" fillId="14" borderId="12" xfId="0" applyNumberFormat="1" applyFont="1" applyFill="1" applyBorder="1" applyAlignment="1">
      <alignment horizontal="center" vertical="center" wrapText="1"/>
    </xf>
    <xf numFmtId="0" fontId="4" fillId="14" borderId="12" xfId="0" applyFont="1" applyFill="1" applyBorder="1" applyAlignment="1">
      <alignment horizontal="center" vertical="center" wrapText="1"/>
    </xf>
    <xf numFmtId="1" fontId="8" fillId="15" borderId="12" xfId="0" applyNumberFormat="1" applyFont="1" applyFill="1" applyBorder="1" applyAlignment="1">
      <alignment vertical="center"/>
    </xf>
    <xf numFmtId="1" fontId="8" fillId="23" borderId="12" xfId="0" applyNumberFormat="1" applyFont="1" applyFill="1" applyBorder="1" applyAlignment="1">
      <alignment vertical="center"/>
    </xf>
    <xf numFmtId="1" fontId="8" fillId="6" borderId="12" xfId="0" applyNumberFormat="1" applyFont="1" applyFill="1" applyBorder="1" applyAlignment="1">
      <alignment vertical="center"/>
    </xf>
    <xf numFmtId="1" fontId="8" fillId="6" borderId="12" xfId="0" applyNumberFormat="1" applyFont="1" applyFill="1" applyBorder="1"/>
    <xf numFmtId="1" fontId="8" fillId="8" borderId="12" xfId="0" applyNumberFormat="1" applyFont="1" applyFill="1" applyBorder="1"/>
    <xf numFmtId="1" fontId="8" fillId="8" borderId="12" xfId="0" applyNumberFormat="1" applyFont="1" applyFill="1" applyBorder="1" applyAlignment="1">
      <alignment vertical="center"/>
    </xf>
    <xf numFmtId="11" fontId="8" fillId="6" borderId="12" xfId="0" applyNumberFormat="1" applyFont="1" applyFill="1" applyBorder="1"/>
    <xf numFmtId="11" fontId="9" fillId="8" borderId="12" xfId="0" applyNumberFormat="1" applyFont="1" applyFill="1" applyBorder="1" applyAlignment="1">
      <alignment vertical="center"/>
    </xf>
    <xf numFmtId="0" fontId="8" fillId="23" borderId="12" xfId="0" applyFont="1" applyFill="1" applyBorder="1"/>
    <xf numFmtId="2" fontId="8" fillId="6" borderId="12" xfId="0" applyNumberFormat="1" applyFont="1" applyFill="1" applyBorder="1" applyAlignment="1">
      <alignment horizontal="center" vertical="center"/>
    </xf>
    <xf numFmtId="0" fontId="8" fillId="6" borderId="12" xfId="0" applyFont="1" applyFill="1" applyBorder="1"/>
    <xf numFmtId="0" fontId="8" fillId="8" borderId="12" xfId="0" applyFont="1" applyFill="1" applyBorder="1"/>
    <xf numFmtId="0" fontId="1" fillId="21" borderId="0" xfId="0" applyFont="1" applyFill="1"/>
    <xf numFmtId="11" fontId="1" fillId="21" borderId="0" xfId="0" applyNumberFormat="1" applyFont="1" applyFill="1" applyAlignment="1">
      <alignment horizontal="center" vertical="center" wrapText="1"/>
    </xf>
    <xf numFmtId="11" fontId="2" fillId="21" borderId="0" xfId="0" applyNumberFormat="1" applyFont="1" applyFill="1"/>
    <xf numFmtId="11" fontId="3" fillId="21" borderId="0" xfId="0" applyNumberFormat="1" applyFont="1" applyFill="1"/>
    <xf numFmtId="11" fontId="0" fillId="21" borderId="0" xfId="0" applyNumberFormat="1" applyFill="1"/>
    <xf numFmtId="0" fontId="0" fillId="21" borderId="0" xfId="0" applyFill="1"/>
    <xf numFmtId="0" fontId="23" fillId="0" borderId="0" xfId="0" applyFont="1"/>
    <xf numFmtId="2" fontId="0" fillId="3" borderId="2" xfId="0" applyNumberFormat="1" applyFill="1" applyBorder="1"/>
    <xf numFmtId="2" fontId="0" fillId="3" borderId="0" xfId="0" applyNumberFormat="1" applyFill="1"/>
    <xf numFmtId="2" fontId="0" fillId="3" borderId="5" xfId="0" applyNumberFormat="1" applyFill="1" applyBorder="1"/>
    <xf numFmtId="2" fontId="0" fillId="4" borderId="2" xfId="0" applyNumberFormat="1" applyFill="1" applyBorder="1"/>
    <xf numFmtId="0" fontId="2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6" fillId="0" borderId="0" xfId="0" applyFont="1"/>
    <xf numFmtId="0" fontId="2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5" fillId="0" borderId="0" xfId="0" applyFont="1"/>
    <xf numFmtId="0" fontId="28" fillId="0" borderId="0" xfId="0" applyFont="1"/>
    <xf numFmtId="0" fontId="28" fillId="0" borderId="0" xfId="0" applyFont="1" applyAlignment="1">
      <alignment horizontal="center" vertical="center"/>
    </xf>
    <xf numFmtId="167" fontId="28" fillId="0" borderId="0" xfId="0" applyNumberFormat="1" applyFont="1"/>
    <xf numFmtId="0" fontId="29" fillId="0" borderId="0" xfId="0" applyFont="1"/>
    <xf numFmtId="0" fontId="29" fillId="0" borderId="0" xfId="0" applyFont="1" applyAlignment="1">
      <alignment horizontal="center" vertical="center"/>
    </xf>
    <xf numFmtId="167" fontId="29" fillId="0" borderId="0" xfId="0" applyNumberFormat="1" applyFont="1"/>
    <xf numFmtId="167" fontId="17" fillId="0" borderId="0" xfId="0" applyNumberFormat="1" applyFont="1"/>
    <xf numFmtId="0" fontId="30" fillId="0" borderId="0" xfId="0" applyFont="1"/>
    <xf numFmtId="0" fontId="30" fillId="0" borderId="0" xfId="0" applyFont="1" applyAlignment="1">
      <alignment horizontal="center" vertical="center"/>
    </xf>
    <xf numFmtId="167" fontId="30" fillId="0" borderId="0" xfId="0" applyNumberFormat="1" applyFont="1"/>
    <xf numFmtId="0" fontId="31" fillId="0" borderId="0" xfId="0" applyFont="1"/>
    <xf numFmtId="0" fontId="31" fillId="0" borderId="0" xfId="0" applyFont="1" applyAlignment="1">
      <alignment horizontal="center" vertical="center"/>
    </xf>
    <xf numFmtId="167" fontId="31" fillId="0" borderId="0" xfId="0" applyNumberFormat="1" applyFont="1"/>
    <xf numFmtId="167" fontId="0" fillId="0" borderId="0" xfId="0" applyNumberFormat="1"/>
    <xf numFmtId="167" fontId="32" fillId="0" borderId="0" xfId="0" applyNumberFormat="1" applyFont="1"/>
    <xf numFmtId="2" fontId="0" fillId="0" borderId="0" xfId="0" applyNumberFormat="1" applyAlignment="1">
      <alignment horizontal="center"/>
    </xf>
    <xf numFmtId="0" fontId="3" fillId="0" borderId="0" xfId="0" applyFont="1"/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2" fontId="17" fillId="0" borderId="0" xfId="0" applyNumberFormat="1" applyFont="1" applyAlignment="1">
      <alignment horizontal="center"/>
    </xf>
    <xf numFmtId="2" fontId="26" fillId="0" borderId="0" xfId="0" applyNumberFormat="1" applyFont="1" applyAlignment="1">
      <alignment horizontal="center"/>
    </xf>
    <xf numFmtId="0" fontId="8" fillId="26" borderId="0" xfId="0" applyFont="1" applyFill="1"/>
    <xf numFmtId="2" fontId="8" fillId="26" borderId="0" xfId="0" applyNumberFormat="1" applyFont="1" applyFill="1" applyAlignment="1">
      <alignment horizontal="center"/>
    </xf>
    <xf numFmtId="0" fontId="8" fillId="26" borderId="0" xfId="0" applyFont="1" applyFill="1" applyAlignment="1">
      <alignment horizontal="center" vertical="center"/>
    </xf>
    <xf numFmtId="0" fontId="27" fillId="0" borderId="0" xfId="0" applyFont="1"/>
    <xf numFmtId="2" fontId="27" fillId="0" borderId="0" xfId="0" applyNumberFormat="1" applyFont="1" applyAlignment="1">
      <alignment horizontal="center"/>
    </xf>
    <xf numFmtId="2" fontId="25" fillId="0" borderId="0" xfId="0" applyNumberFormat="1" applyFont="1" applyAlignment="1">
      <alignment horizontal="center" vertical="center"/>
    </xf>
    <xf numFmtId="0" fontId="0" fillId="15" borderId="0" xfId="0" applyFill="1"/>
    <xf numFmtId="2" fontId="31" fillId="0" borderId="0" xfId="0" applyNumberFormat="1" applyFont="1" applyAlignment="1">
      <alignment horizontal="center"/>
    </xf>
    <xf numFmtId="0" fontId="0" fillId="28" borderId="0" xfId="0" applyFill="1"/>
    <xf numFmtId="49" fontId="1" fillId="0" borderId="0" xfId="0" applyNumberFormat="1" applyFont="1" applyAlignment="1">
      <alignment horizontal="center"/>
    </xf>
    <xf numFmtId="49" fontId="18" fillId="0" borderId="0" xfId="0" applyNumberFormat="1" applyFont="1" applyAlignment="1">
      <alignment horizontal="left"/>
    </xf>
    <xf numFmtId="0" fontId="18" fillId="0" borderId="0" xfId="0" applyFont="1"/>
    <xf numFmtId="49" fontId="0" fillId="0" borderId="0" xfId="0" applyNumberFormat="1"/>
    <xf numFmtId="49" fontId="2" fillId="0" borderId="0" xfId="0" applyNumberFormat="1" applyFont="1"/>
    <xf numFmtId="0" fontId="0" fillId="16" borderId="0" xfId="0" applyFill="1"/>
    <xf numFmtId="0" fontId="2" fillId="16" borderId="0" xfId="0" applyFont="1" applyFill="1" applyAlignment="1">
      <alignment horizontal="center" vertical="center"/>
    </xf>
    <xf numFmtId="0" fontId="34" fillId="0" borderId="0" xfId="0" applyFont="1"/>
    <xf numFmtId="0" fontId="37" fillId="0" borderId="0" xfId="0" applyFont="1"/>
    <xf numFmtId="0" fontId="0" fillId="29" borderId="0" xfId="0" applyFill="1"/>
    <xf numFmtId="2" fontId="0" fillId="29" borderId="0" xfId="0" applyNumberFormat="1" applyFill="1"/>
    <xf numFmtId="2" fontId="4" fillId="0" borderId="0" xfId="0" applyNumberFormat="1" applyFont="1"/>
    <xf numFmtId="0" fontId="0" fillId="16" borderId="0" xfId="0" applyFill="1" applyAlignment="1">
      <alignment horizontal="center" vertical="center"/>
    </xf>
    <xf numFmtId="0" fontId="36" fillId="0" borderId="0" xfId="0" applyFont="1"/>
    <xf numFmtId="2" fontId="36" fillId="0" borderId="0" xfId="0" applyNumberFormat="1" applyFont="1"/>
    <xf numFmtId="0" fontId="39" fillId="0" borderId="0" xfId="0" applyFont="1"/>
    <xf numFmtId="0" fontId="8" fillId="16" borderId="0" xfId="0" applyFont="1" applyFill="1" applyAlignment="1">
      <alignment horizontal="center" vertical="center"/>
    </xf>
    <xf numFmtId="2" fontId="8" fillId="0" borderId="0" xfId="0" applyNumberFormat="1" applyFont="1"/>
    <xf numFmtId="0" fontId="40" fillId="0" borderId="0" xfId="0" applyFont="1"/>
    <xf numFmtId="0" fontId="4" fillId="0" borderId="0" xfId="0" applyFont="1"/>
    <xf numFmtId="0" fontId="0" fillId="15" borderId="12" xfId="0" applyFill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8" fillId="16" borderId="0" xfId="0" applyFont="1" applyFill="1"/>
    <xf numFmtId="164" fontId="16" fillId="29" borderId="0" xfId="0" applyNumberFormat="1" applyFont="1" applyFill="1"/>
    <xf numFmtId="164" fontId="19" fillId="29" borderId="0" xfId="0" applyNumberFormat="1" applyFont="1" applyFill="1"/>
    <xf numFmtId="165" fontId="16" fillId="29" borderId="0" xfId="0" applyNumberFormat="1" applyFont="1" applyFill="1"/>
    <xf numFmtId="0" fontId="19" fillId="29" borderId="0" xfId="0" applyFont="1" applyFill="1"/>
    <xf numFmtId="0" fontId="1" fillId="3" borderId="12" xfId="0" applyFont="1" applyFill="1" applyBorder="1" applyAlignment="1">
      <alignment horizontal="center"/>
    </xf>
    <xf numFmtId="0" fontId="1" fillId="12" borderId="12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43" fillId="21" borderId="0" xfId="0" applyFont="1" applyFill="1" applyAlignment="1">
      <alignment horizontal="center" vertical="center"/>
    </xf>
    <xf numFmtId="0" fontId="44" fillId="11" borderId="12" xfId="0" applyFont="1" applyFill="1" applyBorder="1" applyAlignment="1">
      <alignment horizontal="center" vertical="center"/>
    </xf>
    <xf numFmtId="0" fontId="43" fillId="21" borderId="14" xfId="0" applyFont="1" applyFill="1" applyBorder="1" applyAlignment="1">
      <alignment horizontal="center" vertical="center"/>
    </xf>
    <xf numFmtId="167" fontId="2" fillId="0" borderId="0" xfId="0" applyNumberFormat="1" applyFont="1"/>
    <xf numFmtId="0" fontId="19" fillId="15" borderId="0" xfId="0" applyFont="1" applyFill="1"/>
    <xf numFmtId="0" fontId="1" fillId="15" borderId="0" xfId="0" applyFont="1" applyFill="1"/>
    <xf numFmtId="2" fontId="45" fillId="15" borderId="0" xfId="0" applyNumberFormat="1" applyFont="1" applyFill="1"/>
    <xf numFmtId="2" fontId="45" fillId="0" borderId="0" xfId="0" applyNumberFormat="1" applyFont="1"/>
    <xf numFmtId="2" fontId="9" fillId="0" borderId="0" xfId="0" applyNumberFormat="1" applyFont="1"/>
    <xf numFmtId="0" fontId="0" fillId="6" borderId="0" xfId="0" applyFill="1"/>
    <xf numFmtId="0" fontId="19" fillId="3" borderId="0" xfId="0" applyFont="1" applyFill="1"/>
    <xf numFmtId="0" fontId="46" fillId="3" borderId="0" xfId="0" applyFont="1" applyFill="1"/>
    <xf numFmtId="2" fontId="45" fillId="3" borderId="0" xfId="0" applyNumberFormat="1" applyFont="1" applyFill="1"/>
    <xf numFmtId="164" fontId="8" fillId="32" borderId="12" xfId="0" applyNumberFormat="1" applyFont="1" applyFill="1" applyBorder="1" applyAlignment="1">
      <alignment horizontal="center" vertical="center"/>
    </xf>
    <xf numFmtId="164" fontId="0" fillId="8" borderId="12" xfId="0" applyNumberFormat="1" applyFill="1" applyBorder="1" applyAlignment="1">
      <alignment horizontal="center" vertical="center"/>
    </xf>
    <xf numFmtId="1" fontId="0" fillId="8" borderId="12" xfId="0" applyNumberFormat="1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/>
    </xf>
    <xf numFmtId="0" fontId="8" fillId="32" borderId="12" xfId="0" applyFont="1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164" fontId="0" fillId="8" borderId="8" xfId="0" applyNumberFormat="1" applyFill="1" applyBorder="1" applyAlignment="1">
      <alignment horizontal="center" vertical="center"/>
    </xf>
    <xf numFmtId="1" fontId="0" fillId="8" borderId="8" xfId="0" applyNumberFormat="1" applyFill="1" applyBorder="1" applyAlignment="1">
      <alignment horizontal="center" vertical="center"/>
    </xf>
    <xf numFmtId="164" fontId="0" fillId="23" borderId="12" xfId="0" applyNumberFormat="1" applyFill="1" applyBorder="1" applyAlignment="1">
      <alignment horizontal="center" vertical="center"/>
    </xf>
    <xf numFmtId="1" fontId="0" fillId="23" borderId="12" xfId="0" applyNumberFormat="1" applyFill="1" applyBorder="1" applyAlignment="1">
      <alignment horizontal="center" vertical="center"/>
    </xf>
    <xf numFmtId="0" fontId="8" fillId="23" borderId="12" xfId="0" applyFont="1" applyFill="1" applyBorder="1" applyAlignment="1">
      <alignment horizontal="center" vertical="center"/>
    </xf>
    <xf numFmtId="0" fontId="8" fillId="33" borderId="12" xfId="0" applyFont="1" applyFill="1" applyBorder="1" applyAlignment="1">
      <alignment horizontal="center" vertical="center"/>
    </xf>
    <xf numFmtId="164" fontId="8" fillId="33" borderId="12" xfId="0" applyNumberFormat="1" applyFont="1" applyFill="1" applyBorder="1" applyAlignment="1">
      <alignment horizontal="center" vertical="center"/>
    </xf>
    <xf numFmtId="0" fontId="0" fillId="23" borderId="8" xfId="0" applyFill="1" applyBorder="1" applyAlignment="1">
      <alignment horizontal="center" vertical="center"/>
    </xf>
    <xf numFmtId="164" fontId="0" fillId="23" borderId="8" xfId="0" applyNumberFormat="1" applyFill="1" applyBorder="1" applyAlignment="1">
      <alignment horizontal="center" vertical="center"/>
    </xf>
    <xf numFmtId="1" fontId="0" fillId="23" borderId="8" xfId="0" applyNumberFormat="1" applyFill="1" applyBorder="1" applyAlignment="1">
      <alignment horizontal="center" vertical="center"/>
    </xf>
    <xf numFmtId="164" fontId="0" fillId="15" borderId="12" xfId="0" applyNumberFormat="1" applyFill="1" applyBorder="1" applyAlignment="1">
      <alignment horizontal="center" vertical="center"/>
    </xf>
    <xf numFmtId="1" fontId="0" fillId="15" borderId="12" xfId="0" applyNumberFormat="1" applyFill="1" applyBorder="1" applyAlignment="1">
      <alignment horizontal="center" vertical="center"/>
    </xf>
    <xf numFmtId="0" fontId="8" fillId="34" borderId="12" xfId="0" applyFont="1" applyFill="1" applyBorder="1" applyAlignment="1">
      <alignment horizontal="center" vertical="center"/>
    </xf>
    <xf numFmtId="164" fontId="8" fillId="34" borderId="12" xfId="0" applyNumberFormat="1" applyFont="1" applyFill="1" applyBorder="1" applyAlignment="1">
      <alignment horizontal="center" vertical="center"/>
    </xf>
    <xf numFmtId="0" fontId="8" fillId="8" borderId="14" xfId="0" applyFont="1" applyFill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2" fontId="16" fillId="17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1" fontId="0" fillId="18" borderId="0" xfId="0" applyNumberForma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10" fontId="16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1" fontId="0" fillId="0" borderId="0" xfId="0" applyNumberFormat="1" applyAlignment="1">
      <alignment horizontal="center" vertical="center"/>
    </xf>
    <xf numFmtId="0" fontId="4" fillId="17" borderId="0" xfId="0" applyFont="1" applyFill="1" applyAlignment="1">
      <alignment horizontal="center" vertical="center"/>
    </xf>
    <xf numFmtId="0" fontId="0" fillId="17" borderId="0" xfId="0" applyFill="1" applyAlignment="1">
      <alignment horizontal="center" vertical="center"/>
    </xf>
    <xf numFmtId="11" fontId="16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1" fontId="48" fillId="3" borderId="0" xfId="0" applyNumberFormat="1" applyFont="1" applyFill="1" applyAlignment="1">
      <alignment horizontal="center" vertical="center"/>
    </xf>
    <xf numFmtId="2" fontId="48" fillId="3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164" fontId="48" fillId="3" borderId="0" xfId="0" applyNumberFormat="1" applyFont="1" applyFill="1" applyAlignment="1">
      <alignment horizontal="center" vertical="center"/>
    </xf>
    <xf numFmtId="0" fontId="48" fillId="3" borderId="0" xfId="0" applyFont="1" applyFill="1" applyAlignment="1">
      <alignment horizontal="center" vertical="center"/>
    </xf>
    <xf numFmtId="10" fontId="48" fillId="3" borderId="0" xfId="0" applyNumberFormat="1" applyFont="1" applyFill="1" applyAlignment="1">
      <alignment horizontal="center" vertical="center"/>
    </xf>
    <xf numFmtId="10" fontId="0" fillId="3" borderId="0" xfId="0" applyNumberFormat="1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2" fontId="8" fillId="3" borderId="0" xfId="0" applyNumberFormat="1" applyFont="1" applyFill="1" applyAlignment="1">
      <alignment horizontal="center" vertical="center"/>
    </xf>
    <xf numFmtId="11" fontId="16" fillId="3" borderId="0" xfId="0" applyNumberFormat="1" applyFont="1" applyFill="1" applyAlignment="1">
      <alignment horizontal="center" vertical="center"/>
    </xf>
    <xf numFmtId="1" fontId="0" fillId="3" borderId="0" xfId="0" applyNumberFormat="1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8" fillId="35" borderId="0" xfId="0" applyFont="1" applyFill="1" applyAlignment="1">
      <alignment horizontal="center" vertical="center"/>
    </xf>
    <xf numFmtId="11" fontId="24" fillId="35" borderId="0" xfId="0" applyNumberFormat="1" applyFont="1" applyFill="1" applyAlignment="1">
      <alignment horizontal="center" vertical="center"/>
    </xf>
    <xf numFmtId="0" fontId="24" fillId="35" borderId="0" xfId="0" applyFont="1" applyFill="1" applyAlignment="1">
      <alignment horizontal="center" vertical="center"/>
    </xf>
    <xf numFmtId="2" fontId="24" fillId="35" borderId="0" xfId="0" applyNumberFormat="1" applyFont="1" applyFill="1" applyAlignment="1">
      <alignment horizontal="center" vertical="center"/>
    </xf>
    <xf numFmtId="10" fontId="24" fillId="35" borderId="0" xfId="0" applyNumberFormat="1" applyFont="1" applyFill="1" applyAlignment="1">
      <alignment horizontal="center" vertical="center"/>
    </xf>
    <xf numFmtId="164" fontId="24" fillId="35" borderId="0" xfId="0" applyNumberFormat="1" applyFont="1" applyFill="1" applyAlignment="1">
      <alignment horizontal="center" vertical="center"/>
    </xf>
    <xf numFmtId="11" fontId="8" fillId="35" borderId="0" xfId="0" applyNumberFormat="1" applyFont="1" applyFill="1" applyAlignment="1">
      <alignment horizontal="center" vertical="center"/>
    </xf>
    <xf numFmtId="0" fontId="49" fillId="35" borderId="0" xfId="0" applyFont="1" applyFill="1" applyAlignment="1">
      <alignment horizontal="left" vertical="center"/>
    </xf>
    <xf numFmtId="0" fontId="49" fillId="35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1" fontId="24" fillId="35" borderId="0" xfId="0" applyNumberFormat="1" applyFont="1" applyFill="1" applyAlignment="1">
      <alignment horizontal="center" vertical="center" wrapText="1"/>
    </xf>
    <xf numFmtId="2" fontId="24" fillId="35" borderId="0" xfId="0" applyNumberFormat="1" applyFont="1" applyFill="1" applyAlignment="1">
      <alignment horizontal="center" vertical="center" wrapText="1"/>
    </xf>
    <xf numFmtId="0" fontId="24" fillId="35" borderId="0" xfId="0" applyFont="1" applyFill="1" applyAlignment="1">
      <alignment horizontal="center" vertical="center" wrapText="1"/>
    </xf>
    <xf numFmtId="1" fontId="24" fillId="35" borderId="0" xfId="0" applyNumberFormat="1" applyFont="1" applyFill="1" applyAlignment="1">
      <alignment horizontal="center" vertical="center" wrapText="1"/>
    </xf>
    <xf numFmtId="0" fontId="0" fillId="31" borderId="0" xfId="0" applyFill="1" applyAlignment="1">
      <alignment horizontal="center" vertical="center" wrapText="1"/>
    </xf>
    <xf numFmtId="0" fontId="8" fillId="31" borderId="0" xfId="0" applyFont="1" applyFill="1" applyAlignment="1">
      <alignment horizontal="center" vertical="center" wrapText="1"/>
    </xf>
    <xf numFmtId="2" fontId="8" fillId="31" borderId="0" xfId="0" applyNumberFormat="1" applyFont="1" applyFill="1" applyAlignment="1">
      <alignment horizontal="center" vertical="center" wrapText="1"/>
    </xf>
    <xf numFmtId="11" fontId="51" fillId="31" borderId="0" xfId="0" applyNumberFormat="1" applyFont="1" applyFill="1" applyAlignment="1">
      <alignment horizontal="center" vertical="center"/>
    </xf>
    <xf numFmtId="164" fontId="51" fillId="31" borderId="0" xfId="0" applyNumberFormat="1" applyFont="1" applyFill="1" applyAlignment="1">
      <alignment horizontal="center" vertical="center"/>
    </xf>
    <xf numFmtId="11" fontId="8" fillId="31" borderId="0" xfId="0" applyNumberFormat="1" applyFont="1" applyFill="1" applyAlignment="1">
      <alignment horizontal="center" vertical="center" wrapText="1"/>
    </xf>
    <xf numFmtId="2" fontId="0" fillId="31" borderId="0" xfId="0" applyNumberFormat="1" applyFill="1" applyAlignment="1">
      <alignment horizontal="center" vertical="center" wrapText="1"/>
    </xf>
    <xf numFmtId="11" fontId="51" fillId="15" borderId="0" xfId="0" applyNumberFormat="1" applyFont="1" applyFill="1" applyAlignment="1">
      <alignment horizontal="center" vertical="center"/>
    </xf>
    <xf numFmtId="2" fontId="51" fillId="31" borderId="0" xfId="0" applyNumberFormat="1" applyFont="1" applyFill="1" applyAlignment="1">
      <alignment horizontal="center" vertical="center"/>
    </xf>
    <xf numFmtId="11" fontId="0" fillId="31" borderId="0" xfId="0" applyNumberFormat="1" applyFill="1" applyAlignment="1">
      <alignment horizontal="center" vertical="center" wrapText="1"/>
    </xf>
    <xf numFmtId="11" fontId="8" fillId="31" borderId="0" xfId="0" applyNumberFormat="1" applyFont="1" applyFill="1" applyAlignment="1">
      <alignment horizontal="center" vertical="center"/>
    </xf>
    <xf numFmtId="2" fontId="8" fillId="31" borderId="0" xfId="0" applyNumberFormat="1" applyFont="1" applyFill="1" applyAlignment="1">
      <alignment horizontal="center" vertical="center"/>
    </xf>
    <xf numFmtId="10" fontId="8" fillId="31" borderId="0" xfId="0" applyNumberFormat="1" applyFont="1" applyFill="1" applyAlignment="1">
      <alignment horizontal="center" vertical="center"/>
    </xf>
    <xf numFmtId="10" fontId="4" fillId="31" borderId="0" xfId="0" applyNumberFormat="1" applyFont="1" applyFill="1" applyAlignment="1">
      <alignment horizontal="center" vertical="center"/>
    </xf>
    <xf numFmtId="1" fontId="17" fillId="31" borderId="0" xfId="0" applyNumberFormat="1" applyFont="1" applyFill="1" applyAlignment="1">
      <alignment horizontal="center" vertical="center" wrapText="1"/>
    </xf>
    <xf numFmtId="164" fontId="16" fillId="31" borderId="0" xfId="0" applyNumberFormat="1" applyFont="1" applyFill="1" applyAlignment="1">
      <alignment horizontal="center" vertical="center" wrapText="1"/>
    </xf>
    <xf numFmtId="164" fontId="4" fillId="31" borderId="0" xfId="0" applyNumberFormat="1" applyFont="1" applyFill="1" applyAlignment="1">
      <alignment horizontal="center" vertical="center" wrapText="1"/>
    </xf>
    <xf numFmtId="164" fontId="8" fillId="31" borderId="0" xfId="0" applyNumberFormat="1" applyFont="1" applyFill="1" applyAlignment="1">
      <alignment horizontal="center" vertical="center" wrapText="1"/>
    </xf>
    <xf numFmtId="164" fontId="0" fillId="31" borderId="0" xfId="0" applyNumberFormat="1" applyFill="1" applyAlignment="1">
      <alignment horizontal="center" vertical="center" wrapText="1"/>
    </xf>
    <xf numFmtId="2" fontId="16" fillId="31" borderId="0" xfId="0" applyNumberFormat="1" applyFont="1" applyFill="1" applyAlignment="1">
      <alignment horizontal="center" vertical="center" wrapText="1"/>
    </xf>
    <xf numFmtId="11" fontId="16" fillId="31" borderId="0" xfId="0" applyNumberFormat="1" applyFont="1" applyFill="1" applyAlignment="1">
      <alignment horizontal="center" vertical="center" wrapText="1"/>
    </xf>
    <xf numFmtId="14" fontId="0" fillId="31" borderId="0" xfId="0" applyNumberFormat="1" applyFill="1" applyAlignment="1">
      <alignment horizontal="center" vertical="center" wrapText="1"/>
    </xf>
    <xf numFmtId="0" fontId="16" fillId="31" borderId="0" xfId="0" applyFont="1" applyFill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8" fillId="8" borderId="0" xfId="0" applyFont="1" applyFill="1" applyAlignment="1">
      <alignment horizontal="center" vertical="center" wrapText="1"/>
    </xf>
    <xf numFmtId="2" fontId="8" fillId="8" borderId="0" xfId="0" applyNumberFormat="1" applyFont="1" applyFill="1" applyAlignment="1">
      <alignment horizontal="center" vertical="center" wrapText="1"/>
    </xf>
    <xf numFmtId="11" fontId="51" fillId="8" borderId="0" xfId="0" applyNumberFormat="1" applyFont="1" applyFill="1" applyAlignment="1">
      <alignment horizontal="center" vertical="center"/>
    </xf>
    <xf numFmtId="164" fontId="51" fillId="8" borderId="0" xfId="0" applyNumberFormat="1" applyFont="1" applyFill="1" applyAlignment="1">
      <alignment horizontal="center" vertical="center"/>
    </xf>
    <xf numFmtId="11" fontId="8" fillId="8" borderId="0" xfId="0" applyNumberFormat="1" applyFont="1" applyFill="1" applyAlignment="1">
      <alignment horizontal="center" vertical="center" wrapText="1"/>
    </xf>
    <xf numFmtId="2" fontId="0" fillId="8" borderId="0" xfId="0" applyNumberFormat="1" applyFill="1" applyAlignment="1">
      <alignment horizontal="center" vertical="center" wrapText="1"/>
    </xf>
    <xf numFmtId="2" fontId="51" fillId="8" borderId="0" xfId="0" applyNumberFormat="1" applyFont="1" applyFill="1" applyAlignment="1">
      <alignment horizontal="center" vertical="center"/>
    </xf>
    <xf numFmtId="11" fontId="0" fillId="8" borderId="0" xfId="0" applyNumberFormat="1" applyFill="1" applyAlignment="1">
      <alignment horizontal="center" vertical="center" wrapText="1"/>
    </xf>
    <xf numFmtId="11" fontId="8" fillId="8" borderId="0" xfId="0" applyNumberFormat="1" applyFont="1" applyFill="1" applyAlignment="1">
      <alignment horizontal="center" vertical="center"/>
    </xf>
    <xf numFmtId="2" fontId="8" fillId="8" borderId="0" xfId="0" applyNumberFormat="1" applyFont="1" applyFill="1" applyAlignment="1">
      <alignment horizontal="center" vertical="center"/>
    </xf>
    <xf numFmtId="10" fontId="8" fillId="8" borderId="0" xfId="0" applyNumberFormat="1" applyFont="1" applyFill="1" applyAlignment="1">
      <alignment horizontal="center" vertical="center"/>
    </xf>
    <xf numFmtId="10" fontId="4" fillId="8" borderId="0" xfId="0" applyNumberFormat="1" applyFont="1" applyFill="1" applyAlignment="1">
      <alignment horizontal="center" vertical="center"/>
    </xf>
    <xf numFmtId="1" fontId="17" fillId="8" borderId="0" xfId="0" applyNumberFormat="1" applyFont="1" applyFill="1" applyAlignment="1">
      <alignment horizontal="center" vertical="center" wrapText="1"/>
    </xf>
    <xf numFmtId="164" fontId="16" fillId="8" borderId="0" xfId="0" applyNumberFormat="1" applyFont="1" applyFill="1" applyAlignment="1">
      <alignment horizontal="center" vertical="center" wrapText="1"/>
    </xf>
    <xf numFmtId="164" fontId="4" fillId="8" borderId="0" xfId="0" applyNumberFormat="1" applyFont="1" applyFill="1" applyAlignment="1">
      <alignment horizontal="center" vertical="center" wrapText="1"/>
    </xf>
    <xf numFmtId="164" fontId="0" fillId="8" borderId="0" xfId="0" applyNumberFormat="1" applyFill="1" applyAlignment="1">
      <alignment horizontal="center" vertical="center" wrapText="1"/>
    </xf>
    <xf numFmtId="164" fontId="8" fillId="8" borderId="0" xfId="0" applyNumberFormat="1" applyFont="1" applyFill="1" applyAlignment="1">
      <alignment horizontal="center" vertical="center" wrapText="1"/>
    </xf>
    <xf numFmtId="2" fontId="16" fillId="8" borderId="0" xfId="0" applyNumberFormat="1" applyFont="1" applyFill="1" applyAlignment="1">
      <alignment horizontal="center" vertical="center" wrapText="1"/>
    </xf>
    <xf numFmtId="11" fontId="16" fillId="8" borderId="0" xfId="0" applyNumberFormat="1" applyFont="1" applyFill="1" applyAlignment="1">
      <alignment horizontal="center" vertical="center" wrapText="1"/>
    </xf>
    <xf numFmtId="14" fontId="0" fillId="8" borderId="0" xfId="0" applyNumberFormat="1" applyFill="1" applyAlignment="1">
      <alignment horizontal="center" vertical="center" wrapText="1"/>
    </xf>
    <xf numFmtId="0" fontId="16" fillId="8" borderId="0" xfId="0" applyFont="1" applyFill="1" applyAlignment="1">
      <alignment horizontal="center" vertical="center" wrapText="1"/>
    </xf>
    <xf numFmtId="0" fontId="8" fillId="23" borderId="0" xfId="0" applyFont="1" applyFill="1" applyAlignment="1">
      <alignment horizontal="center" vertical="center"/>
    </xf>
    <xf numFmtId="0" fontId="4" fillId="23" borderId="0" xfId="0" applyFont="1" applyFill="1" applyAlignment="1">
      <alignment horizontal="center" vertical="center"/>
    </xf>
    <xf numFmtId="11" fontId="51" fillId="23" borderId="0" xfId="0" applyNumberFormat="1" applyFont="1" applyFill="1" applyAlignment="1">
      <alignment horizontal="center" vertical="center"/>
    </xf>
    <xf numFmtId="164" fontId="51" fillId="23" borderId="0" xfId="0" applyNumberFormat="1" applyFont="1" applyFill="1" applyAlignment="1">
      <alignment horizontal="center" vertical="center"/>
    </xf>
    <xf numFmtId="11" fontId="8" fillId="23" borderId="0" xfId="0" applyNumberFormat="1" applyFont="1" applyFill="1" applyAlignment="1">
      <alignment horizontal="center" vertical="center"/>
    </xf>
    <xf numFmtId="2" fontId="8" fillId="23" borderId="0" xfId="0" applyNumberFormat="1" applyFont="1" applyFill="1" applyAlignment="1">
      <alignment horizontal="center" vertical="center"/>
    </xf>
    <xf numFmtId="2" fontId="51" fillId="23" borderId="0" xfId="0" applyNumberFormat="1" applyFont="1" applyFill="1" applyAlignment="1">
      <alignment horizontal="center" vertical="center"/>
    </xf>
    <xf numFmtId="10" fontId="8" fillId="23" borderId="0" xfId="0" applyNumberFormat="1" applyFont="1" applyFill="1" applyAlignment="1">
      <alignment horizontal="center" vertical="center"/>
    </xf>
    <xf numFmtId="1" fontId="17" fillId="23" borderId="0" xfId="0" applyNumberFormat="1" applyFont="1" applyFill="1" applyAlignment="1">
      <alignment horizontal="center" vertical="center"/>
    </xf>
    <xf numFmtId="0" fontId="16" fillId="23" borderId="0" xfId="0" applyFont="1" applyFill="1" applyAlignment="1">
      <alignment horizontal="center" vertical="center"/>
    </xf>
    <xf numFmtId="0" fontId="8" fillId="23" borderId="0" xfId="0" applyFont="1" applyFill="1" applyAlignment="1">
      <alignment horizontal="center" vertical="center" wrapText="1"/>
    </xf>
    <xf numFmtId="164" fontId="8" fillId="23" borderId="0" xfId="0" applyNumberFormat="1" applyFont="1" applyFill="1" applyAlignment="1">
      <alignment horizontal="center" vertical="center"/>
    </xf>
    <xf numFmtId="11" fontId="8" fillId="23" borderId="0" xfId="0" applyNumberFormat="1" applyFont="1" applyFill="1" applyAlignment="1">
      <alignment horizontal="center" vertical="center" wrapText="1"/>
    </xf>
    <xf numFmtId="164" fontId="8" fillId="23" borderId="0" xfId="0" applyNumberFormat="1" applyFont="1" applyFill="1" applyAlignment="1">
      <alignment horizontal="center" vertical="center" wrapText="1"/>
    </xf>
    <xf numFmtId="2" fontId="16" fillId="23" borderId="0" xfId="0" applyNumberFormat="1" applyFont="1" applyFill="1" applyAlignment="1">
      <alignment horizontal="center" vertical="center"/>
    </xf>
    <xf numFmtId="11" fontId="16" fillId="23" borderId="0" xfId="0" applyNumberFormat="1" applyFont="1" applyFill="1" applyAlignment="1">
      <alignment horizontal="center" vertical="center"/>
    </xf>
    <xf numFmtId="14" fontId="8" fillId="23" borderId="0" xfId="0" applyNumberFormat="1" applyFont="1" applyFill="1" applyAlignment="1">
      <alignment horizontal="center" vertical="center"/>
    </xf>
    <xf numFmtId="0" fontId="8" fillId="15" borderId="0" xfId="0" applyFont="1" applyFill="1" applyAlignment="1">
      <alignment horizontal="center" vertical="center" wrapText="1"/>
    </xf>
    <xf numFmtId="0" fontId="4" fillId="15" borderId="0" xfId="0" applyFont="1" applyFill="1" applyAlignment="1">
      <alignment horizontal="center" vertical="center" wrapText="1"/>
    </xf>
    <xf numFmtId="2" fontId="8" fillId="15" borderId="0" xfId="0" applyNumberFormat="1" applyFont="1" applyFill="1" applyAlignment="1">
      <alignment horizontal="center" vertical="center" wrapText="1"/>
    </xf>
    <xf numFmtId="164" fontId="51" fillId="15" borderId="0" xfId="0" applyNumberFormat="1" applyFont="1" applyFill="1" applyAlignment="1">
      <alignment horizontal="center" vertical="center"/>
    </xf>
    <xf numFmtId="11" fontId="8" fillId="15" borderId="0" xfId="0" applyNumberFormat="1" applyFont="1" applyFill="1" applyAlignment="1">
      <alignment horizontal="center" vertical="center" wrapText="1"/>
    </xf>
    <xf numFmtId="2" fontId="51" fillId="15" borderId="0" xfId="0" applyNumberFormat="1" applyFont="1" applyFill="1" applyAlignment="1">
      <alignment horizontal="center" vertical="center"/>
    </xf>
    <xf numFmtId="2" fontId="8" fillId="15" borderId="0" xfId="0" applyNumberFormat="1" applyFont="1" applyFill="1" applyAlignment="1">
      <alignment horizontal="center" vertical="center"/>
    </xf>
    <xf numFmtId="10" fontId="8" fillId="15" borderId="0" xfId="0" applyNumberFormat="1" applyFont="1" applyFill="1" applyAlignment="1">
      <alignment horizontal="center" vertical="center"/>
    </xf>
    <xf numFmtId="10" fontId="8" fillId="15" borderId="0" xfId="0" applyNumberFormat="1" applyFont="1" applyFill="1" applyAlignment="1">
      <alignment horizontal="center" vertical="center" wrapText="1"/>
    </xf>
    <xf numFmtId="1" fontId="17" fillId="15" borderId="0" xfId="0" applyNumberFormat="1" applyFont="1" applyFill="1" applyAlignment="1">
      <alignment horizontal="center" vertical="center" wrapText="1"/>
    </xf>
    <xf numFmtId="0" fontId="16" fillId="15" borderId="0" xfId="0" applyFont="1" applyFill="1" applyAlignment="1">
      <alignment horizontal="center" vertical="center" wrapText="1"/>
    </xf>
    <xf numFmtId="164" fontId="8" fillId="15" borderId="0" xfId="0" applyNumberFormat="1" applyFont="1" applyFill="1" applyAlignment="1">
      <alignment horizontal="center" vertical="center" wrapText="1"/>
    </xf>
    <xf numFmtId="2" fontId="16" fillId="15" borderId="0" xfId="0" applyNumberFormat="1" applyFont="1" applyFill="1" applyAlignment="1">
      <alignment horizontal="center" vertical="center" wrapText="1"/>
    </xf>
    <xf numFmtId="11" fontId="16" fillId="15" borderId="0" xfId="0" applyNumberFormat="1" applyFont="1" applyFill="1" applyAlignment="1">
      <alignment horizontal="center" vertical="center" wrapText="1"/>
    </xf>
    <xf numFmtId="14" fontId="8" fillId="15" borderId="0" xfId="0" applyNumberFormat="1" applyFont="1" applyFill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/>
    </xf>
    <xf numFmtId="11" fontId="4" fillId="0" borderId="0" xfId="0" applyNumberFormat="1" applyFont="1" applyAlignment="1">
      <alignment horizontal="center" vertical="center"/>
    </xf>
    <xf numFmtId="11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11" fontId="48" fillId="5" borderId="0" xfId="0" applyNumberFormat="1" applyFont="1" applyFill="1" applyAlignment="1">
      <alignment horizontal="center" vertical="center"/>
    </xf>
    <xf numFmtId="2" fontId="48" fillId="5" borderId="0" xfId="0" applyNumberFormat="1" applyFont="1" applyFill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168" fontId="48" fillId="5" borderId="0" xfId="0" applyNumberFormat="1" applyFont="1" applyFill="1" applyAlignment="1">
      <alignment horizontal="center" vertical="center"/>
    </xf>
    <xf numFmtId="167" fontId="48" fillId="5" borderId="0" xfId="0" applyNumberFormat="1" applyFont="1" applyFill="1" applyAlignment="1">
      <alignment horizontal="center" vertical="center"/>
    </xf>
    <xf numFmtId="164" fontId="48" fillId="5" borderId="0" xfId="0" applyNumberFormat="1" applyFont="1" applyFill="1" applyAlignment="1">
      <alignment horizontal="center" vertical="center"/>
    </xf>
    <xf numFmtId="0" fontId="48" fillId="5" borderId="0" xfId="0" applyFont="1" applyFill="1" applyAlignment="1">
      <alignment horizontal="center" vertical="center"/>
    </xf>
    <xf numFmtId="10" fontId="48" fillId="5" borderId="0" xfId="0" applyNumberFormat="1" applyFont="1" applyFill="1" applyAlignment="1">
      <alignment horizontal="center" vertical="center"/>
    </xf>
    <xf numFmtId="1" fontId="0" fillId="5" borderId="0" xfId="0" applyNumberFormat="1" applyFill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2" fontId="16" fillId="5" borderId="0" xfId="0" applyNumberFormat="1" applyFont="1" applyFill="1" applyAlignment="1">
      <alignment horizontal="center" vertical="center"/>
    </xf>
    <xf numFmtId="11" fontId="16" fillId="5" borderId="0" xfId="0" applyNumberFormat="1" applyFont="1" applyFill="1" applyAlignment="1">
      <alignment horizontal="center" vertical="center"/>
    </xf>
    <xf numFmtId="14" fontId="0" fillId="5" borderId="0" xfId="0" applyNumberForma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11" fontId="48" fillId="4" borderId="0" xfId="0" applyNumberFormat="1" applyFont="1" applyFill="1" applyAlignment="1">
      <alignment horizontal="center" vertical="center"/>
    </xf>
    <xf numFmtId="2" fontId="48" fillId="4" borderId="0" xfId="0" applyNumberFormat="1" applyFont="1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168" fontId="48" fillId="4" borderId="0" xfId="0" applyNumberFormat="1" applyFont="1" applyFill="1" applyAlignment="1">
      <alignment horizontal="center" vertical="center"/>
    </xf>
    <xf numFmtId="167" fontId="48" fillId="4" borderId="0" xfId="0" applyNumberFormat="1" applyFont="1" applyFill="1" applyAlignment="1">
      <alignment horizontal="center" vertical="center"/>
    </xf>
    <xf numFmtId="164" fontId="48" fillId="4" borderId="0" xfId="0" applyNumberFormat="1" applyFont="1" applyFill="1" applyAlignment="1">
      <alignment horizontal="center" vertical="center"/>
    </xf>
    <xf numFmtId="0" fontId="48" fillId="4" borderId="0" xfId="0" applyFont="1" applyFill="1" applyAlignment="1">
      <alignment horizontal="center" vertical="center"/>
    </xf>
    <xf numFmtId="10" fontId="48" fillId="4" borderId="0" xfId="0" applyNumberFormat="1" applyFont="1" applyFill="1" applyAlignment="1">
      <alignment horizontal="center" vertical="center"/>
    </xf>
    <xf numFmtId="10" fontId="0" fillId="4" borderId="0" xfId="0" applyNumberFormat="1" applyFill="1" applyAlignment="1">
      <alignment horizontal="center" vertical="center"/>
    </xf>
    <xf numFmtId="1" fontId="0" fillId="4" borderId="0" xfId="0" applyNumberFormat="1" applyFill="1" applyAlignment="1">
      <alignment horizontal="center" vertical="center"/>
    </xf>
    <xf numFmtId="164" fontId="0" fillId="4" borderId="0" xfId="0" applyNumberFormat="1" applyFill="1" applyAlignment="1">
      <alignment horizontal="center" vertical="center"/>
    </xf>
    <xf numFmtId="2" fontId="16" fillId="4" borderId="0" xfId="0" applyNumberFormat="1" applyFont="1" applyFill="1" applyAlignment="1">
      <alignment horizontal="center" vertical="center"/>
    </xf>
    <xf numFmtId="11" fontId="16" fillId="4" borderId="0" xfId="0" applyNumberFormat="1" applyFont="1" applyFill="1" applyAlignment="1">
      <alignment horizontal="center" vertical="center"/>
    </xf>
    <xf numFmtId="14" fontId="0" fillId="4" borderId="0" xfId="0" applyNumberForma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8" fillId="30" borderId="0" xfId="0" applyFont="1" applyFill="1" applyAlignment="1">
      <alignment horizontal="center" vertical="center"/>
    </xf>
    <xf numFmtId="0" fontId="4" fillId="30" borderId="0" xfId="0" applyFont="1" applyFill="1" applyAlignment="1">
      <alignment horizontal="center" vertical="center"/>
    </xf>
    <xf numFmtId="11" fontId="8" fillId="30" borderId="0" xfId="0" applyNumberFormat="1" applyFont="1" applyFill="1" applyAlignment="1">
      <alignment horizontal="center" vertical="center"/>
    </xf>
    <xf numFmtId="2" fontId="8" fillId="30" borderId="0" xfId="0" applyNumberFormat="1" applyFont="1" applyFill="1" applyAlignment="1">
      <alignment horizontal="center" vertical="center"/>
    </xf>
    <xf numFmtId="164" fontId="51" fillId="30" borderId="0" xfId="0" applyNumberFormat="1" applyFont="1" applyFill="1" applyAlignment="1">
      <alignment horizontal="center" vertical="center"/>
    </xf>
    <xf numFmtId="11" fontId="51" fillId="30" borderId="0" xfId="0" applyNumberFormat="1" applyFont="1" applyFill="1" applyAlignment="1">
      <alignment horizontal="center" vertical="center"/>
    </xf>
    <xf numFmtId="169" fontId="8" fillId="30" borderId="0" xfId="0" applyNumberFormat="1" applyFont="1" applyFill="1" applyAlignment="1">
      <alignment horizontal="center" vertical="center"/>
    </xf>
    <xf numFmtId="11" fontId="51" fillId="16" borderId="0" xfId="0" applyNumberFormat="1" applyFont="1" applyFill="1" applyAlignment="1">
      <alignment horizontal="center" vertical="center"/>
    </xf>
    <xf numFmtId="164" fontId="8" fillId="30" borderId="0" xfId="0" applyNumberFormat="1" applyFont="1" applyFill="1" applyAlignment="1">
      <alignment horizontal="center" vertical="center"/>
    </xf>
    <xf numFmtId="164" fontId="4" fillId="30" borderId="0" xfId="0" applyNumberFormat="1" applyFont="1" applyFill="1" applyAlignment="1">
      <alignment horizontal="center" vertical="center"/>
    </xf>
    <xf numFmtId="11" fontId="4" fillId="30" borderId="0" xfId="0" applyNumberFormat="1" applyFont="1" applyFill="1" applyAlignment="1">
      <alignment horizontal="center" vertical="center"/>
    </xf>
    <xf numFmtId="2" fontId="4" fillId="30" borderId="0" xfId="0" applyNumberFormat="1" applyFont="1" applyFill="1" applyAlignment="1">
      <alignment horizontal="center" vertical="center"/>
    </xf>
    <xf numFmtId="10" fontId="8" fillId="30" borderId="0" xfId="0" applyNumberFormat="1" applyFont="1" applyFill="1" applyAlignment="1">
      <alignment horizontal="center" vertical="center"/>
    </xf>
    <xf numFmtId="1" fontId="17" fillId="30" borderId="0" xfId="0" applyNumberFormat="1" applyFont="1" applyFill="1" applyAlignment="1">
      <alignment horizontal="center" vertical="center"/>
    </xf>
    <xf numFmtId="0" fontId="16" fillId="30" borderId="0" xfId="0" applyFont="1" applyFill="1" applyAlignment="1">
      <alignment horizontal="center" vertical="center"/>
    </xf>
    <xf numFmtId="0" fontId="8" fillId="30" borderId="0" xfId="0" applyFont="1" applyFill="1" applyAlignment="1">
      <alignment horizontal="center" vertical="center" wrapText="1"/>
    </xf>
    <xf numFmtId="11" fontId="16" fillId="30" borderId="0" xfId="0" applyNumberFormat="1" applyFont="1" applyFill="1" applyAlignment="1">
      <alignment horizontal="center" vertical="center"/>
    </xf>
    <xf numFmtId="1" fontId="8" fillId="30" borderId="0" xfId="0" applyNumberFormat="1" applyFont="1" applyFill="1" applyAlignment="1">
      <alignment horizontal="center" vertical="center"/>
    </xf>
    <xf numFmtId="14" fontId="8" fillId="30" borderId="0" xfId="0" applyNumberFormat="1" applyFont="1" applyFill="1" applyAlignment="1">
      <alignment horizontal="center" vertical="center"/>
    </xf>
    <xf numFmtId="0" fontId="8" fillId="36" borderId="0" xfId="0" applyFont="1" applyFill="1" applyAlignment="1">
      <alignment horizontal="center" vertical="center"/>
    </xf>
    <xf numFmtId="0" fontId="4" fillId="36" borderId="0" xfId="0" applyFont="1" applyFill="1" applyAlignment="1">
      <alignment horizontal="center" vertical="center"/>
    </xf>
    <xf numFmtId="11" fontId="8" fillId="36" borderId="0" xfId="0" applyNumberFormat="1" applyFont="1" applyFill="1" applyAlignment="1">
      <alignment horizontal="center" vertical="center"/>
    </xf>
    <xf numFmtId="2" fontId="8" fillId="36" borderId="0" xfId="0" applyNumberFormat="1" applyFont="1" applyFill="1" applyAlignment="1">
      <alignment horizontal="center" vertical="center"/>
    </xf>
    <xf numFmtId="164" fontId="51" fillId="36" borderId="0" xfId="0" applyNumberFormat="1" applyFont="1" applyFill="1" applyAlignment="1">
      <alignment horizontal="center" vertical="center"/>
    </xf>
    <xf numFmtId="11" fontId="51" fillId="36" borderId="0" xfId="0" applyNumberFormat="1" applyFont="1" applyFill="1" applyAlignment="1">
      <alignment horizontal="center" vertical="center"/>
    </xf>
    <xf numFmtId="169" fontId="8" fillId="36" borderId="0" xfId="0" applyNumberFormat="1" applyFont="1" applyFill="1" applyAlignment="1">
      <alignment horizontal="center" vertical="center"/>
    </xf>
    <xf numFmtId="164" fontId="8" fillId="36" borderId="0" xfId="0" applyNumberFormat="1" applyFont="1" applyFill="1" applyAlignment="1">
      <alignment horizontal="center" vertical="center"/>
    </xf>
    <xf numFmtId="10" fontId="8" fillId="36" borderId="0" xfId="0" applyNumberFormat="1" applyFont="1" applyFill="1" applyAlignment="1">
      <alignment horizontal="center" vertical="center"/>
    </xf>
    <xf numFmtId="1" fontId="17" fillId="36" borderId="0" xfId="0" applyNumberFormat="1" applyFont="1" applyFill="1" applyAlignment="1">
      <alignment horizontal="center" vertical="center"/>
    </xf>
    <xf numFmtId="164" fontId="16" fillId="36" borderId="0" xfId="0" applyNumberFormat="1" applyFont="1" applyFill="1" applyAlignment="1">
      <alignment horizontal="center" vertical="center"/>
    </xf>
    <xf numFmtId="0" fontId="8" fillId="36" borderId="0" xfId="0" applyFont="1" applyFill="1" applyAlignment="1">
      <alignment horizontal="center" vertical="center" wrapText="1"/>
    </xf>
    <xf numFmtId="11" fontId="16" fillId="36" borderId="0" xfId="0" applyNumberFormat="1" applyFont="1" applyFill="1" applyAlignment="1">
      <alignment horizontal="center" vertical="center"/>
    </xf>
    <xf numFmtId="1" fontId="8" fillId="36" borderId="0" xfId="0" applyNumberFormat="1" applyFont="1" applyFill="1" applyAlignment="1">
      <alignment horizontal="center" vertical="center"/>
    </xf>
    <xf numFmtId="14" fontId="8" fillId="36" borderId="0" xfId="0" applyNumberFormat="1" applyFont="1" applyFill="1" applyAlignment="1">
      <alignment horizontal="center" vertical="center"/>
    </xf>
    <xf numFmtId="0" fontId="16" fillId="36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11" fontId="51" fillId="6" borderId="0" xfId="0" applyNumberFormat="1" applyFont="1" applyFill="1" applyAlignment="1">
      <alignment horizontal="center" vertical="center"/>
    </xf>
    <xf numFmtId="11" fontId="8" fillId="6" borderId="0" xfId="0" applyNumberFormat="1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 wrapText="1"/>
    </xf>
    <xf numFmtId="11" fontId="8" fillId="6" borderId="0" xfId="0" applyNumberFormat="1" applyFont="1" applyFill="1" applyAlignment="1">
      <alignment horizontal="center" vertical="center" wrapText="1"/>
    </xf>
    <xf numFmtId="2" fontId="8" fillId="6" borderId="0" xfId="0" applyNumberFormat="1" applyFont="1" applyFill="1" applyAlignment="1">
      <alignment horizontal="center" vertical="center"/>
    </xf>
    <xf numFmtId="164" fontId="8" fillId="6" borderId="0" xfId="0" applyNumberFormat="1" applyFont="1" applyFill="1" applyAlignment="1">
      <alignment horizontal="center" vertical="center"/>
    </xf>
    <xf numFmtId="2" fontId="51" fillId="6" borderId="0" xfId="0" applyNumberFormat="1" applyFont="1" applyFill="1" applyAlignment="1">
      <alignment horizontal="center" vertical="center"/>
    </xf>
    <xf numFmtId="10" fontId="8" fillId="6" borderId="0" xfId="0" applyNumberFormat="1" applyFont="1" applyFill="1" applyAlignment="1">
      <alignment horizontal="center" vertical="center"/>
    </xf>
    <xf numFmtId="1" fontId="17" fillId="6" borderId="0" xfId="0" applyNumberFormat="1" applyFont="1" applyFill="1" applyAlignment="1">
      <alignment horizontal="center" vertical="center"/>
    </xf>
    <xf numFmtId="1" fontId="16" fillId="6" borderId="0" xfId="0" applyNumberFormat="1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11" fontId="16" fillId="6" borderId="0" xfId="0" applyNumberFormat="1" applyFont="1" applyFill="1" applyAlignment="1">
      <alignment horizontal="center" vertical="center"/>
    </xf>
    <xf numFmtId="1" fontId="8" fillId="6" borderId="0" xfId="0" applyNumberFormat="1" applyFont="1" applyFill="1" applyAlignment="1">
      <alignment horizontal="center" vertical="center"/>
    </xf>
    <xf numFmtId="14" fontId="8" fillId="6" borderId="0" xfId="0" applyNumberFormat="1" applyFont="1" applyFill="1" applyAlignment="1">
      <alignment horizontal="center" vertical="center"/>
    </xf>
    <xf numFmtId="0" fontId="16" fillId="6" borderId="0" xfId="0" applyFont="1" applyFill="1" applyAlignment="1">
      <alignment horizontal="center" vertical="center"/>
    </xf>
    <xf numFmtId="0" fontId="8" fillId="25" borderId="0" xfId="0" applyFont="1" applyFill="1" applyAlignment="1">
      <alignment horizontal="center" vertical="center"/>
    </xf>
    <xf numFmtId="11" fontId="51" fillId="25" borderId="0" xfId="0" applyNumberFormat="1" applyFont="1" applyFill="1" applyAlignment="1">
      <alignment horizontal="center" vertical="center"/>
    </xf>
    <xf numFmtId="11" fontId="8" fillId="25" borderId="0" xfId="0" applyNumberFormat="1" applyFont="1" applyFill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11" fontId="8" fillId="25" borderId="0" xfId="0" applyNumberFormat="1" applyFont="1" applyFill="1" applyAlignment="1">
      <alignment horizontal="center" vertical="center" wrapText="1"/>
    </xf>
    <xf numFmtId="2" fontId="8" fillId="25" borderId="0" xfId="0" applyNumberFormat="1" applyFont="1" applyFill="1" applyAlignment="1">
      <alignment horizontal="center" vertical="center"/>
    </xf>
    <xf numFmtId="164" fontId="8" fillId="25" borderId="0" xfId="0" applyNumberFormat="1" applyFont="1" applyFill="1" applyAlignment="1">
      <alignment horizontal="center" vertical="center"/>
    </xf>
    <xf numFmtId="2" fontId="51" fillId="25" borderId="0" xfId="0" applyNumberFormat="1" applyFont="1" applyFill="1" applyAlignment="1">
      <alignment horizontal="center" vertical="center"/>
    </xf>
    <xf numFmtId="10" fontId="8" fillId="25" borderId="0" xfId="0" applyNumberFormat="1" applyFont="1" applyFill="1" applyAlignment="1">
      <alignment horizontal="center" vertical="center"/>
    </xf>
    <xf numFmtId="1" fontId="17" fillId="25" borderId="0" xfId="0" applyNumberFormat="1" applyFont="1" applyFill="1" applyAlignment="1">
      <alignment horizontal="center" vertical="center"/>
    </xf>
    <xf numFmtId="1" fontId="16" fillId="25" borderId="0" xfId="0" applyNumberFormat="1" applyFont="1" applyFill="1" applyAlignment="1">
      <alignment horizontal="center" vertical="center"/>
    </xf>
    <xf numFmtId="0" fontId="4" fillId="25" borderId="0" xfId="0" applyFont="1" applyFill="1" applyAlignment="1">
      <alignment horizontal="center" vertical="center"/>
    </xf>
    <xf numFmtId="11" fontId="16" fillId="25" borderId="0" xfId="0" applyNumberFormat="1" applyFont="1" applyFill="1" applyAlignment="1">
      <alignment horizontal="center" vertical="center"/>
    </xf>
    <xf numFmtId="1" fontId="8" fillId="25" borderId="0" xfId="0" applyNumberFormat="1" applyFont="1" applyFill="1" applyAlignment="1">
      <alignment horizontal="center" vertical="center"/>
    </xf>
    <xf numFmtId="14" fontId="8" fillId="25" borderId="0" xfId="0" applyNumberFormat="1" applyFont="1" applyFill="1" applyAlignment="1">
      <alignment horizontal="center" vertical="center"/>
    </xf>
    <xf numFmtId="0" fontId="16" fillId="25" borderId="0" xfId="0" applyFont="1" applyFill="1" applyAlignment="1">
      <alignment horizontal="center" vertical="center"/>
    </xf>
    <xf numFmtId="11" fontId="8" fillId="16" borderId="0" xfId="0" applyNumberFormat="1" applyFont="1" applyFill="1" applyAlignment="1">
      <alignment horizontal="center" vertical="center"/>
    </xf>
    <xf numFmtId="11" fontId="35" fillId="16" borderId="0" xfId="0" applyNumberFormat="1" applyFont="1" applyFill="1" applyAlignment="1">
      <alignment horizontal="center" vertical="center"/>
    </xf>
    <xf numFmtId="0" fontId="8" fillId="16" borderId="0" xfId="0" applyFont="1" applyFill="1" applyAlignment="1">
      <alignment horizontal="center" vertical="center" wrapText="1"/>
    </xf>
    <xf numFmtId="1" fontId="8" fillId="16" borderId="0" xfId="0" applyNumberFormat="1" applyFont="1" applyFill="1" applyAlignment="1">
      <alignment horizontal="center" vertical="center"/>
    </xf>
    <xf numFmtId="11" fontId="8" fillId="16" borderId="0" xfId="0" applyNumberFormat="1" applyFont="1" applyFill="1" applyAlignment="1">
      <alignment horizontal="center" vertical="center" wrapText="1"/>
    </xf>
    <xf numFmtId="2" fontId="8" fillId="16" borderId="0" xfId="0" applyNumberFormat="1" applyFont="1" applyFill="1" applyAlignment="1">
      <alignment horizontal="center" vertical="center" wrapText="1"/>
    </xf>
    <xf numFmtId="164" fontId="8" fillId="16" borderId="0" xfId="0" applyNumberFormat="1" applyFont="1" applyFill="1" applyAlignment="1">
      <alignment horizontal="center" vertical="center"/>
    </xf>
    <xf numFmtId="2" fontId="8" fillId="16" borderId="0" xfId="0" applyNumberFormat="1" applyFont="1" applyFill="1" applyAlignment="1">
      <alignment horizontal="center" vertical="center"/>
    </xf>
    <xf numFmtId="2" fontId="51" fillId="16" borderId="0" xfId="0" applyNumberFormat="1" applyFont="1" applyFill="1" applyAlignment="1">
      <alignment horizontal="center" vertical="center"/>
    </xf>
    <xf numFmtId="10" fontId="8" fillId="16" borderId="0" xfId="0" applyNumberFormat="1" applyFont="1" applyFill="1" applyAlignment="1">
      <alignment horizontal="center" vertical="center"/>
    </xf>
    <xf numFmtId="2" fontId="35" fillId="16" borderId="0" xfId="0" applyNumberFormat="1" applyFont="1" applyFill="1" applyAlignment="1">
      <alignment horizontal="center" vertical="center"/>
    </xf>
    <xf numFmtId="10" fontId="35" fillId="16" borderId="0" xfId="0" applyNumberFormat="1" applyFont="1" applyFill="1" applyAlignment="1">
      <alignment horizontal="center" vertical="center"/>
    </xf>
    <xf numFmtId="1" fontId="17" fillId="16" borderId="0" xfId="0" applyNumberFormat="1" applyFont="1" applyFill="1" applyAlignment="1">
      <alignment horizontal="center" vertical="center"/>
    </xf>
    <xf numFmtId="0" fontId="16" fillId="16" borderId="0" xfId="0" applyFont="1" applyFill="1" applyAlignment="1">
      <alignment horizontal="center" vertical="center"/>
    </xf>
    <xf numFmtId="0" fontId="4" fillId="16" borderId="0" xfId="0" applyFont="1" applyFill="1" applyAlignment="1">
      <alignment horizontal="center" vertical="center"/>
    </xf>
    <xf numFmtId="11" fontId="16" fillId="16" borderId="0" xfId="0" applyNumberFormat="1" applyFont="1" applyFill="1" applyAlignment="1">
      <alignment horizontal="center" vertical="center"/>
    </xf>
    <xf numFmtId="14" fontId="8" fillId="16" borderId="0" xfId="0" applyNumberFormat="1" applyFont="1" applyFill="1" applyAlignment="1">
      <alignment horizontal="center" vertical="center"/>
    </xf>
    <xf numFmtId="0" fontId="0" fillId="35" borderId="0" xfId="0" applyFill="1" applyAlignment="1">
      <alignment horizontal="center" vertical="center" wrapText="1"/>
    </xf>
    <xf numFmtId="164" fontId="24" fillId="35" borderId="0" xfId="0" applyNumberFormat="1" applyFont="1" applyFill="1" applyAlignment="1">
      <alignment horizontal="center" vertical="center" wrapText="1"/>
    </xf>
    <xf numFmtId="10" fontId="24" fillId="35" borderId="0" xfId="0" applyNumberFormat="1" applyFont="1" applyFill="1" applyAlignment="1">
      <alignment horizontal="center" vertical="center" wrapText="1"/>
    </xf>
    <xf numFmtId="0" fontId="49" fillId="35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2" fontId="52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11" fontId="1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1" fontId="0" fillId="0" borderId="0" xfId="0" applyNumberFormat="1" applyAlignment="1">
      <alignment horizontal="center" vertical="center" wrapText="1"/>
    </xf>
    <xf numFmtId="11" fontId="51" fillId="0" borderId="0" xfId="0" applyNumberFormat="1" applyFont="1" applyAlignment="1">
      <alignment horizontal="center" vertical="center" wrapText="1"/>
    </xf>
    <xf numFmtId="2" fontId="56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1" fontId="48" fillId="0" borderId="0" xfId="0" applyNumberFormat="1" applyFont="1" applyAlignment="1">
      <alignment horizontal="center" vertical="center" wrapText="1"/>
    </xf>
    <xf numFmtId="2" fontId="16" fillId="0" borderId="0" xfId="0" applyNumberFormat="1" applyFont="1" applyAlignment="1">
      <alignment horizontal="center" vertical="center" wrapText="1"/>
    </xf>
    <xf numFmtId="10" fontId="16" fillId="0" borderId="0" xfId="0" applyNumberFormat="1" applyFont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 wrapText="1"/>
    </xf>
    <xf numFmtId="10" fontId="8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1" fontId="16" fillId="0" borderId="0" xfId="0" applyNumberFormat="1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0" fontId="1" fillId="13" borderId="0" xfId="0" applyFont="1" applyFill="1" applyAlignment="1">
      <alignment horizontal="center" vertical="center" wrapText="1"/>
    </xf>
    <xf numFmtId="11" fontId="1" fillId="13" borderId="0" xfId="0" applyNumberFormat="1" applyFont="1" applyFill="1" applyAlignment="1">
      <alignment horizontal="center" vertical="center" wrapText="1"/>
    </xf>
    <xf numFmtId="2" fontId="1" fillId="13" borderId="0" xfId="0" applyNumberFormat="1" applyFont="1" applyFill="1" applyAlignment="1">
      <alignment horizontal="center" vertical="center" wrapText="1"/>
    </xf>
    <xf numFmtId="2" fontId="48" fillId="6" borderId="0" xfId="0" applyNumberFormat="1" applyFont="1" applyFill="1" applyAlignment="1">
      <alignment horizontal="center" vertical="center" wrapText="1"/>
    </xf>
    <xf numFmtId="11" fontId="48" fillId="6" borderId="0" xfId="0" applyNumberFormat="1" applyFont="1" applyFill="1" applyAlignment="1">
      <alignment horizontal="center" vertical="center" wrapText="1"/>
    </xf>
    <xf numFmtId="2" fontId="48" fillId="25" borderId="0" xfId="0" applyNumberFormat="1" applyFont="1" applyFill="1" applyAlignment="1">
      <alignment horizontal="center" vertical="center" wrapText="1"/>
    </xf>
    <xf numFmtId="11" fontId="48" fillId="25" borderId="0" xfId="0" applyNumberFormat="1" applyFont="1" applyFill="1" applyAlignment="1">
      <alignment horizontal="center" vertical="center" wrapText="1"/>
    </xf>
    <xf numFmtId="0" fontId="48" fillId="16" borderId="0" xfId="0" applyFont="1" applyFill="1" applyAlignment="1">
      <alignment horizontal="center" vertical="center" wrapText="1"/>
    </xf>
    <xf numFmtId="2" fontId="58" fillId="38" borderId="0" xfId="0" applyNumberFormat="1" applyFont="1" applyFill="1" applyAlignment="1">
      <alignment horizontal="center" vertical="center" wrapText="1"/>
    </xf>
    <xf numFmtId="10" fontId="8" fillId="38" borderId="0" xfId="0" applyNumberFormat="1" applyFont="1" applyFill="1" applyAlignment="1">
      <alignment horizontal="center" vertical="center" wrapText="1"/>
    </xf>
    <xf numFmtId="0" fontId="8" fillId="38" borderId="0" xfId="0" applyFont="1" applyFill="1" applyAlignment="1">
      <alignment horizontal="center" vertical="center" wrapText="1"/>
    </xf>
    <xf numFmtId="2" fontId="58" fillId="37" borderId="0" xfId="0" applyNumberFormat="1" applyFont="1" applyFill="1" applyAlignment="1">
      <alignment horizontal="center" vertical="center" wrapText="1"/>
    </xf>
    <xf numFmtId="10" fontId="8" fillId="37" borderId="0" xfId="0" applyNumberFormat="1" applyFont="1" applyFill="1" applyAlignment="1">
      <alignment horizontal="center" vertical="center" wrapText="1"/>
    </xf>
    <xf numFmtId="0" fontId="8" fillId="37" borderId="0" xfId="0" applyFont="1" applyFill="1" applyAlignment="1">
      <alignment horizontal="center" vertical="center" wrapText="1"/>
    </xf>
    <xf numFmtId="0" fontId="25" fillId="39" borderId="0" xfId="0" applyFont="1" applyFill="1" applyAlignment="1">
      <alignment horizontal="center" vertical="center" wrapText="1"/>
    </xf>
    <xf numFmtId="0" fontId="0" fillId="39" borderId="0" xfId="0" applyFill="1" applyAlignment="1">
      <alignment horizontal="center" vertical="center" wrapText="1"/>
    </xf>
    <xf numFmtId="11" fontId="0" fillId="39" borderId="0" xfId="0" applyNumberFormat="1" applyFill="1" applyAlignment="1">
      <alignment horizontal="center" vertical="center" wrapText="1"/>
    </xf>
    <xf numFmtId="0" fontId="40" fillId="31" borderId="0" xfId="0" applyFont="1" applyFill="1" applyAlignment="1">
      <alignment horizontal="center" vertical="center" wrapText="1"/>
    </xf>
    <xf numFmtId="0" fontId="0" fillId="23" borderId="0" xfId="0" applyFill="1" applyAlignment="1">
      <alignment horizontal="center" vertical="center" wrapText="1"/>
    </xf>
    <xf numFmtId="0" fontId="0" fillId="23" borderId="0" xfId="0" applyFill="1" applyAlignment="1">
      <alignment horizontal="center" vertical="center"/>
    </xf>
    <xf numFmtId="0" fontId="4" fillId="23" borderId="0" xfId="0" applyFont="1" applyFill="1" applyAlignment="1">
      <alignment horizontal="center" vertical="center" wrapText="1"/>
    </xf>
    <xf numFmtId="0" fontId="8" fillId="33" borderId="0" xfId="0" applyFont="1" applyFill="1" applyAlignment="1">
      <alignment horizontal="center" vertical="center" wrapText="1"/>
    </xf>
    <xf numFmtId="0" fontId="0" fillId="33" borderId="0" xfId="0" applyFill="1" applyAlignment="1">
      <alignment horizontal="center" vertical="center" wrapText="1"/>
    </xf>
    <xf numFmtId="0" fontId="8" fillId="32" borderId="0" xfId="0" applyFont="1" applyFill="1" applyAlignment="1">
      <alignment horizontal="center" vertical="center" wrapText="1"/>
    </xf>
    <xf numFmtId="0" fontId="1" fillId="32" borderId="0" xfId="0" applyFont="1" applyFill="1" applyAlignment="1">
      <alignment horizontal="center" vertical="center" wrapText="1"/>
    </xf>
    <xf numFmtId="11" fontId="4" fillId="33" borderId="0" xfId="0" applyNumberFormat="1" applyFont="1" applyFill="1" applyAlignment="1">
      <alignment horizontal="center" vertical="center" wrapText="1"/>
    </xf>
    <xf numFmtId="0" fontId="4" fillId="32" borderId="0" xfId="0" applyFont="1" applyFill="1" applyAlignment="1">
      <alignment horizontal="center" vertical="center" wrapText="1"/>
    </xf>
    <xf numFmtId="11" fontId="16" fillId="33" borderId="0" xfId="0" applyNumberFormat="1" applyFont="1" applyFill="1" applyAlignment="1">
      <alignment horizontal="center" vertical="center" wrapText="1"/>
    </xf>
    <xf numFmtId="11" fontId="0" fillId="33" borderId="0" xfId="0" applyNumberFormat="1" applyFill="1" applyAlignment="1">
      <alignment horizontal="center" vertical="center" wrapText="1"/>
    </xf>
    <xf numFmtId="1" fontId="4" fillId="32" borderId="0" xfId="0" applyNumberFormat="1" applyFont="1" applyFill="1" applyAlignment="1">
      <alignment horizontal="center" vertical="center" wrapText="1"/>
    </xf>
    <xf numFmtId="0" fontId="56" fillId="40" borderId="0" xfId="0" applyFont="1" applyFill="1" applyAlignment="1">
      <alignment horizontal="center" vertical="center" wrapText="1"/>
    </xf>
    <xf numFmtId="2" fontId="42" fillId="17" borderId="0" xfId="0" applyNumberFormat="1" applyFont="1" applyFill="1" applyAlignment="1">
      <alignment horizontal="center" vertical="center"/>
    </xf>
    <xf numFmtId="11" fontId="42" fillId="17" borderId="0" xfId="0" applyNumberFormat="1" applyFont="1" applyFill="1" applyAlignment="1">
      <alignment horizontal="center" vertical="center"/>
    </xf>
    <xf numFmtId="0" fontId="53" fillId="17" borderId="0" xfId="0" applyFont="1" applyFill="1" applyAlignment="1">
      <alignment horizontal="center" vertical="center"/>
    </xf>
    <xf numFmtId="0" fontId="53" fillId="42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 wrapText="1"/>
    </xf>
    <xf numFmtId="2" fontId="2" fillId="11" borderId="0" xfId="0" applyNumberFormat="1" applyFont="1" applyFill="1"/>
    <xf numFmtId="2" fontId="3" fillId="11" borderId="0" xfId="0" applyNumberFormat="1" applyFont="1" applyFill="1"/>
    <xf numFmtId="2" fontId="3" fillId="11" borderId="2" xfId="0" applyNumberFormat="1" applyFont="1" applyFill="1" applyBorder="1"/>
    <xf numFmtId="2" fontId="0" fillId="11" borderId="0" xfId="0" applyNumberFormat="1" applyFill="1"/>
    <xf numFmtId="2" fontId="0" fillId="11" borderId="5" xfId="0" applyNumberFormat="1" applyFill="1" applyBorder="1"/>
    <xf numFmtId="2" fontId="0" fillId="11" borderId="2" xfId="0" applyNumberFormat="1" applyFill="1" applyBorder="1"/>
    <xf numFmtId="2" fontId="2" fillId="11" borderId="2" xfId="0" applyNumberFormat="1" applyFont="1" applyFill="1" applyBorder="1"/>
    <xf numFmtId="11" fontId="51" fillId="3" borderId="0" xfId="0" applyNumberFormat="1" applyFont="1" applyFill="1" applyAlignment="1">
      <alignment horizontal="center" vertical="center"/>
    </xf>
    <xf numFmtId="170" fontId="48" fillId="3" borderId="0" xfId="0" applyNumberFormat="1" applyFont="1" applyFill="1" applyAlignment="1">
      <alignment horizontal="center" vertical="center"/>
    </xf>
    <xf numFmtId="11" fontId="8" fillId="3" borderId="0" xfId="0" applyNumberFormat="1" applyFont="1" applyFill="1" applyAlignment="1">
      <alignment horizontal="center" vertical="center" wrapText="1"/>
    </xf>
    <xf numFmtId="11" fontId="8" fillId="36" borderId="0" xfId="0" applyNumberFormat="1" applyFont="1" applyFill="1" applyAlignment="1">
      <alignment horizontal="center" vertical="center" wrapText="1"/>
    </xf>
    <xf numFmtId="11" fontId="8" fillId="30" borderId="0" xfId="0" applyNumberFormat="1" applyFont="1" applyFill="1" applyAlignment="1">
      <alignment horizontal="center" vertical="center" wrapText="1"/>
    </xf>
    <xf numFmtId="11" fontId="51" fillId="4" borderId="0" xfId="0" applyNumberFormat="1" applyFont="1" applyFill="1" applyAlignment="1">
      <alignment horizontal="center" vertical="center"/>
    </xf>
    <xf numFmtId="11" fontId="8" fillId="4" borderId="0" xfId="0" applyNumberFormat="1" applyFont="1" applyFill="1" applyAlignment="1">
      <alignment horizontal="center" vertical="center" wrapText="1"/>
    </xf>
    <xf numFmtId="10" fontId="0" fillId="5" borderId="0" xfId="0" applyNumberFormat="1" applyFill="1" applyAlignment="1">
      <alignment horizontal="center" vertical="center"/>
    </xf>
    <xf numFmtId="11" fontId="51" fillId="5" borderId="0" xfId="0" applyNumberFormat="1" applyFont="1" applyFill="1" applyAlignment="1">
      <alignment horizontal="center" vertical="center"/>
    </xf>
    <xf numFmtId="11" fontId="8" fillId="5" borderId="0" xfId="0" applyNumberFormat="1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11" fontId="0" fillId="2" borderId="0" xfId="0" applyNumberFormat="1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11" fontId="16" fillId="2" borderId="0" xfId="0" applyNumberFormat="1" applyFont="1" applyFill="1" applyAlignment="1">
      <alignment horizontal="center" vertical="center"/>
    </xf>
    <xf numFmtId="2" fontId="16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164" fontId="0" fillId="2" borderId="0" xfId="0" applyNumberFormat="1" applyFill="1" applyAlignment="1">
      <alignment horizontal="center" vertical="center"/>
    </xf>
    <xf numFmtId="11" fontId="48" fillId="2" borderId="0" xfId="0" applyNumberFormat="1" applyFont="1" applyFill="1" applyAlignment="1">
      <alignment horizontal="center" vertical="center"/>
    </xf>
    <xf numFmtId="10" fontId="48" fillId="2" borderId="0" xfId="0" applyNumberFormat="1" applyFont="1" applyFill="1" applyAlignment="1">
      <alignment horizontal="center" vertical="center"/>
    </xf>
    <xf numFmtId="2" fontId="48" fillId="2" borderId="0" xfId="0" applyNumberFormat="1" applyFont="1" applyFill="1" applyAlignment="1">
      <alignment horizontal="center" vertical="center"/>
    </xf>
    <xf numFmtId="11" fontId="51" fillId="2" borderId="0" xfId="0" applyNumberFormat="1" applyFont="1" applyFill="1" applyAlignment="1">
      <alignment horizontal="center" vertical="center"/>
    </xf>
    <xf numFmtId="0" fontId="48" fillId="2" borderId="0" xfId="0" applyFont="1" applyFill="1" applyAlignment="1">
      <alignment horizontal="center" vertical="center"/>
    </xf>
    <xf numFmtId="164" fontId="48" fillId="2" borderId="0" xfId="0" applyNumberFormat="1" applyFont="1" applyFill="1" applyAlignment="1">
      <alignment horizontal="center" vertical="center"/>
    </xf>
    <xf numFmtId="167" fontId="48" fillId="2" borderId="0" xfId="0" applyNumberFormat="1" applyFont="1" applyFill="1" applyAlignment="1">
      <alignment horizontal="center" vertical="center"/>
    </xf>
    <xf numFmtId="168" fontId="48" fillId="2" borderId="0" xfId="0" applyNumberFormat="1" applyFont="1" applyFill="1" applyAlignment="1">
      <alignment horizontal="center" vertical="center"/>
    </xf>
    <xf numFmtId="11" fontId="8" fillId="2" borderId="0" xfId="0" applyNumberFormat="1" applyFont="1" applyFill="1" applyAlignment="1">
      <alignment horizontal="center" vertical="center" wrapText="1"/>
    </xf>
    <xf numFmtId="11" fontId="57" fillId="0" borderId="0" xfId="0" applyNumberFormat="1" applyFont="1" applyAlignment="1">
      <alignment horizontal="center" vertical="center" wrapText="1"/>
    </xf>
    <xf numFmtId="11" fontId="51" fillId="0" borderId="0" xfId="0" applyNumberFormat="1" applyFont="1" applyAlignment="1">
      <alignment horizontal="center" vertical="center"/>
    </xf>
    <xf numFmtId="164" fontId="51" fillId="0" borderId="0" xfId="0" applyNumberFormat="1" applyFont="1" applyAlignment="1">
      <alignment horizontal="center" vertical="center"/>
    </xf>
    <xf numFmtId="11" fontId="2" fillId="0" borderId="0" xfId="0" applyNumberFormat="1" applyFont="1" applyAlignment="1">
      <alignment horizontal="center" vertical="center"/>
    </xf>
    <xf numFmtId="0" fontId="0" fillId="13" borderId="0" xfId="0" applyFill="1" applyAlignment="1">
      <alignment horizontal="center" vertical="center" wrapText="1"/>
    </xf>
    <xf numFmtId="11" fontId="0" fillId="13" borderId="0" xfId="0" applyNumberFormat="1" applyFill="1" applyAlignment="1">
      <alignment horizontal="center" vertical="center" wrapText="1"/>
    </xf>
    <xf numFmtId="1" fontId="8" fillId="15" borderId="0" xfId="0" applyNumberFormat="1" applyFont="1" applyFill="1" applyAlignment="1">
      <alignment horizontal="center" vertical="center" wrapText="1"/>
    </xf>
    <xf numFmtId="1" fontId="8" fillId="23" borderId="0" xfId="0" applyNumberFormat="1" applyFont="1" applyFill="1" applyAlignment="1">
      <alignment horizontal="center" vertical="center" wrapText="1"/>
    </xf>
    <xf numFmtId="1" fontId="0" fillId="8" borderId="0" xfId="0" applyNumberFormat="1" applyFill="1" applyAlignment="1">
      <alignment horizontal="center" vertical="center" wrapText="1"/>
    </xf>
    <xf numFmtId="1" fontId="0" fillId="31" borderId="0" xfId="0" applyNumberFormat="1" applyFill="1" applyAlignment="1">
      <alignment horizontal="center" vertical="center" wrapText="1"/>
    </xf>
    <xf numFmtId="0" fontId="53" fillId="41" borderId="0" xfId="0" applyFont="1" applyFill="1" applyAlignment="1">
      <alignment horizontal="center" vertical="center"/>
    </xf>
    <xf numFmtId="0" fontId="53" fillId="42" borderId="0" xfId="0" applyFont="1" applyFill="1" applyAlignment="1">
      <alignment horizontal="center" vertical="center"/>
    </xf>
    <xf numFmtId="0" fontId="53" fillId="8" borderId="0" xfId="0" applyFont="1" applyFill="1" applyAlignment="1">
      <alignment horizontal="center" vertical="center"/>
    </xf>
    <xf numFmtId="0" fontId="42" fillId="32" borderId="0" xfId="0" applyFont="1" applyFill="1" applyAlignment="1">
      <alignment horizontal="center" vertical="center"/>
    </xf>
    <xf numFmtId="0" fontId="53" fillId="7" borderId="0" xfId="0" applyFont="1" applyFill="1" applyAlignment="1">
      <alignment horizontal="center" vertical="center"/>
    </xf>
    <xf numFmtId="0" fontId="21" fillId="27" borderId="9" xfId="0" applyFont="1" applyFill="1" applyBorder="1" applyAlignment="1">
      <alignment horizontal="center" vertical="center"/>
    </xf>
    <xf numFmtId="0" fontId="21" fillId="27" borderId="10" xfId="0" applyFont="1" applyFill="1" applyBorder="1" applyAlignment="1">
      <alignment horizontal="center" vertical="center"/>
    </xf>
    <xf numFmtId="0" fontId="1" fillId="13" borderId="12" xfId="0" applyFont="1" applyFill="1" applyBorder="1" applyAlignment="1">
      <alignment horizontal="center" vertical="center"/>
    </xf>
    <xf numFmtId="0" fontId="0" fillId="24" borderId="9" xfId="0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0" fontId="0" fillId="24" borderId="11" xfId="0" applyFill="1" applyBorder="1" applyAlignment="1">
      <alignment horizontal="center" vertical="center"/>
    </xf>
    <xf numFmtId="0" fontId="1" fillId="16" borderId="3" xfId="0" applyFont="1" applyFill="1" applyBorder="1" applyAlignment="1">
      <alignment horizontal="center" vertical="center"/>
    </xf>
    <xf numFmtId="0" fontId="1" fillId="16" borderId="0" xfId="0" applyFont="1" applyFill="1" applyAlignment="1">
      <alignment horizontal="center" vertical="center"/>
    </xf>
    <xf numFmtId="0" fontId="1" fillId="16" borderId="4" xfId="0" applyFont="1" applyFill="1" applyBorder="1" applyAlignment="1">
      <alignment horizontal="center" vertical="center"/>
    </xf>
    <xf numFmtId="0" fontId="1" fillId="16" borderId="5" xfId="0" applyFont="1" applyFill="1" applyBorder="1" applyAlignment="1">
      <alignment horizontal="center" vertical="center"/>
    </xf>
    <xf numFmtId="0" fontId="1" fillId="15" borderId="12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5" borderId="12" xfId="0" applyFill="1" applyBorder="1" applyAlignment="1">
      <alignment horizontal="center" vertical="center" wrapText="1"/>
    </xf>
    <xf numFmtId="0" fontId="8" fillId="19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" fillId="5" borderId="9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7" borderId="10" xfId="0" applyFont="1" applyFill="1" applyBorder="1" applyAlignment="1">
      <alignment horizontal="center"/>
    </xf>
    <xf numFmtId="0" fontId="1" fillId="8" borderId="9" xfId="0" applyFont="1" applyFill="1" applyBorder="1" applyAlignment="1">
      <alignment horizontal="center"/>
    </xf>
    <xf numFmtId="0" fontId="1" fillId="8" borderId="10" xfId="0" applyFont="1" applyFill="1" applyBorder="1" applyAlignment="1">
      <alignment horizontal="center"/>
    </xf>
    <xf numFmtId="0" fontId="1" fillId="8" borderId="11" xfId="0" applyFont="1" applyFill="1" applyBorder="1" applyAlignment="1">
      <alignment horizontal="center"/>
    </xf>
    <xf numFmtId="0" fontId="1" fillId="17" borderId="9" xfId="0" applyFont="1" applyFill="1" applyBorder="1" applyAlignment="1">
      <alignment horizontal="center"/>
    </xf>
    <xf numFmtId="0" fontId="1" fillId="17" borderId="10" xfId="0" applyFont="1" applyFill="1" applyBorder="1" applyAlignment="1">
      <alignment horizontal="center"/>
    </xf>
    <xf numFmtId="0" fontId="1" fillId="17" borderId="11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0" fillId="6" borderId="6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 wrapText="1"/>
    </xf>
    <xf numFmtId="0" fontId="0" fillId="8" borderId="7" xfId="0" applyFill="1" applyBorder="1" applyAlignment="1">
      <alignment horizontal="center" vertical="center" wrapText="1"/>
    </xf>
    <xf numFmtId="0" fontId="0" fillId="8" borderId="8" xfId="0" applyFill="1" applyBorder="1" applyAlignment="1">
      <alignment horizontal="center" vertical="center" wrapText="1"/>
    </xf>
    <xf numFmtId="0" fontId="61" fillId="15" borderId="21" xfId="0" applyFont="1" applyFill="1" applyBorder="1" applyAlignment="1">
      <alignment horizontal="left" vertical="center"/>
    </xf>
    <xf numFmtId="0" fontId="61" fillId="15" borderId="0" xfId="0" applyFont="1" applyFill="1" applyAlignment="1">
      <alignment horizontal="left" vertical="center"/>
    </xf>
    <xf numFmtId="0" fontId="0" fillId="23" borderId="12" xfId="0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8" fillId="15" borderId="12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15" borderId="0" xfId="0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8" fillId="26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" fillId="28" borderId="0" xfId="0" applyFont="1" applyFill="1" applyAlignment="1">
      <alignment horizontal="center"/>
    </xf>
    <xf numFmtId="0" fontId="12" fillId="15" borderId="18" xfId="0" applyFont="1" applyFill="1" applyBorder="1" applyAlignment="1">
      <alignment horizontal="left" vertical="center"/>
    </xf>
    <xf numFmtId="0" fontId="12" fillId="15" borderId="19" xfId="0" applyFont="1" applyFill="1" applyBorder="1" applyAlignment="1">
      <alignment horizontal="left" vertical="center"/>
    </xf>
    <xf numFmtId="0" fontId="12" fillId="15" borderId="20" xfId="0" applyFont="1" applyFill="1" applyBorder="1" applyAlignment="1">
      <alignment horizontal="left" vertical="center"/>
    </xf>
    <xf numFmtId="0" fontId="12" fillId="15" borderId="15" xfId="0" applyFont="1" applyFill="1" applyBorder="1" applyAlignment="1">
      <alignment horizontal="left" vertical="center"/>
    </xf>
    <xf numFmtId="0" fontId="12" fillId="15" borderId="16" xfId="0" applyFont="1" applyFill="1" applyBorder="1" applyAlignment="1">
      <alignment horizontal="left" vertical="center"/>
    </xf>
    <xf numFmtId="0" fontId="12" fillId="15" borderId="17" xfId="0" applyFont="1" applyFill="1" applyBorder="1" applyAlignment="1">
      <alignment horizontal="left" vertical="center"/>
    </xf>
    <xf numFmtId="0" fontId="0" fillId="8" borderId="12" xfId="0" applyFill="1" applyBorder="1" applyAlignment="1">
      <alignment horizontal="center" vertical="center" wrapText="1"/>
    </xf>
    <xf numFmtId="0" fontId="1" fillId="8" borderId="15" xfId="0" applyFont="1" applyFill="1" applyBorder="1" applyAlignment="1">
      <alignment horizontal="center"/>
    </xf>
    <xf numFmtId="0" fontId="1" fillId="8" borderId="16" xfId="0" applyFont="1" applyFill="1" applyBorder="1" applyAlignment="1">
      <alignment horizontal="center"/>
    </xf>
    <xf numFmtId="0" fontId="1" fillId="8" borderId="17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/>
    </xf>
    <xf numFmtId="0" fontId="1" fillId="7" borderId="16" xfId="0" applyFont="1" applyFill="1" applyBorder="1" applyAlignment="1">
      <alignment horizontal="center"/>
    </xf>
    <xf numFmtId="0" fontId="0" fillId="21" borderId="12" xfId="0" applyFill="1" applyBorder="1" applyAlignment="1">
      <alignment horizontal="center" vertical="center" wrapText="1"/>
    </xf>
    <xf numFmtId="0" fontId="12" fillId="12" borderId="9" xfId="0" applyFont="1" applyFill="1" applyBorder="1" applyAlignment="1">
      <alignment horizontal="left" vertical="center"/>
    </xf>
    <xf numFmtId="0" fontId="12" fillId="12" borderId="10" xfId="0" applyFont="1" applyFill="1" applyBorder="1" applyAlignment="1">
      <alignment horizontal="left" vertical="center"/>
    </xf>
    <xf numFmtId="0" fontId="12" fillId="12" borderId="11" xfId="0" applyFont="1" applyFill="1" applyBorder="1" applyAlignment="1">
      <alignment horizontal="left" vertical="center"/>
    </xf>
    <xf numFmtId="0" fontId="8" fillId="11" borderId="12" xfId="0" applyFont="1" applyFill="1" applyBorder="1" applyAlignment="1">
      <alignment horizontal="center" vertical="center"/>
    </xf>
    <xf numFmtId="0" fontId="0" fillId="12" borderId="12" xfId="0" applyFill="1" applyBorder="1" applyAlignment="1">
      <alignment horizontal="center" vertical="center"/>
    </xf>
    <xf numFmtId="0" fontId="47" fillId="25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22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44" fillId="11" borderId="3" xfId="0" applyFont="1" applyFill="1" applyBorder="1" applyAlignment="1">
      <alignment horizontal="center" vertical="center"/>
    </xf>
    <xf numFmtId="0" fontId="44" fillId="11" borderId="0" xfId="0" applyFont="1" applyFill="1" applyAlignment="1">
      <alignment horizontal="center" vertical="center"/>
    </xf>
    <xf numFmtId="0" fontId="43" fillId="21" borderId="23" xfId="0" applyFont="1" applyFill="1" applyBorder="1" applyAlignment="1">
      <alignment horizontal="center" vertical="center"/>
    </xf>
    <xf numFmtId="0" fontId="43" fillId="21" borderId="24" xfId="0" applyFont="1" applyFill="1" applyBorder="1" applyAlignment="1">
      <alignment horizontal="center" vertical="center"/>
    </xf>
    <xf numFmtId="0" fontId="43" fillId="21" borderId="14" xfId="0" applyFont="1" applyFill="1" applyBorder="1" applyAlignment="1">
      <alignment horizontal="center" vertical="center"/>
    </xf>
    <xf numFmtId="0" fontId="43" fillId="21" borderId="4" xfId="0" applyFont="1" applyFill="1" applyBorder="1" applyAlignment="1">
      <alignment horizontal="center" vertical="center"/>
    </xf>
    <xf numFmtId="0" fontId="43" fillId="21" borderId="5" xfId="0" applyFont="1" applyFill="1" applyBorder="1" applyAlignment="1">
      <alignment horizontal="center" vertical="center"/>
    </xf>
    <xf numFmtId="0" fontId="43" fillId="21" borderId="13" xfId="0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 textRotation="90"/>
    </xf>
    <xf numFmtId="0" fontId="33" fillId="11" borderId="0" xfId="0" applyFont="1" applyFill="1" applyAlignment="1">
      <alignment horizontal="center" vertical="center" textRotation="90"/>
    </xf>
    <xf numFmtId="49" fontId="1" fillId="3" borderId="0" xfId="0" applyNumberFormat="1" applyFont="1" applyFill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µmax ambr stbr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047003499562555E-2"/>
          <c:y val="0.17634259259259263"/>
          <c:w val="0.87630774278215218"/>
          <c:h val="0.77736111111111106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'µmax ambr vs spf'!$B$2:$C$2</c:f>
              <c:numCache>
                <c:formatCode>General</c:formatCode>
                <c:ptCount val="2"/>
                <c:pt idx="0">
                  <c:v>24</c:v>
                </c:pt>
                <c:pt idx="1">
                  <c:v>48</c:v>
                </c:pt>
              </c:numCache>
            </c:numRef>
          </c:xVal>
          <c:yVal>
            <c:numRef>
              <c:f>'µmax ambr vs spf'!$B$3:$C$3</c:f>
              <c:numCache>
                <c:formatCode>General</c:formatCode>
                <c:ptCount val="2"/>
                <c:pt idx="0">
                  <c:v>0.37283988079208785</c:v>
                </c:pt>
                <c:pt idx="1">
                  <c:v>-1.9447134935521776E-2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56-4F0D-8737-D1EEB009CCEB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0.20883923884514435"/>
                  <c:y val="6.9722222222222227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chemeClr val="accent2"/>
                        </a:solidFill>
                      </a:rPr>
                      <a:t>y = 0,0074x - 0,2534</a:t>
                    </a:r>
                    <a:endParaRPr lang="en-US">
                      <a:solidFill>
                        <a:schemeClr val="accent2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'µmax ambr vs spf'!$B$2:$C$2</c:f>
              <c:numCache>
                <c:formatCode>General</c:formatCode>
                <c:ptCount val="2"/>
                <c:pt idx="0">
                  <c:v>24</c:v>
                </c:pt>
                <c:pt idx="1">
                  <c:v>48</c:v>
                </c:pt>
              </c:numCache>
            </c:numRef>
          </c:xVal>
          <c:yVal>
            <c:numRef>
              <c:f>'µmax ambr vs spf'!$B$4:$C$4</c:f>
              <c:numCache>
                <c:formatCode>General</c:formatCode>
                <c:ptCount val="2"/>
                <c:pt idx="0">
                  <c:v>-7.5362319772431366E-2</c:v>
                </c:pt>
                <c:pt idx="1">
                  <c:v>0.10269028710194739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56-4F0D-8737-D1EEB009CCEB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'µmax ambr vs spf'!$B$2:$C$2</c:f>
              <c:numCache>
                <c:formatCode>General</c:formatCode>
                <c:ptCount val="2"/>
                <c:pt idx="0">
                  <c:v>24</c:v>
                </c:pt>
                <c:pt idx="1">
                  <c:v>48</c:v>
                </c:pt>
              </c:numCache>
            </c:numRef>
          </c:xVal>
          <c:yVal>
            <c:numRef>
              <c:f>'µmax ambr vs spf'!$B$5:$C$5</c:f>
              <c:numCache>
                <c:formatCode>General</c:formatCode>
                <c:ptCount val="2"/>
                <c:pt idx="0">
                  <c:v>-9.1465727339010372E-2</c:v>
                </c:pt>
                <c:pt idx="1">
                  <c:v>-0.13798574297390295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56-4F0D-8737-D1EEB009CCEB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'µmax ambr vs spf'!$B$2:$C$2</c:f>
              <c:numCache>
                <c:formatCode>General</c:formatCode>
                <c:ptCount val="2"/>
                <c:pt idx="0">
                  <c:v>24</c:v>
                </c:pt>
                <c:pt idx="1">
                  <c:v>48</c:v>
                </c:pt>
              </c:numCache>
            </c:numRef>
          </c:xVal>
          <c:yVal>
            <c:numRef>
              <c:f>'µmax ambr vs spf'!$B$6:$C$6</c:f>
              <c:numCache>
                <c:formatCode>General</c:formatCode>
                <c:ptCount val="2"/>
                <c:pt idx="0">
                  <c:v>5.3365220539446E-2</c:v>
                </c:pt>
                <c:pt idx="1">
                  <c:v>-0.13798574297390295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A56-4F0D-8737-D1EEB009CCEB}"/>
            </c:ext>
          </c:extLst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'µmax ambr vs spf'!$B$2:$C$2</c:f>
              <c:numCache>
                <c:formatCode>General</c:formatCode>
                <c:ptCount val="2"/>
                <c:pt idx="0">
                  <c:v>24</c:v>
                </c:pt>
                <c:pt idx="1">
                  <c:v>48</c:v>
                </c:pt>
              </c:numCache>
            </c:numRef>
          </c:xVal>
          <c:yVal>
            <c:numRef>
              <c:f>'µmax ambr vs spf'!$B$7:$C$7</c:f>
              <c:numCache>
                <c:formatCode>General</c:formatCode>
                <c:ptCount val="2"/>
                <c:pt idx="0">
                  <c:v>8.379633774198593E-2</c:v>
                </c:pt>
                <c:pt idx="1">
                  <c:v>2.1978906718775167E-2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A56-4F0D-8737-D1EEB009CCEB}"/>
            </c:ext>
          </c:extLst>
        </c:ser>
        <c:ser>
          <c:idx val="5"/>
          <c:order val="5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8.9150481189851263E-2"/>
                  <c:y val="-6.2853966170895309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chemeClr val="accent6">
                            <a:lumMod val="75000"/>
                          </a:schemeClr>
                        </a:solidFill>
                      </a:rPr>
                      <a:t>y = 0,0067x - 0,1774</a:t>
                    </a:r>
                    <a:endParaRPr lang="en-US">
                      <a:solidFill>
                        <a:schemeClr val="accent6">
                          <a:lumMod val="75000"/>
                        </a:schemeClr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'µmax ambr vs spf'!$B$2:$C$2</c:f>
              <c:numCache>
                <c:formatCode>General</c:formatCode>
                <c:ptCount val="2"/>
                <c:pt idx="0">
                  <c:v>24</c:v>
                </c:pt>
                <c:pt idx="1">
                  <c:v>48</c:v>
                </c:pt>
              </c:numCache>
            </c:numRef>
          </c:xVal>
          <c:yVal>
            <c:numRef>
              <c:f>'µmax ambr vs spf'!$B$8:$C$8</c:f>
              <c:numCache>
                <c:formatCode>General</c:formatCode>
                <c:ptCount val="2"/>
                <c:pt idx="0">
                  <c:v>-1.6430541396096152E-2</c:v>
                </c:pt>
                <c:pt idx="1">
                  <c:v>0.14458122881110749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A56-4F0D-8737-D1EEB009CCEB}"/>
            </c:ext>
          </c:extLst>
        </c:ser>
        <c:ser>
          <c:idx val="6"/>
          <c:order val="6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24973840769903763"/>
                  <c:y val="6.0651428988043161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rgbClr val="002060"/>
                        </a:solidFill>
                      </a:rPr>
                      <a:t>y = 0,0042x - 0,0024</a:t>
                    </a:r>
                    <a:endParaRPr lang="en-US">
                      <a:solidFill>
                        <a:srgbClr val="002060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'µmax ambr vs spf'!$B$2:$C$2</c:f>
              <c:numCache>
                <c:formatCode>General</c:formatCode>
                <c:ptCount val="2"/>
                <c:pt idx="0">
                  <c:v>24</c:v>
                </c:pt>
                <c:pt idx="1">
                  <c:v>48</c:v>
                </c:pt>
              </c:numCache>
            </c:numRef>
          </c:xVal>
          <c:yVal>
            <c:numRef>
              <c:f>'µmax ambr vs spf'!$B$9:$C$9</c:f>
              <c:numCache>
                <c:formatCode>General</c:formatCode>
                <c:ptCount val="2"/>
                <c:pt idx="0">
                  <c:v>9.7328343960561836E-2</c:v>
                </c:pt>
                <c:pt idx="1">
                  <c:v>0.19702770418364995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A56-4F0D-8737-D1EEB009CCEB}"/>
            </c:ext>
          </c:extLst>
        </c:ser>
        <c:ser>
          <c:idx val="7"/>
          <c:order val="7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'µmax ambr vs spf'!$B$2:$C$2</c:f>
              <c:numCache>
                <c:formatCode>General</c:formatCode>
                <c:ptCount val="2"/>
                <c:pt idx="0">
                  <c:v>24</c:v>
                </c:pt>
                <c:pt idx="1">
                  <c:v>48</c:v>
                </c:pt>
              </c:numCache>
            </c:numRef>
          </c:xVal>
          <c:yVal>
            <c:numRef>
              <c:f>'µmax ambr vs spf'!$B$10:$C$10</c:f>
              <c:numCache>
                <c:formatCode>General</c:formatCode>
                <c:ptCount val="2"/>
                <c:pt idx="0">
                  <c:v>0.18724767513001023</c:v>
                </c:pt>
                <c:pt idx="1">
                  <c:v>0.16989903679539742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A56-4F0D-8737-D1EEB009C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566879"/>
        <c:axId val="95567295"/>
      </c:scatterChart>
      <c:valAx>
        <c:axId val="955668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567295"/>
        <c:crosses val="autoZero"/>
        <c:crossBetween val="midCat"/>
      </c:valAx>
      <c:valAx>
        <c:axId val="955672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5668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cell = f(glutamine)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('0.5L SpF production'!$AP$13,'0.5L SpF production'!$AP$17,'0.5L SpF production'!$AP$27)</c:f>
              <c:numCache>
                <c:formatCode>0.00</c:formatCode>
                <c:ptCount val="3"/>
                <c:pt idx="0">
                  <c:v>0.75911000000000017</c:v>
                </c:pt>
                <c:pt idx="1">
                  <c:v>1.5265300000000002</c:v>
                </c:pt>
                <c:pt idx="2" formatCode="General">
                  <c:v>0.2505799999999998</c:v>
                </c:pt>
              </c:numCache>
            </c:numRef>
          </c:xVal>
          <c:yVal>
            <c:numRef>
              <c:f>('0.5L SpF production'!$C$13,'0.5L SpF production'!$C$17,'0.5L SpF production'!$C$27)</c:f>
              <c:numCache>
                <c:formatCode>0.00E+00</c:formatCode>
                <c:ptCount val="3"/>
                <c:pt idx="0">
                  <c:v>0</c:v>
                </c:pt>
                <c:pt idx="1">
                  <c:v>28000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139-44CF-A0D6-13D913BD827B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('0.5L SpF production'!$AP$14,'0.5L SpF production'!$AP$18,'0.5L SpF production'!$AP$28)</c:f>
              <c:numCache>
                <c:formatCode>0.00</c:formatCode>
                <c:ptCount val="3"/>
                <c:pt idx="0">
                  <c:v>0.5625</c:v>
                </c:pt>
                <c:pt idx="1">
                  <c:v>1.1771700000000003</c:v>
                </c:pt>
                <c:pt idx="2" formatCode="General">
                  <c:v>1.0765500000000001</c:v>
                </c:pt>
              </c:numCache>
            </c:numRef>
          </c:xVal>
          <c:yVal>
            <c:numRef>
              <c:f>('0.5L SpF production'!$C$14,'0.5L SpF production'!$C$18,'0.5L SpF production'!$C$28)</c:f>
              <c:numCache>
                <c:formatCode>0.00E+00</c:formatCode>
                <c:ptCount val="3"/>
                <c:pt idx="0">
                  <c:v>34666.666666666628</c:v>
                </c:pt>
                <c:pt idx="1">
                  <c:v>103000</c:v>
                </c:pt>
                <c:pt idx="2">
                  <c:v>4000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139-44CF-A0D6-13D913BD827B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('0.5L SpF production'!$AP$15,'0.5L SpF production'!$AP$19,'0.5L SpF production'!$AP$29)</c:f>
              <c:numCache>
                <c:formatCode>0.00</c:formatCode>
                <c:ptCount val="3"/>
                <c:pt idx="0">
                  <c:v>0.54444000000000026</c:v>
                </c:pt>
                <c:pt idx="1">
                  <c:v>1.2803400000000003</c:v>
                </c:pt>
                <c:pt idx="2" formatCode="General">
                  <c:v>0.7146899999999996</c:v>
                </c:pt>
              </c:numCache>
            </c:numRef>
          </c:xVal>
          <c:yVal>
            <c:numRef>
              <c:f>('0.5L SpF production'!$C$15,'0.5L SpF production'!$C$19,'0.5L SpF production'!$C$29)</c:f>
              <c:numCache>
                <c:formatCode>0.00E+00</c:formatCode>
                <c:ptCount val="3"/>
                <c:pt idx="0">
                  <c:v>86000</c:v>
                </c:pt>
                <c:pt idx="1">
                  <c:v>163333.33333333331</c:v>
                </c:pt>
                <c:pt idx="2">
                  <c:v>57333.333333333372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139-44CF-A0D6-13D913BD827B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0.12072878390201225"/>
                  <c:y val="0.1307739136774569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('0.5L SpF production'!$AP$16,'0.5L SpF production'!$AP$20,'0.5L SpF production'!$AP$30)</c:f>
              <c:numCache>
                <c:formatCode>0.00</c:formatCode>
                <c:ptCount val="3"/>
                <c:pt idx="0">
                  <c:v>0.4321299999999999</c:v>
                </c:pt>
                <c:pt idx="1">
                  <c:v>1.4031799999999999</c:v>
                </c:pt>
                <c:pt idx="2" formatCode="General">
                  <c:v>0.76325000000000021</c:v>
                </c:pt>
              </c:numCache>
            </c:numRef>
          </c:xVal>
          <c:yVal>
            <c:numRef>
              <c:f>('0.5L SpF production'!$C$16,'0.5L SpF production'!$C$20,'0.5L SpF production'!$C$30)</c:f>
              <c:numCache>
                <c:formatCode>0.00E+00</c:formatCode>
                <c:ptCount val="3"/>
                <c:pt idx="0">
                  <c:v>137333.33333333331</c:v>
                </c:pt>
                <c:pt idx="1">
                  <c:v>166666.66666666663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139-44CF-A0D6-13D913BD8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3660143"/>
        <c:axId val="1783660559"/>
      </c:scatterChart>
      <c:valAx>
        <c:axId val="17836601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3660559"/>
        <c:crosses val="autoZero"/>
        <c:crossBetween val="midCat"/>
      </c:valAx>
      <c:valAx>
        <c:axId val="1783660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366014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15D_7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rgbClr val="0070C0"/>
                        </a:solidFill>
                      </a:rPr>
                      <a:t>y = 0,0029x + 0,2336</a:t>
                    </a:r>
                    <a:endParaRPr lang="en-US">
                      <a:solidFill>
                        <a:srgbClr val="0070C0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'µmax &amp;PDT SpF w or wo FBS'!$C$5:$C$6</c:f>
              <c:numCache>
                <c:formatCode>General</c:formatCode>
                <c:ptCount val="2"/>
                <c:pt idx="0">
                  <c:v>24</c:v>
                </c:pt>
                <c:pt idx="1">
                  <c:v>48</c:v>
                </c:pt>
              </c:numCache>
            </c:numRef>
          </c:xVal>
          <c:yVal>
            <c:numRef>
              <c:f>'µmax &amp;PDT SpF w or wo FBS'!$D$5:$D$6</c:f>
              <c:numCache>
                <c:formatCode>0.00</c:formatCode>
                <c:ptCount val="2"/>
                <c:pt idx="0">
                  <c:v>0.30311788058162026</c:v>
                </c:pt>
                <c:pt idx="1">
                  <c:v>0.37263577833194472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98-44A7-953F-130DE7C87D38}"/>
            </c:ext>
          </c:extLst>
        </c:ser>
        <c:ser>
          <c:idx val="1"/>
          <c:order val="1"/>
          <c:tx>
            <c:v>15E_7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7.1716316710411204E-2"/>
                  <c:y val="0.2086960484106153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chemeClr val="accent2"/>
                        </a:solidFill>
                      </a:rPr>
                      <a:t>y = 0,0159x - 0,3946</a:t>
                    </a:r>
                    <a:endParaRPr lang="en-US">
                      <a:solidFill>
                        <a:schemeClr val="accent2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'µmax &amp;PDT SpF w or wo FBS'!$C$8:$C$9</c:f>
              <c:numCache>
                <c:formatCode>General</c:formatCode>
                <c:ptCount val="2"/>
                <c:pt idx="0">
                  <c:v>24</c:v>
                </c:pt>
                <c:pt idx="1">
                  <c:v>48</c:v>
                </c:pt>
              </c:numCache>
            </c:numRef>
          </c:xVal>
          <c:yVal>
            <c:numRef>
              <c:f>'µmax &amp;PDT SpF w or wo FBS'!$D$8:$D$9</c:f>
              <c:numCache>
                <c:formatCode>0.00</c:formatCode>
                <c:ptCount val="2"/>
                <c:pt idx="0">
                  <c:v>-1.3423020332140661E-2</c:v>
                </c:pt>
                <c:pt idx="1">
                  <c:v>0.36772478012531734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98-44A7-953F-130DE7C87D38}"/>
            </c:ext>
          </c:extLst>
        </c:ser>
        <c:ser>
          <c:idx val="2"/>
          <c:order val="2"/>
          <c:tx>
            <c:v>15E_8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2177163167104112"/>
                  <c:y val="0.4233038057742782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'µmax &amp;PDT SpF w or wo FBS'!$C$11:$C$12</c:f>
              <c:numCache>
                <c:formatCode>General</c:formatCode>
                <c:ptCount val="2"/>
                <c:pt idx="0">
                  <c:v>24</c:v>
                </c:pt>
                <c:pt idx="1">
                  <c:v>48</c:v>
                </c:pt>
              </c:numCache>
            </c:numRef>
          </c:xVal>
          <c:yVal>
            <c:numRef>
              <c:f>'µmax &amp;PDT SpF w or wo FBS'!$D$11:$D$12</c:f>
              <c:numCache>
                <c:formatCode>0.00</c:formatCode>
                <c:ptCount val="2"/>
                <c:pt idx="0">
                  <c:v>9.7328343960561836E-2</c:v>
                </c:pt>
                <c:pt idx="1">
                  <c:v>0.40989970517603008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998-44A7-953F-130DE7C87D38}"/>
            </c:ext>
          </c:extLst>
        </c:ser>
        <c:ser>
          <c:idx val="3"/>
          <c:order val="3"/>
          <c:tx>
            <c:v>15F_7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rgbClr val="FFC000"/>
                        </a:solidFill>
                      </a:rPr>
                      <a:t>y = 0,0154x - 0,2495</a:t>
                    </a:r>
                    <a:endParaRPr lang="en-US">
                      <a:solidFill>
                        <a:srgbClr val="FFC000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'µmax &amp;PDT SpF w or wo FBS'!$C$14:$C$15</c:f>
              <c:numCache>
                <c:formatCode>General</c:formatCode>
                <c:ptCount val="2"/>
                <c:pt idx="0">
                  <c:v>24</c:v>
                </c:pt>
                <c:pt idx="1">
                  <c:v>48</c:v>
                </c:pt>
              </c:numCache>
            </c:numRef>
          </c:xVal>
          <c:yVal>
            <c:numRef>
              <c:f>'µmax &amp;PDT SpF w or wo FBS'!$D$14:$D$15</c:f>
              <c:numCache>
                <c:formatCode>0.00</c:formatCode>
                <c:ptCount val="2"/>
                <c:pt idx="0">
                  <c:v>0.1212338648141164</c:v>
                </c:pt>
                <c:pt idx="1">
                  <c:v>0.49198253596451069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998-44A7-953F-130DE7C87D38}"/>
            </c:ext>
          </c:extLst>
        </c:ser>
        <c:ser>
          <c:idx val="4"/>
          <c:order val="4"/>
          <c:tx>
            <c:v>15F_8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'µmax &amp;PDT SpF w or wo FBS'!$C$17:$C$18</c:f>
              <c:numCache>
                <c:formatCode>General</c:formatCode>
                <c:ptCount val="2"/>
                <c:pt idx="0">
                  <c:v>24</c:v>
                </c:pt>
                <c:pt idx="1">
                  <c:v>48</c:v>
                </c:pt>
              </c:numCache>
            </c:numRef>
          </c:xVal>
          <c:yVal>
            <c:numRef>
              <c:f>'µmax &amp;PDT SpF w or wo FBS'!$D$17:$D$18</c:f>
              <c:numCache>
                <c:formatCode>0.00</c:formatCode>
                <c:ptCount val="2"/>
                <c:pt idx="0">
                  <c:v>0.40694549327859858</c:v>
                </c:pt>
                <c:pt idx="1">
                  <c:v>0.60005675749393306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998-44A7-953F-130DE7C87D38}"/>
            </c:ext>
          </c:extLst>
        </c:ser>
        <c:ser>
          <c:idx val="5"/>
          <c:order val="5"/>
          <c:tx>
            <c:v>15G_7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0.1509643482064742"/>
                  <c:y val="0.1280949256342957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rgbClr val="00B050"/>
                        </a:solidFill>
                      </a:rPr>
                      <a:t>y = 0,004x + 0,1703</a:t>
                    </a:r>
                    <a:endParaRPr lang="en-US">
                      <a:solidFill>
                        <a:srgbClr val="00B050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'µmax &amp;PDT SpF w or wo FBS'!$C$20:$C$21</c:f>
              <c:numCache>
                <c:formatCode>General</c:formatCode>
                <c:ptCount val="2"/>
                <c:pt idx="0">
                  <c:v>24</c:v>
                </c:pt>
                <c:pt idx="1">
                  <c:v>48</c:v>
                </c:pt>
              </c:numCache>
            </c:numRef>
          </c:xVal>
          <c:yVal>
            <c:numRef>
              <c:f>'µmax &amp;PDT SpF w or wo FBS'!$D$20:$D$21</c:f>
              <c:numCache>
                <c:formatCode>0.00</c:formatCode>
                <c:ptCount val="2"/>
                <c:pt idx="0">
                  <c:v>0.26747936513426146</c:v>
                </c:pt>
                <c:pt idx="1">
                  <c:v>0.36464311358790924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998-44A7-953F-130DE7C87D38}"/>
            </c:ext>
          </c:extLst>
        </c:ser>
        <c:ser>
          <c:idx val="6"/>
          <c:order val="6"/>
          <c:tx>
            <c:v>15G_8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0.16918657042869642"/>
                  <c:y val="0.1053331875182268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'µmax &amp;PDT SpF w or wo FBS'!$C$23:$C$24</c:f>
              <c:numCache>
                <c:formatCode>General</c:formatCode>
                <c:ptCount val="2"/>
                <c:pt idx="0">
                  <c:v>24</c:v>
                </c:pt>
                <c:pt idx="1">
                  <c:v>48</c:v>
                </c:pt>
              </c:numCache>
            </c:numRef>
          </c:xVal>
          <c:yVal>
            <c:numRef>
              <c:f>'µmax &amp;PDT SpF w or wo FBS'!$D$23:$D$24</c:f>
              <c:numCache>
                <c:formatCode>0.00</c:formatCode>
                <c:ptCount val="2"/>
                <c:pt idx="0">
                  <c:v>0.35222059358935198</c:v>
                </c:pt>
                <c:pt idx="1">
                  <c:v>0.62890491183159158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998-44A7-953F-130DE7C87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278832"/>
        <c:axId val="570282992"/>
      </c:scatterChart>
      <c:valAx>
        <c:axId val="570278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282992"/>
        <c:crosses val="autoZero"/>
        <c:crossBetween val="midCat"/>
      </c:valAx>
      <c:valAx>
        <c:axId val="570282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278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542652961447427E-2"/>
          <c:y val="2.5943774597217792E-2"/>
          <c:w val="0.86313375497496958"/>
          <c:h val="0.96194913059074727"/>
        </c:manualLayout>
      </c:layout>
      <c:scatterChart>
        <c:scatterStyle val="lineMarker"/>
        <c:varyColors val="0"/>
        <c:ser>
          <c:idx val="0"/>
          <c:order val="0"/>
          <c:tx>
            <c:v>15C_5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'µmax &amp;PDT SpF w or wo FBS'!$C$29:$C$30</c:f>
              <c:numCache>
                <c:formatCode>General</c:formatCode>
                <c:ptCount val="2"/>
                <c:pt idx="0">
                  <c:v>24</c:v>
                </c:pt>
                <c:pt idx="1">
                  <c:v>48</c:v>
                </c:pt>
              </c:numCache>
            </c:numRef>
          </c:xVal>
          <c:yVal>
            <c:numRef>
              <c:f>'µmax &amp;PDT SpF w or wo FBS'!$D$29:$D$30</c:f>
              <c:numCache>
                <c:formatCode>0.00</c:formatCode>
                <c:ptCount val="2"/>
                <c:pt idx="0">
                  <c:v>0.18232155679395459</c:v>
                </c:pt>
                <c:pt idx="1">
                  <c:v>0.15478286091106241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EB-4815-BC30-2921A8A92483}"/>
            </c:ext>
          </c:extLst>
        </c:ser>
        <c:ser>
          <c:idx val="1"/>
          <c:order val="1"/>
          <c:tx>
            <c:v>15D_5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chemeClr val="accent2"/>
                        </a:solidFill>
                      </a:rPr>
                      <a:t>y = 0,0094x - 0,2621</a:t>
                    </a:r>
                    <a:endParaRPr lang="en-US">
                      <a:solidFill>
                        <a:schemeClr val="accent2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'µmax &amp;PDT SpF w or wo FBS'!$C$32:$C$33</c:f>
              <c:numCache>
                <c:formatCode>General</c:formatCode>
                <c:ptCount val="2"/>
                <c:pt idx="0">
                  <c:v>24</c:v>
                </c:pt>
                <c:pt idx="1">
                  <c:v>48</c:v>
                </c:pt>
              </c:numCache>
            </c:numRef>
          </c:xVal>
          <c:yVal>
            <c:numRef>
              <c:f>'µmax &amp;PDT SpF w or wo FBS'!$D$32:$D$33</c:f>
              <c:numCache>
                <c:formatCode>0.00</c:formatCode>
                <c:ptCount val="2"/>
                <c:pt idx="0">
                  <c:v>-3.62030486639607E-2</c:v>
                </c:pt>
                <c:pt idx="1">
                  <c:v>0.18970166409157702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5EB-4815-BC30-2921A8A92483}"/>
            </c:ext>
          </c:extLst>
        </c:ser>
        <c:ser>
          <c:idx val="2"/>
          <c:order val="2"/>
          <c:tx>
            <c:v>15F_5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'µmax &amp;PDT SpF w or wo FBS'!$C$35:$C$36</c:f>
              <c:numCache>
                <c:formatCode>General</c:formatCode>
                <c:ptCount val="2"/>
                <c:pt idx="0">
                  <c:v>24</c:v>
                </c:pt>
                <c:pt idx="1">
                  <c:v>48</c:v>
                </c:pt>
              </c:numCache>
            </c:numRef>
          </c:xVal>
          <c:yVal>
            <c:numRef>
              <c:f>'µmax &amp;PDT SpF w or wo FBS'!$D$35:$D$36</c:f>
              <c:numCache>
                <c:formatCode>0.00</c:formatCode>
                <c:ptCount val="2"/>
                <c:pt idx="0">
                  <c:v>0.11728908652309983</c:v>
                </c:pt>
                <c:pt idx="1">
                  <c:v>0.15224410155667667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5EB-4815-BC30-2921A8A92483}"/>
            </c:ext>
          </c:extLst>
        </c:ser>
        <c:ser>
          <c:idx val="3"/>
          <c:order val="3"/>
          <c:tx>
            <c:v>15F_6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'µmax &amp;PDT SpF w or wo FBS'!$C$38:$C$39</c:f>
              <c:numCache>
                <c:formatCode>General</c:formatCode>
                <c:ptCount val="2"/>
                <c:pt idx="0">
                  <c:v>24</c:v>
                </c:pt>
                <c:pt idx="1">
                  <c:v>48</c:v>
                </c:pt>
              </c:numCache>
            </c:numRef>
          </c:xVal>
          <c:yVal>
            <c:numRef>
              <c:f>'µmax &amp;PDT SpF w or wo FBS'!$D$38:$D$39</c:f>
              <c:numCache>
                <c:formatCode>0.00</c:formatCode>
                <c:ptCount val="2"/>
                <c:pt idx="0">
                  <c:v>0.14072765949511751</c:v>
                </c:pt>
                <c:pt idx="1">
                  <c:v>-4.0821994520255166E-2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5EB-4815-BC30-2921A8A92483}"/>
            </c:ext>
          </c:extLst>
        </c:ser>
        <c:ser>
          <c:idx val="4"/>
          <c:order val="4"/>
          <c:tx>
            <c:v>15G_5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'µmax &amp;PDT SpF w or wo FBS'!$C$41:$C$42</c:f>
              <c:numCache>
                <c:formatCode>General</c:formatCode>
                <c:ptCount val="2"/>
                <c:pt idx="0">
                  <c:v>24</c:v>
                </c:pt>
                <c:pt idx="1">
                  <c:v>48</c:v>
                </c:pt>
              </c:numCache>
            </c:numRef>
          </c:xVal>
          <c:yVal>
            <c:numRef>
              <c:f>'µmax &amp;PDT SpF w or wo FBS'!$D$41:$D$42</c:f>
              <c:numCache>
                <c:formatCode>0.00</c:formatCode>
                <c:ptCount val="2"/>
                <c:pt idx="0">
                  <c:v>6.8696531286234874E-2</c:v>
                </c:pt>
                <c:pt idx="1">
                  <c:v>0.28768207245178085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5EB-4815-BC30-2921A8A92483}"/>
            </c:ext>
          </c:extLst>
        </c:ser>
        <c:ser>
          <c:idx val="5"/>
          <c:order val="5"/>
          <c:tx>
            <c:v>15G_6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'µmax &amp;PDT SpF w or wo FBS'!$C$44:$C$45</c:f>
              <c:numCache>
                <c:formatCode>General</c:formatCode>
                <c:ptCount val="2"/>
                <c:pt idx="0">
                  <c:v>24</c:v>
                </c:pt>
                <c:pt idx="1">
                  <c:v>48</c:v>
                </c:pt>
              </c:numCache>
            </c:numRef>
          </c:xVal>
          <c:yVal>
            <c:numRef>
              <c:f>'µmax &amp;PDT SpF w or wo FBS'!$D$44:$D$45</c:f>
              <c:numCache>
                <c:formatCode>0.00</c:formatCode>
                <c:ptCount val="2"/>
                <c:pt idx="0">
                  <c:v>-1.3423020332140661E-2</c:v>
                </c:pt>
                <c:pt idx="1">
                  <c:v>-8.9286307443014312E-3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5EB-4815-BC30-2921A8A92483}"/>
            </c:ext>
          </c:extLst>
        </c:ser>
        <c:ser>
          <c:idx val="6"/>
          <c:order val="6"/>
          <c:tx>
            <c:v>15H_5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rgbClr val="002060"/>
                        </a:solidFill>
                      </a:rPr>
                      <a:t>y = 0,0189x - 0,531</a:t>
                    </a:r>
                    <a:endParaRPr lang="en-US">
                      <a:solidFill>
                        <a:srgbClr val="002060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'µmax &amp;PDT SpF w or wo FBS'!$C$47:$C$48</c:f>
              <c:numCache>
                <c:formatCode>General</c:formatCode>
                <c:ptCount val="2"/>
                <c:pt idx="0">
                  <c:v>24</c:v>
                </c:pt>
                <c:pt idx="1">
                  <c:v>48</c:v>
                </c:pt>
              </c:numCache>
            </c:numRef>
          </c:xVal>
          <c:yVal>
            <c:numRef>
              <c:f>'µmax &amp;PDT SpF w or wo FBS'!$D$47:$D$48</c:f>
              <c:numCache>
                <c:formatCode>0.00</c:formatCode>
                <c:ptCount val="2"/>
                <c:pt idx="0">
                  <c:v>-7.8562322503102203E-2</c:v>
                </c:pt>
                <c:pt idx="1">
                  <c:v>0.37385976869283327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5EB-4815-BC30-2921A8A92483}"/>
            </c:ext>
          </c:extLst>
        </c:ser>
        <c:ser>
          <c:idx val="7"/>
          <c:order val="7"/>
          <c:tx>
            <c:v>15H_6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0.13345037075290309"/>
                  <c:y val="0.1974633528673010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chemeClr val="accent2">
                            <a:lumMod val="50000"/>
                          </a:schemeClr>
                        </a:solidFill>
                      </a:rPr>
                      <a:t>y = 0,0091x - 0,2492</a:t>
                    </a:r>
                    <a:endParaRPr lang="en-US">
                      <a:solidFill>
                        <a:schemeClr val="accent2">
                          <a:lumMod val="50000"/>
                        </a:schemeClr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'µmax &amp;PDT SpF w or wo FBS'!$C$50:$C$51</c:f>
              <c:numCache>
                <c:formatCode>General</c:formatCode>
                <c:ptCount val="2"/>
                <c:pt idx="0">
                  <c:v>24</c:v>
                </c:pt>
                <c:pt idx="1">
                  <c:v>48</c:v>
                </c:pt>
              </c:numCache>
            </c:numRef>
          </c:xVal>
          <c:yVal>
            <c:numRef>
              <c:f>'µmax &amp;PDT SpF w or wo FBS'!$D$50:$D$51</c:f>
              <c:numCache>
                <c:formatCode>0.000</c:formatCode>
                <c:ptCount val="2"/>
                <c:pt idx="0">
                  <c:v>-3.1605339415331099E-2</c:v>
                </c:pt>
                <c:pt idx="1">
                  <c:v>0.18601841867528077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5EB-4815-BC30-2921A8A92483}"/>
            </c:ext>
          </c:extLst>
        </c:ser>
        <c:ser>
          <c:idx val="8"/>
          <c:order val="8"/>
          <c:tx>
            <c:v>15A_3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9.1160761154855649E-2"/>
                  <c:y val="2.0695050671255925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chemeClr val="bg1">
                            <a:lumMod val="50000"/>
                          </a:schemeClr>
                        </a:solidFill>
                      </a:rPr>
                      <a:t>y = 0,0056x - 0,0202</a:t>
                    </a:r>
                    <a:endParaRPr lang="en-US">
                      <a:solidFill>
                        <a:schemeClr val="bg1">
                          <a:lumMod val="50000"/>
                        </a:schemeClr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'µmax &amp;PDT SpF w or wo FBS'!$C$53:$C$54</c:f>
              <c:numCache>
                <c:formatCode>General</c:formatCode>
                <c:ptCount val="2"/>
                <c:pt idx="0">
                  <c:v>24</c:v>
                </c:pt>
                <c:pt idx="1">
                  <c:v>48</c:v>
                </c:pt>
              </c:numCache>
            </c:numRef>
          </c:xVal>
          <c:yVal>
            <c:numRef>
              <c:f>'µmax &amp;PDT SpF w or wo FBS'!$D$53:$D$54</c:f>
              <c:numCache>
                <c:formatCode>General</c:formatCode>
                <c:ptCount val="2"/>
                <c:pt idx="0">
                  <c:v>0.11332868530700327</c:v>
                </c:pt>
                <c:pt idx="1">
                  <c:v>0.24686007793152581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5EB-4815-BC30-2921A8A92483}"/>
            </c:ext>
          </c:extLst>
        </c:ser>
        <c:ser>
          <c:idx val="9"/>
          <c:order val="9"/>
          <c:tx>
            <c:v>15A_4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0.18933076888295319"/>
                  <c:y val="0.1265459656774526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chemeClr val="accent4">
                            <a:lumMod val="50000"/>
                          </a:schemeClr>
                        </a:solidFill>
                      </a:rPr>
                      <a:t>y = 0,0145x - 0,5069</a:t>
                    </a:r>
                    <a:endParaRPr lang="en-US">
                      <a:solidFill>
                        <a:schemeClr val="accent4">
                          <a:lumMod val="50000"/>
                        </a:schemeClr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'µmax &amp;PDT SpF w or wo FBS'!$C$56:$C$57</c:f>
              <c:numCache>
                <c:formatCode>General</c:formatCode>
                <c:ptCount val="2"/>
                <c:pt idx="0">
                  <c:v>24</c:v>
                </c:pt>
                <c:pt idx="1">
                  <c:v>48</c:v>
                </c:pt>
              </c:numCache>
            </c:numRef>
          </c:xVal>
          <c:yVal>
            <c:numRef>
              <c:f>'µmax &amp;PDT SpF w or wo FBS'!$D$56:$D$57</c:f>
              <c:numCache>
                <c:formatCode>General</c:formatCode>
                <c:ptCount val="2"/>
                <c:pt idx="0">
                  <c:v>-0.15860503017663852</c:v>
                </c:pt>
                <c:pt idx="1">
                  <c:v>0.18970166409157702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5EB-4815-BC30-2921A8A92483}"/>
            </c:ext>
          </c:extLst>
        </c:ser>
        <c:ser>
          <c:idx val="10"/>
          <c:order val="10"/>
          <c:tx>
            <c:v>15C_3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'µmax &amp;PDT SpF w or wo FBS'!$C$59:$C$60</c:f>
              <c:numCache>
                <c:formatCode>General</c:formatCode>
                <c:ptCount val="2"/>
                <c:pt idx="0">
                  <c:v>24</c:v>
                </c:pt>
                <c:pt idx="1">
                  <c:v>48</c:v>
                </c:pt>
              </c:numCache>
            </c:numRef>
          </c:xVal>
          <c:yVal>
            <c:numRef>
              <c:f>'µmax &amp;PDT SpF w or wo FBS'!$D$59:$D$60</c:f>
              <c:numCache>
                <c:formatCode>General</c:formatCode>
                <c:ptCount val="2"/>
                <c:pt idx="0">
                  <c:v>0.20067069546215105</c:v>
                </c:pt>
                <c:pt idx="1">
                  <c:v>0.10935253692736363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75EB-4815-BC30-2921A8A92483}"/>
            </c:ext>
          </c:extLst>
        </c:ser>
        <c:ser>
          <c:idx val="11"/>
          <c:order val="11"/>
          <c:tx>
            <c:v>15C_4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10402535382134956"/>
                  <c:y val="1.4444485906061505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chemeClr val="accent6">
                            <a:lumMod val="50000"/>
                          </a:schemeClr>
                        </a:solidFill>
                      </a:rPr>
                      <a:t>y = 0,0128x - 0,294</a:t>
                    </a:r>
                    <a:endParaRPr lang="en-US">
                      <a:solidFill>
                        <a:schemeClr val="accent6">
                          <a:lumMod val="50000"/>
                        </a:schemeClr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'µmax &amp;PDT SpF w or wo FBS'!$C$62:$C$63</c:f>
              <c:numCache>
                <c:formatCode>General</c:formatCode>
                <c:ptCount val="2"/>
                <c:pt idx="0">
                  <c:v>24</c:v>
                </c:pt>
                <c:pt idx="1">
                  <c:v>48</c:v>
                </c:pt>
              </c:numCache>
            </c:numRef>
          </c:xVal>
          <c:yVal>
            <c:numRef>
              <c:f>'µmax &amp;PDT SpF w or wo FBS'!$D$62:$D$63</c:f>
              <c:numCache>
                <c:formatCode>General</c:formatCode>
                <c:ptCount val="2"/>
                <c:pt idx="0">
                  <c:v>1.3245226750020505E-2</c:v>
                </c:pt>
                <c:pt idx="1">
                  <c:v>0.32047189527477177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75EB-4815-BC30-2921A8A92483}"/>
            </c:ext>
          </c:extLst>
        </c:ser>
        <c:ser>
          <c:idx val="12"/>
          <c:order val="12"/>
          <c:tx>
            <c:v>15D_3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>
                    <a:lumMod val="80000"/>
                    <a:lumOff val="2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0.24605004595994823"/>
                  <c:y val="5.4862299160456797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chemeClr val="accent1"/>
                        </a:solidFill>
                      </a:rPr>
                      <a:t>y = 0,0087x - 0,2448</a:t>
                    </a:r>
                    <a:endParaRPr lang="en-US">
                      <a:solidFill>
                        <a:schemeClr val="accent1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'µmax &amp;PDT SpF w or wo FBS'!$C$65:$C$66</c:f>
              <c:numCache>
                <c:formatCode>General</c:formatCode>
                <c:ptCount val="2"/>
                <c:pt idx="0">
                  <c:v>24</c:v>
                </c:pt>
                <c:pt idx="1">
                  <c:v>48</c:v>
                </c:pt>
              </c:numCache>
            </c:numRef>
          </c:xVal>
          <c:yVal>
            <c:numRef>
              <c:f>'µmax &amp;PDT SpF w or wo FBS'!$D$65:$D$66</c:f>
              <c:numCache>
                <c:formatCode>General</c:formatCode>
                <c:ptCount val="2"/>
                <c:pt idx="0">
                  <c:v>-3.62030486639607E-2</c:v>
                </c:pt>
                <c:pt idx="1">
                  <c:v>0.17242085433890667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75EB-4815-BC30-2921A8A92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278416"/>
        <c:axId val="570291312"/>
      </c:scatterChart>
      <c:valAx>
        <c:axId val="570278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291312"/>
        <c:crosses val="autoZero"/>
        <c:crossBetween val="midCat"/>
      </c:valAx>
      <c:valAx>
        <c:axId val="570291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2784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cell = f(glucose)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'0,125L SpF wo FBS'!$F$20</c:f>
              <c:strCache>
                <c:ptCount val="1"/>
                <c:pt idx="0">
                  <c:v>-0.01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4789577098570574E-2"/>
                  <c:y val="0.1141490384057045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strRef>
              <c:f>'0,125L SpF wo FBS'!$AF$15:$AF$38</c:f>
              <c:strCache>
                <c:ptCount val="24"/>
                <c:pt idx="0">
                  <c:v>/</c:v>
                </c:pt>
                <c:pt idx="1">
                  <c:v>2.455372011</c:v>
                </c:pt>
                <c:pt idx="2">
                  <c:v>1.477219743</c:v>
                </c:pt>
                <c:pt idx="3">
                  <c:v>1.379970692</c:v>
                </c:pt>
                <c:pt idx="4">
                  <c:v>2.360121228</c:v>
                </c:pt>
                <c:pt idx="5">
                  <c:v>1.919503097</c:v>
                </c:pt>
                <c:pt idx="6">
                  <c:v>1.572137481</c:v>
                </c:pt>
                <c:pt idx="7">
                  <c:v>1.145729257</c:v>
                </c:pt>
                <c:pt idx="9">
                  <c:v>3.708286152</c:v>
                </c:pt>
                <c:pt idx="10">
                  <c:v>3.679033726</c:v>
                </c:pt>
                <c:pt idx="11">
                  <c:v>3.420313506</c:v>
                </c:pt>
                <c:pt idx="12">
                  <c:v>3.592886165</c:v>
                </c:pt>
                <c:pt idx="13">
                  <c:v>4.644363774</c:v>
                </c:pt>
                <c:pt idx="14">
                  <c:v>2.978918271</c:v>
                </c:pt>
                <c:pt idx="15">
                  <c:v>3.256955083</c:v>
                </c:pt>
                <c:pt idx="17">
                  <c:v>4.99694709</c:v>
                </c:pt>
                <c:pt idx="18">
                  <c:v>4.818657164</c:v>
                </c:pt>
                <c:pt idx="19">
                  <c:v>4.74605342</c:v>
                </c:pt>
                <c:pt idx="20">
                  <c:v>5.433735207</c:v>
                </c:pt>
                <c:pt idx="21">
                  <c:v>6.126468172</c:v>
                </c:pt>
                <c:pt idx="22">
                  <c:v>3.667987744</c:v>
                </c:pt>
                <c:pt idx="23">
                  <c:v>3.949410511</c:v>
                </c:pt>
              </c:strCache>
            </c:strRef>
          </c:xVal>
          <c:yVal>
            <c:numRef>
              <c:f>'0,125L SpF wo FBS'!$C$15:$C$38</c:f>
              <c:numCache>
                <c:formatCode>0.00E+00</c:formatCode>
                <c:ptCount val="24"/>
                <c:pt idx="0">
                  <c:v>60000</c:v>
                </c:pt>
                <c:pt idx="1">
                  <c:v>0</c:v>
                </c:pt>
                <c:pt idx="2">
                  <c:v>37333.333333333256</c:v>
                </c:pt>
                <c:pt idx="3">
                  <c:v>45333.333333333314</c:v>
                </c:pt>
                <c:pt idx="4">
                  <c:v>21333.333333333314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50221.333333333314</c:v>
                </c:pt>
                <c:pt idx="9">
                  <c:v>62666.666666666628</c:v>
                </c:pt>
                <c:pt idx="10">
                  <c:v>49333.333333333314</c:v>
                </c:pt>
                <c:pt idx="11">
                  <c:v>0</c:v>
                </c:pt>
                <c:pt idx="12">
                  <c:v>100000</c:v>
                </c:pt>
                <c:pt idx="13">
                  <c:v>0</c:v>
                </c:pt>
                <c:pt idx="14">
                  <c:v>136000</c:v>
                </c:pt>
                <c:pt idx="15">
                  <c:v>61333.333333333314</c:v>
                </c:pt>
                <c:pt idx="16">
                  <c:v>142666.66666666663</c:v>
                </c:pt>
                <c:pt idx="17">
                  <c:v>69333.333333333314</c:v>
                </c:pt>
                <c:pt idx="18">
                  <c:v>12000</c:v>
                </c:pt>
                <c:pt idx="19">
                  <c:v>110666.66666666663</c:v>
                </c:pt>
                <c:pt idx="20">
                  <c:v>100000</c:v>
                </c:pt>
                <c:pt idx="21">
                  <c:v>13333.333333333314</c:v>
                </c:pt>
                <c:pt idx="22">
                  <c:v>8000</c:v>
                </c:pt>
                <c:pt idx="2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55-4F23-A0CE-3E7D56051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7682799"/>
        <c:axId val="567672399"/>
      </c:scatterChart>
      <c:valAx>
        <c:axId val="5676827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672399"/>
        <c:crosses val="autoZero"/>
        <c:crossBetween val="midCat"/>
      </c:valAx>
      <c:valAx>
        <c:axId val="5676723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68279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cell = f(glutamine)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7.7366579177602798E-2"/>
                  <c:y val="-0.2506084135316418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strRef>
              <c:f>'0,125L SpF wo FBS'!$AJ$15:$AJ$38</c:f>
              <c:strCache>
                <c:ptCount val="24"/>
                <c:pt idx="0">
                  <c:v>/</c:v>
                </c:pt>
                <c:pt idx="1">
                  <c:v>0.24098</c:v>
                </c:pt>
                <c:pt idx="2">
                  <c:v>0.43498</c:v>
                </c:pt>
                <c:pt idx="3">
                  <c:v>0.75718</c:v>
                </c:pt>
                <c:pt idx="4">
                  <c:v>0.93292</c:v>
                </c:pt>
                <c:pt idx="5">
                  <c:v>0.81133</c:v>
                </c:pt>
                <c:pt idx="6">
                  <c:v>0.92312</c:v>
                </c:pt>
                <c:pt idx="7">
                  <c:v>0.76734</c:v>
                </c:pt>
                <c:pt idx="9">
                  <c:v>0.56523</c:v>
                </c:pt>
                <c:pt idx="10">
                  <c:v>0.82451</c:v>
                </c:pt>
                <c:pt idx="11">
                  <c:v>1.15051</c:v>
                </c:pt>
                <c:pt idx="12">
                  <c:v>1.3927</c:v>
                </c:pt>
                <c:pt idx="13">
                  <c:v>1.54399</c:v>
                </c:pt>
                <c:pt idx="14">
                  <c:v>1.58256</c:v>
                </c:pt>
                <c:pt idx="15">
                  <c:v>1.54567</c:v>
                </c:pt>
                <c:pt idx="17">
                  <c:v>0.96437</c:v>
                </c:pt>
                <c:pt idx="18">
                  <c:v>1.67103</c:v>
                </c:pt>
                <c:pt idx="19">
                  <c:v>1.59109</c:v>
                </c:pt>
                <c:pt idx="20">
                  <c:v>2.05014</c:v>
                </c:pt>
                <c:pt idx="21">
                  <c:v>1.83908</c:v>
                </c:pt>
                <c:pt idx="22">
                  <c:v>2.19639</c:v>
                </c:pt>
                <c:pt idx="23">
                  <c:v>1.98069</c:v>
                </c:pt>
              </c:strCache>
            </c:strRef>
          </c:xVal>
          <c:yVal>
            <c:numRef>
              <c:f>'0,125L SpF wo FBS'!$C$15:$C$37</c:f>
              <c:numCache>
                <c:formatCode>0.00E+00</c:formatCode>
                <c:ptCount val="23"/>
                <c:pt idx="0">
                  <c:v>60000</c:v>
                </c:pt>
                <c:pt idx="1">
                  <c:v>0</c:v>
                </c:pt>
                <c:pt idx="2">
                  <c:v>37333.333333333256</c:v>
                </c:pt>
                <c:pt idx="3">
                  <c:v>45333.333333333314</c:v>
                </c:pt>
                <c:pt idx="4">
                  <c:v>21333.333333333314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50221.333333333314</c:v>
                </c:pt>
                <c:pt idx="9">
                  <c:v>62666.666666666628</c:v>
                </c:pt>
                <c:pt idx="10">
                  <c:v>49333.333333333314</c:v>
                </c:pt>
                <c:pt idx="11">
                  <c:v>0</c:v>
                </c:pt>
                <c:pt idx="12">
                  <c:v>100000</c:v>
                </c:pt>
                <c:pt idx="13">
                  <c:v>0</c:v>
                </c:pt>
                <c:pt idx="14">
                  <c:v>136000</c:v>
                </c:pt>
                <c:pt idx="15">
                  <c:v>61333.333333333314</c:v>
                </c:pt>
                <c:pt idx="16">
                  <c:v>142666.66666666663</c:v>
                </c:pt>
                <c:pt idx="17">
                  <c:v>69333.333333333314</c:v>
                </c:pt>
                <c:pt idx="18">
                  <c:v>12000</c:v>
                </c:pt>
                <c:pt idx="19">
                  <c:v>110666.66666666663</c:v>
                </c:pt>
                <c:pt idx="20">
                  <c:v>100000</c:v>
                </c:pt>
                <c:pt idx="21">
                  <c:v>13333.333333333314</c:v>
                </c:pt>
                <c:pt idx="22">
                  <c:v>8000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BF-4599-BFCB-5EBDD3047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1977983"/>
        <c:axId val="391980895"/>
      </c:scatterChart>
      <c:valAx>
        <c:axId val="3919779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1980895"/>
        <c:crosses val="autoZero"/>
        <c:crossBetween val="midCat"/>
      </c:valAx>
      <c:valAx>
        <c:axId val="391980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19779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lac = f(gluc)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780311267360549E-2"/>
          <c:y val="0.12078720482260807"/>
          <c:w val="0.9091968503937008"/>
          <c:h val="0.7208876494604841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9.69440480398229E-2"/>
                  <c:y val="0.2460546600313733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('0,125L SpF wo FBS'!$AF$16,'0,125L SpF wo FBS'!$AF$24,'0,125L SpF wo FBS'!$AF$32)</c:f>
              <c:numCache>
                <c:formatCode>General</c:formatCode>
                <c:ptCount val="3"/>
                <c:pt idx="0">
                  <c:v>2.455372010923865</c:v>
                </c:pt>
                <c:pt idx="1">
                  <c:v>3.7082861520015982</c:v>
                </c:pt>
                <c:pt idx="2">
                  <c:v>4.9969470902995177</c:v>
                </c:pt>
              </c:numCache>
            </c:numRef>
          </c:xVal>
          <c:yVal>
            <c:numRef>
              <c:f>('0,125L SpF wo FBS'!$AH$16,'0,125L SpF wo FBS'!$AH$24,'0,125L SpF wo FBS'!$AH$32)</c:f>
              <c:numCache>
                <c:formatCode>General</c:formatCode>
                <c:ptCount val="3"/>
                <c:pt idx="0">
                  <c:v>2.62832</c:v>
                </c:pt>
                <c:pt idx="1">
                  <c:v>4.4907300000000001</c:v>
                </c:pt>
                <c:pt idx="2">
                  <c:v>5.4911399999999997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48-4C9D-81EC-B3A0E180DA84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27057072055172282"/>
                  <c:y val="-8.102916163309954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('0,125L SpF wo FBS'!$AF$17,'0,125L SpF wo FBS'!$AF$25,'0,125L SpF wo FBS'!$AF$33)</c:f>
              <c:numCache>
                <c:formatCode>General</c:formatCode>
                <c:ptCount val="3"/>
                <c:pt idx="0">
                  <c:v>1.4772197428894955</c:v>
                </c:pt>
                <c:pt idx="1">
                  <c:v>3.6790337263260717</c:v>
                </c:pt>
                <c:pt idx="2">
                  <c:v>4.8186571637913795</c:v>
                </c:pt>
              </c:numCache>
            </c:numRef>
          </c:xVal>
          <c:yVal>
            <c:numRef>
              <c:f>('0,125L SpF wo FBS'!$AH$17,'0,125L SpF wo FBS'!$AH$25,'0,125L SpF wo FBS'!$AH$33)</c:f>
              <c:numCache>
                <c:formatCode>General</c:formatCode>
                <c:ptCount val="3"/>
                <c:pt idx="0">
                  <c:v>3.6972700000000001</c:v>
                </c:pt>
                <c:pt idx="1">
                  <c:v>5.76919</c:v>
                </c:pt>
                <c:pt idx="2">
                  <c:v>6.8790100000000001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48-4C9D-81EC-B3A0E180DA84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('0,125L SpF wo FBS'!$AF$18,'0,125L SpF wo FBS'!$AF$26,'0,125L SpF wo FBS'!$AF$34)</c:f>
              <c:numCache>
                <c:formatCode>General</c:formatCode>
                <c:ptCount val="3"/>
                <c:pt idx="0">
                  <c:v>1.3799706920668733</c:v>
                </c:pt>
                <c:pt idx="1">
                  <c:v>3.4203135060725138</c:v>
                </c:pt>
                <c:pt idx="2">
                  <c:v>4.7460534203690123</c:v>
                </c:pt>
              </c:numCache>
            </c:numRef>
          </c:xVal>
          <c:yVal>
            <c:numRef>
              <c:f>('0,125L SpF wo FBS'!$AH$18,'0,125L SpF wo FBS'!$AH$26,'0,125L SpF wo FBS'!$AH$34)</c:f>
              <c:numCache>
                <c:formatCode>General</c:formatCode>
                <c:ptCount val="3"/>
                <c:pt idx="0">
                  <c:v>3.5501100000000001</c:v>
                </c:pt>
                <c:pt idx="1">
                  <c:v>5.3906299999999998</c:v>
                </c:pt>
                <c:pt idx="2">
                  <c:v>6.6299700000000001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748-4C9D-81EC-B3A0E180DA84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8.6844293109482329E-3"/>
                  <c:y val="-5.981417873220221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('0,125L SpF wo FBS'!$AF$19,'0,125L SpF wo FBS'!$AF$27,'0,125L SpF wo FBS'!$AF$35)</c:f>
              <c:numCache>
                <c:formatCode>General</c:formatCode>
                <c:ptCount val="3"/>
                <c:pt idx="0">
                  <c:v>2.3601212282688326</c:v>
                </c:pt>
                <c:pt idx="1">
                  <c:v>3.592886165323387</c:v>
                </c:pt>
                <c:pt idx="2">
                  <c:v>5.4337352072648155</c:v>
                </c:pt>
              </c:numCache>
            </c:numRef>
          </c:xVal>
          <c:yVal>
            <c:numRef>
              <c:f>('0,125L SpF wo FBS'!$AH$19,'0,125L SpF wo FBS'!$AH$27,'0,125L SpF wo FBS'!$AH$35)</c:f>
              <c:numCache>
                <c:formatCode>General</c:formatCode>
                <c:ptCount val="3"/>
                <c:pt idx="0">
                  <c:v>3.4464700000000001</c:v>
                </c:pt>
                <c:pt idx="1">
                  <c:v>5.8993399999999996</c:v>
                </c:pt>
                <c:pt idx="2">
                  <c:v>6.6775399999999996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748-4C9D-81EC-B3A0E180DA84}"/>
            </c:ext>
          </c:extLst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9.4273937957251738E-2"/>
                  <c:y val="0.20666399211457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('0,125L SpF wo FBS'!$AF$20,'0,125L SpF wo FBS'!$AF$28,'0,125L SpF wo FBS'!$AF$36)</c:f>
              <c:numCache>
                <c:formatCode>General</c:formatCode>
                <c:ptCount val="3"/>
                <c:pt idx="0">
                  <c:v>1.9195030973156602</c:v>
                </c:pt>
                <c:pt idx="1">
                  <c:v>4.6443637736184202</c:v>
                </c:pt>
                <c:pt idx="2">
                  <c:v>6.1264681720286864</c:v>
                </c:pt>
              </c:numCache>
            </c:numRef>
          </c:xVal>
          <c:yVal>
            <c:numRef>
              <c:f>('0,125L SpF wo FBS'!$AH$20,'0,125L SpF wo FBS'!$AH$28,'0,125L SpF wo FBS'!$AH$36)</c:f>
              <c:numCache>
                <c:formatCode>General</c:formatCode>
                <c:ptCount val="3"/>
                <c:pt idx="0">
                  <c:v>3.7519300000000002</c:v>
                </c:pt>
                <c:pt idx="1">
                  <c:v>6.2290700000000001</c:v>
                </c:pt>
                <c:pt idx="2">
                  <c:v>7.7848499999999996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748-4C9D-81EC-B3A0E180DA84}"/>
            </c:ext>
          </c:extLst>
        </c:ser>
        <c:ser>
          <c:idx val="5"/>
          <c:order val="5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5.5429060903753297E-2"/>
                  <c:y val="-3.220468737791721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('0,125L SpF wo FBS'!$AF$21,'0,125L SpF wo FBS'!$AF$29,'0,125L SpF wo FBS'!$AF$37)</c:f>
              <c:numCache>
                <c:formatCode>General</c:formatCode>
                <c:ptCount val="3"/>
                <c:pt idx="0">
                  <c:v>1.5721374808499302</c:v>
                </c:pt>
                <c:pt idx="1">
                  <c:v>2.9789182708319455</c:v>
                </c:pt>
                <c:pt idx="2">
                  <c:v>3.667987743955238</c:v>
                </c:pt>
              </c:numCache>
            </c:numRef>
          </c:xVal>
          <c:yVal>
            <c:numRef>
              <c:f>('0,125L SpF wo FBS'!$AH$21,'0,125L SpF wo FBS'!$AH$29,'0,125L SpF wo FBS'!$AH$37)</c:f>
              <c:numCache>
                <c:formatCode>General</c:formatCode>
                <c:ptCount val="3"/>
                <c:pt idx="0">
                  <c:v>2.6837</c:v>
                </c:pt>
                <c:pt idx="1">
                  <c:v>4.3197599999999996</c:v>
                </c:pt>
                <c:pt idx="2">
                  <c:v>5.1799400000000002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748-4C9D-81EC-B3A0E180DA84}"/>
            </c:ext>
          </c:extLst>
        </c:ser>
        <c:ser>
          <c:idx val="6"/>
          <c:order val="6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1664737927967638"/>
                  <c:y val="0.3902468250963139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('0,125L SpF wo FBS'!$AF$22,'0,125L SpF wo FBS'!$AF$30,'0,125L SpF wo FBS'!$AF$38)</c:f>
              <c:numCache>
                <c:formatCode>General</c:formatCode>
                <c:ptCount val="3"/>
                <c:pt idx="0">
                  <c:v>1.1457292568662716</c:v>
                </c:pt>
                <c:pt idx="1">
                  <c:v>3.2569550833721888</c:v>
                </c:pt>
                <c:pt idx="2">
                  <c:v>3.9494105108905622</c:v>
                </c:pt>
              </c:numCache>
            </c:numRef>
          </c:xVal>
          <c:yVal>
            <c:numRef>
              <c:f>('0,125L SpF wo FBS'!$AH$22,'0,125L SpF wo FBS'!$AH$30,'0,125L SpF wo FBS'!$AH$38)</c:f>
              <c:numCache>
                <c:formatCode>General</c:formatCode>
                <c:ptCount val="3"/>
                <c:pt idx="0">
                  <c:v>2.9991500000000002</c:v>
                </c:pt>
                <c:pt idx="1">
                  <c:v>4.9178600000000001</c:v>
                </c:pt>
                <c:pt idx="2">
                  <c:v>6.19618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748-4C9D-81EC-B3A0E180D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7678639"/>
        <c:axId val="567681551"/>
      </c:scatterChart>
      <c:valAx>
        <c:axId val="5676786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681551"/>
        <c:crosses val="autoZero"/>
        <c:crossBetween val="midCat"/>
      </c:valAx>
      <c:valAx>
        <c:axId val="5676815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6786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NH4 = f(glutamine)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21851618547681539"/>
                  <c:y val="-0.3528904199475065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('0,125L SpF wo FBS'!$AJ$16,'0,125L SpF wo FBS'!$AJ$24,'0,125L SpF wo FBS'!$AJ$32)</c:f>
              <c:numCache>
                <c:formatCode>General</c:formatCode>
                <c:ptCount val="3"/>
                <c:pt idx="0">
                  <c:v>0.24097999999999997</c:v>
                </c:pt>
                <c:pt idx="1">
                  <c:v>0.5652299999999999</c:v>
                </c:pt>
                <c:pt idx="2">
                  <c:v>0.96436999999999995</c:v>
                </c:pt>
              </c:numCache>
            </c:numRef>
          </c:xVal>
          <c:yVal>
            <c:numRef>
              <c:f>('0,125L SpF wo FBS'!$AL$16,'0,125L SpF wo FBS'!$AL$24,'0,125L SpF wo FBS'!$AL$32)</c:f>
              <c:numCache>
                <c:formatCode>General</c:formatCode>
                <c:ptCount val="3"/>
                <c:pt idx="0">
                  <c:v>0</c:v>
                </c:pt>
                <c:pt idx="1">
                  <c:v>0.35265999999999997</c:v>
                </c:pt>
                <c:pt idx="2">
                  <c:v>0.70396000000000003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1C-443F-99EF-FCE47CFC49FF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('0,125L SpF wo FBS'!$AJ$17,'0,125L SpF wo FBS'!$AJ$25,'0,125L SpF wo FBS'!$AJ$33)</c:f>
              <c:numCache>
                <c:formatCode>General</c:formatCode>
                <c:ptCount val="3"/>
                <c:pt idx="0">
                  <c:v>0.43497999999999992</c:v>
                </c:pt>
                <c:pt idx="1">
                  <c:v>0.82451000000000008</c:v>
                </c:pt>
                <c:pt idx="2">
                  <c:v>1.6710299999999998</c:v>
                </c:pt>
              </c:numCache>
            </c:numRef>
          </c:xVal>
          <c:yVal>
            <c:numRef>
              <c:f>('0,125L SpF wo FBS'!$AL$17,'0,125L SpF wo FBS'!$AL$25,'0,125L SpF wo FBS'!$AL$33)</c:f>
              <c:numCache>
                <c:formatCode>General</c:formatCode>
                <c:ptCount val="3"/>
                <c:pt idx="0">
                  <c:v>0.48426999999999998</c:v>
                </c:pt>
                <c:pt idx="1">
                  <c:v>0.90416999999999992</c:v>
                </c:pt>
                <c:pt idx="2">
                  <c:v>1.37304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1C-443F-99EF-FCE47CFC49FF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8.6316929133858272E-2"/>
                  <c:y val="-3.128937007874015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('0,125L SpF wo FBS'!$AJ$18,'0,125L SpF wo FBS'!$AJ$26,'0,125L SpF wo FBS'!$AJ$34)</c:f>
              <c:numCache>
                <c:formatCode>General</c:formatCode>
                <c:ptCount val="3"/>
                <c:pt idx="0">
                  <c:v>0.75717999999999996</c:v>
                </c:pt>
                <c:pt idx="1">
                  <c:v>1.1505099999999997</c:v>
                </c:pt>
                <c:pt idx="2">
                  <c:v>1.5910899999999999</c:v>
                </c:pt>
              </c:numCache>
            </c:numRef>
          </c:xVal>
          <c:yVal>
            <c:numRef>
              <c:f>('0,125L SpF wo FBS'!$AL$18,'0,125L SpF wo FBS'!$AL$26,'0,125L SpF wo FBS'!$AL$34)</c:f>
              <c:numCache>
                <c:formatCode>General</c:formatCode>
                <c:ptCount val="3"/>
                <c:pt idx="0">
                  <c:v>0.54051999999999989</c:v>
                </c:pt>
                <c:pt idx="1">
                  <c:v>0.95347999999999988</c:v>
                </c:pt>
                <c:pt idx="2">
                  <c:v>1.54569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D1C-443F-99EF-FCE47CFC49FF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005094050743657"/>
                  <c:y val="0.2278324584426946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('0,125L SpF wo FBS'!$AJ$19,'0,125L SpF wo FBS'!$AJ$27,'0,125L SpF wo FBS'!$AJ$35)</c:f>
              <c:numCache>
                <c:formatCode>General</c:formatCode>
                <c:ptCount val="3"/>
                <c:pt idx="0">
                  <c:v>0.93291999999999975</c:v>
                </c:pt>
                <c:pt idx="1">
                  <c:v>1.3926999999999996</c:v>
                </c:pt>
                <c:pt idx="2">
                  <c:v>2.0501399999999999</c:v>
                </c:pt>
              </c:numCache>
            </c:numRef>
          </c:xVal>
          <c:yVal>
            <c:numRef>
              <c:f>('0,125L SpF wo FBS'!$AL$19,'0,125L SpF wo FBS'!$AL$27,'0,125L SpF wo FBS'!$AL$35)</c:f>
              <c:numCache>
                <c:formatCode>General</c:formatCode>
                <c:ptCount val="3"/>
                <c:pt idx="0">
                  <c:v>0.54915999999999998</c:v>
                </c:pt>
                <c:pt idx="1">
                  <c:v>1.05122</c:v>
                </c:pt>
                <c:pt idx="2">
                  <c:v>1.4761500000000001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D1C-443F-99EF-FCE47CFC49FF}"/>
            </c:ext>
          </c:extLst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0.21654024496937882"/>
                  <c:y val="-0.1304337999416739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('0,125L SpF wo FBS'!$AJ$20,'0,125L SpF wo FBS'!$AJ$28,'0,125L SpF wo FBS'!$AJ$36)</c:f>
              <c:numCache>
                <c:formatCode>General</c:formatCode>
                <c:ptCount val="3"/>
                <c:pt idx="0">
                  <c:v>0.81132999999999944</c:v>
                </c:pt>
                <c:pt idx="1">
                  <c:v>1.5439899999999995</c:v>
                </c:pt>
                <c:pt idx="2">
                  <c:v>1.8390799999999996</c:v>
                </c:pt>
              </c:numCache>
            </c:numRef>
          </c:xVal>
          <c:yVal>
            <c:numRef>
              <c:f>('0,125L SpF wo FBS'!$AL$20,'0,125L SpF wo FBS'!$AL$28,'0,125L SpF wo FBS'!$AL$36)</c:f>
              <c:numCache>
                <c:formatCode>General</c:formatCode>
                <c:ptCount val="3"/>
                <c:pt idx="0">
                  <c:v>0.49620999999999998</c:v>
                </c:pt>
                <c:pt idx="1">
                  <c:v>0.94689999999999996</c:v>
                </c:pt>
                <c:pt idx="2">
                  <c:v>1.4515100000000001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D1C-443F-99EF-FCE47CFC49FF}"/>
            </c:ext>
          </c:extLst>
        </c:ser>
        <c:ser>
          <c:idx val="5"/>
          <c:order val="5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('0,125L SpF wo FBS'!$AJ$21,'0,125L SpF wo FBS'!$AJ$29,'0,125L SpF wo FBS'!$AJ$37)</c:f>
              <c:numCache>
                <c:formatCode>General</c:formatCode>
                <c:ptCount val="3"/>
                <c:pt idx="0">
                  <c:v>0.92311999999999994</c:v>
                </c:pt>
                <c:pt idx="1">
                  <c:v>1.5825600000000004</c:v>
                </c:pt>
                <c:pt idx="2">
                  <c:v>2.1963900000000001</c:v>
                </c:pt>
              </c:numCache>
            </c:numRef>
          </c:xVal>
          <c:yVal>
            <c:numRef>
              <c:f>('0,125L SpF wo FBS'!$AL$21,'0,125L SpF wo FBS'!$AL$29,'0,125L SpF wo FBS'!$AL$37)</c:f>
              <c:numCache>
                <c:formatCode>General</c:formatCode>
                <c:ptCount val="3"/>
                <c:pt idx="0">
                  <c:v>0.80625999999999998</c:v>
                </c:pt>
                <c:pt idx="1">
                  <c:v>1.6173900000000001</c:v>
                </c:pt>
                <c:pt idx="2">
                  <c:v>2.3195900000000003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D1C-443F-99EF-FCE47CFC49FF}"/>
            </c:ext>
          </c:extLst>
        </c:ser>
        <c:ser>
          <c:idx val="6"/>
          <c:order val="6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('0,125L SpF wo FBS'!$AJ$22,'0,125L SpF wo FBS'!$AJ$30,'0,125L SpF wo FBS'!$AJ$38)</c:f>
              <c:numCache>
                <c:formatCode>General</c:formatCode>
                <c:ptCount val="3"/>
                <c:pt idx="0">
                  <c:v>0.76733999999999991</c:v>
                </c:pt>
                <c:pt idx="1">
                  <c:v>1.5456700000000003</c:v>
                </c:pt>
                <c:pt idx="2">
                  <c:v>1.9806900000000001</c:v>
                </c:pt>
              </c:numCache>
            </c:numRef>
          </c:xVal>
          <c:yVal>
            <c:numRef>
              <c:f>('0,125L SpF wo FBS'!$AL$22,'0,125L SpF wo FBS'!$AL$30,'0,125L SpF wo FBS'!$AL$38)</c:f>
              <c:numCache>
                <c:formatCode>General</c:formatCode>
                <c:ptCount val="3"/>
                <c:pt idx="0">
                  <c:v>0.78908</c:v>
                </c:pt>
                <c:pt idx="1">
                  <c:v>1.4696499999999999</c:v>
                </c:pt>
                <c:pt idx="2">
                  <c:v>2.03579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D1C-443F-99EF-FCE47CFC4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9328783"/>
        <c:axId val="579324207"/>
      </c:scatterChart>
      <c:valAx>
        <c:axId val="5793287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9324207"/>
        <c:crosses val="autoZero"/>
        <c:crossBetween val="midCat"/>
      </c:valAx>
      <c:valAx>
        <c:axId val="579324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93287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cell = f(glucose)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('0,125L SpF wo FBS'!$AF$16,'0,125L SpF wo FBS'!$AF$24,'0,125L SpF wo FBS'!$AF$32)</c:f>
              <c:numCache>
                <c:formatCode>General</c:formatCode>
                <c:ptCount val="3"/>
                <c:pt idx="0">
                  <c:v>2.455372010923865</c:v>
                </c:pt>
                <c:pt idx="1">
                  <c:v>3.7082861520015982</c:v>
                </c:pt>
                <c:pt idx="2">
                  <c:v>4.9969470902995177</c:v>
                </c:pt>
              </c:numCache>
            </c:numRef>
          </c:xVal>
          <c:yVal>
            <c:numRef>
              <c:f>('0,125L SpF wo FBS'!$C$16,'0,125L SpF wo FBS'!$C$24,'0,125L SpF wo FBS'!$C$32)</c:f>
              <c:numCache>
                <c:formatCode>0.00E+00</c:formatCode>
                <c:ptCount val="3"/>
                <c:pt idx="0">
                  <c:v>0</c:v>
                </c:pt>
                <c:pt idx="1">
                  <c:v>62666.666666666628</c:v>
                </c:pt>
                <c:pt idx="2">
                  <c:v>69333.333333333314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6A-48FF-BE92-CD7888968A69}"/>
            </c:ext>
          </c:extLst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('0,125L SpF wo FBS'!$AF$17,'0,125L SpF wo FBS'!$AF$25,'0,125L SpF wo FBS'!$AF$33)</c:f>
              <c:numCache>
                <c:formatCode>General</c:formatCode>
                <c:ptCount val="3"/>
                <c:pt idx="0">
                  <c:v>1.4772197428894955</c:v>
                </c:pt>
                <c:pt idx="1">
                  <c:v>3.6790337263260717</c:v>
                </c:pt>
                <c:pt idx="2">
                  <c:v>4.8186571637913795</c:v>
                </c:pt>
              </c:numCache>
            </c:numRef>
          </c:xVal>
          <c:yVal>
            <c:numRef>
              <c:f>('0,125L SpF wo FBS'!$C$17,'0,125L SpF wo FBS'!$C$25,'0,125L SpF wo FBS'!$C$33)</c:f>
              <c:numCache>
                <c:formatCode>0.00E+00</c:formatCode>
                <c:ptCount val="3"/>
                <c:pt idx="0">
                  <c:v>37333.333333333256</c:v>
                </c:pt>
                <c:pt idx="1">
                  <c:v>49333.333333333314</c:v>
                </c:pt>
                <c:pt idx="2">
                  <c:v>12000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56A-48FF-BE92-CD7888968A69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8.2030402449693784E-2"/>
                  <c:y val="-8.48709536307961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('0,125L SpF wo FBS'!$AF$18,'0,125L SpF wo FBS'!$AF$26,'0,125L SpF wo FBS'!$AF$34)</c:f>
              <c:numCache>
                <c:formatCode>General</c:formatCode>
                <c:ptCount val="3"/>
                <c:pt idx="0">
                  <c:v>1.3799706920668733</c:v>
                </c:pt>
                <c:pt idx="1">
                  <c:v>3.4203135060725138</c:v>
                </c:pt>
                <c:pt idx="2">
                  <c:v>4.7460534203690123</c:v>
                </c:pt>
              </c:numCache>
            </c:numRef>
          </c:xVal>
          <c:yVal>
            <c:numRef>
              <c:f>('0,125L SpF wo FBS'!$C$18,'0,125L SpF wo FBS'!$C$26,'0,125L SpF wo FBS'!$C$34)</c:f>
              <c:numCache>
                <c:formatCode>0.00E+00</c:formatCode>
                <c:ptCount val="3"/>
                <c:pt idx="0">
                  <c:v>45333.333333333314</c:v>
                </c:pt>
                <c:pt idx="1">
                  <c:v>0</c:v>
                </c:pt>
                <c:pt idx="2">
                  <c:v>110666.66666666663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56A-48FF-BE92-CD7888968A69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39069488188976376"/>
                  <c:y val="4.587962962962963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('0,125L SpF wo FBS'!$AF$19,'0,125L SpF wo FBS'!$AF$27,'0,125L SpF wo FBS'!$AF$35)</c:f>
              <c:numCache>
                <c:formatCode>General</c:formatCode>
                <c:ptCount val="3"/>
                <c:pt idx="0">
                  <c:v>2.3601212282688326</c:v>
                </c:pt>
                <c:pt idx="1">
                  <c:v>3.592886165323387</c:v>
                </c:pt>
                <c:pt idx="2">
                  <c:v>5.4337352072648155</c:v>
                </c:pt>
              </c:numCache>
            </c:numRef>
          </c:xVal>
          <c:yVal>
            <c:numRef>
              <c:f>('0,125L SpF wo FBS'!$C$19,'0,125L SpF wo FBS'!$C$27,'0,125L SpF wo FBS'!$C$35)</c:f>
              <c:numCache>
                <c:formatCode>0.00E+00</c:formatCode>
                <c:ptCount val="3"/>
                <c:pt idx="0">
                  <c:v>21333.333333333314</c:v>
                </c:pt>
                <c:pt idx="1">
                  <c:v>100000</c:v>
                </c:pt>
                <c:pt idx="2">
                  <c:v>100000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56A-48FF-BE92-CD7888968A69}"/>
            </c:ext>
          </c:extLst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5.7104330708661416E-2"/>
                  <c:y val="-8.506197142023909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('0,125L SpF wo FBS'!$AF$20,'0,125L SpF wo FBS'!$AF$28,'0,125L SpF wo FBS'!$AF$36)</c:f>
              <c:numCache>
                <c:formatCode>General</c:formatCode>
                <c:ptCount val="3"/>
                <c:pt idx="0">
                  <c:v>1.9195030973156602</c:v>
                </c:pt>
                <c:pt idx="1">
                  <c:v>4.6443637736184202</c:v>
                </c:pt>
                <c:pt idx="2">
                  <c:v>6.1264681720286864</c:v>
                </c:pt>
              </c:numCache>
            </c:numRef>
          </c:xVal>
          <c:yVal>
            <c:numRef>
              <c:f>('0,125L SpF wo FBS'!$C$20,'0,125L SpF wo FBS'!$C$28,'0,125L SpF wo FBS'!$C$36)</c:f>
              <c:numCache>
                <c:formatCode>0.00E+00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13333.333333333314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56A-48FF-BE92-CD7888968A69}"/>
            </c:ext>
          </c:extLst>
        </c:ser>
        <c:ser>
          <c:idx val="5"/>
          <c:order val="5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('0,125L SpF wo FBS'!$AF$21,'0,125L SpF wo FBS'!$AF$29,'0,125L SpF wo FBS'!$AF$37)</c:f>
              <c:numCache>
                <c:formatCode>General</c:formatCode>
                <c:ptCount val="3"/>
                <c:pt idx="0">
                  <c:v>1.5721374808499302</c:v>
                </c:pt>
                <c:pt idx="1">
                  <c:v>2.9789182708319455</c:v>
                </c:pt>
                <c:pt idx="2">
                  <c:v>3.667987743955238</c:v>
                </c:pt>
              </c:numCache>
            </c:numRef>
          </c:xVal>
          <c:yVal>
            <c:numRef>
              <c:f>('0,125L SpF wo FBS'!$C$21,'0,125L SpF wo FBS'!$C$29,'0,125L SpF wo FBS'!$C$37)</c:f>
              <c:numCache>
                <c:formatCode>0.00E+00</c:formatCode>
                <c:ptCount val="3"/>
                <c:pt idx="0">
                  <c:v>0</c:v>
                </c:pt>
                <c:pt idx="1">
                  <c:v>136000</c:v>
                </c:pt>
                <c:pt idx="2">
                  <c:v>8000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56A-48FF-BE92-CD7888968A69}"/>
            </c:ext>
          </c:extLst>
        </c:ser>
        <c:ser>
          <c:idx val="6"/>
          <c:order val="6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('0,125L SpF wo FBS'!$AF$22,'0,125L SpF wo FBS'!$AF$30,'0,125L SpF wo FBS'!$AF$38)</c:f>
              <c:numCache>
                <c:formatCode>General</c:formatCode>
                <c:ptCount val="3"/>
                <c:pt idx="0">
                  <c:v>1.1457292568662716</c:v>
                </c:pt>
                <c:pt idx="1">
                  <c:v>3.2569550833721888</c:v>
                </c:pt>
                <c:pt idx="2">
                  <c:v>3.9494105108905622</c:v>
                </c:pt>
              </c:numCache>
            </c:numRef>
          </c:xVal>
          <c:yVal>
            <c:numRef>
              <c:f>('0,125L SpF wo FBS'!$C$22,'0,125L SpF wo FBS'!$C$30,'0,125L SpF wo FBS'!$C$38)</c:f>
              <c:numCache>
                <c:formatCode>0.00E+00</c:formatCode>
                <c:ptCount val="3"/>
                <c:pt idx="0">
                  <c:v>0</c:v>
                </c:pt>
                <c:pt idx="1">
                  <c:v>61333.333333333314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56A-48FF-BE92-CD7888968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903759"/>
        <c:axId val="934905423"/>
      </c:scatterChart>
      <c:valAx>
        <c:axId val="9349037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34905423"/>
        <c:crosses val="autoZero"/>
        <c:crossBetween val="midCat"/>
      </c:valAx>
      <c:valAx>
        <c:axId val="934905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349037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cell =</a:t>
            </a:r>
            <a:r>
              <a:rPr lang="en-GB" baseline="0"/>
              <a:t> f(glut)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('0,125L SpF wo FBS'!$AJ$16,'0,125L SpF wo FBS'!$AJ$24,'0,125L SpF wo FBS'!$AJ$32)</c:f>
              <c:numCache>
                <c:formatCode>General</c:formatCode>
                <c:ptCount val="3"/>
                <c:pt idx="0">
                  <c:v>0.24097999999999997</c:v>
                </c:pt>
                <c:pt idx="1">
                  <c:v>0.5652299999999999</c:v>
                </c:pt>
                <c:pt idx="2">
                  <c:v>0.96436999999999995</c:v>
                </c:pt>
              </c:numCache>
            </c:numRef>
          </c:xVal>
          <c:yVal>
            <c:numRef>
              <c:f>('0,125L SpF wo FBS'!$C$16,'0,125L SpF wo FBS'!$C$24,'0,125L SpF wo FBS'!$C$32)</c:f>
              <c:numCache>
                <c:formatCode>0.00E+00</c:formatCode>
                <c:ptCount val="3"/>
                <c:pt idx="0">
                  <c:v>0</c:v>
                </c:pt>
                <c:pt idx="1">
                  <c:v>62666.666666666628</c:v>
                </c:pt>
                <c:pt idx="2">
                  <c:v>69333.333333333314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526-4C94-A297-4DBA10D7FF10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('0,125L SpF wo FBS'!$AJ$17,'0,125L SpF wo FBS'!$AJ$25,'0,125L SpF wo FBS'!$AJ$33)</c:f>
              <c:numCache>
                <c:formatCode>General</c:formatCode>
                <c:ptCount val="3"/>
                <c:pt idx="0">
                  <c:v>0.43497999999999992</c:v>
                </c:pt>
                <c:pt idx="1">
                  <c:v>0.82451000000000008</c:v>
                </c:pt>
                <c:pt idx="2">
                  <c:v>1.6710299999999998</c:v>
                </c:pt>
              </c:numCache>
            </c:numRef>
          </c:xVal>
          <c:yVal>
            <c:numRef>
              <c:f>('0,125L SpF wo FBS'!$C$17,'0,125L SpF wo FBS'!$C$25,'0,125L SpF wo FBS'!$C$33)</c:f>
              <c:numCache>
                <c:formatCode>0.00E+00</c:formatCode>
                <c:ptCount val="3"/>
                <c:pt idx="0">
                  <c:v>37333.333333333256</c:v>
                </c:pt>
                <c:pt idx="1">
                  <c:v>49333.333333333314</c:v>
                </c:pt>
                <c:pt idx="2">
                  <c:v>12000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526-4C94-A297-4DBA10D7FF10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('0,125L SpF wo FBS'!$AJ$18,'0,125L SpF wo FBS'!$AJ$26,'0,125L SpF wo FBS'!$AJ$34)</c:f>
              <c:numCache>
                <c:formatCode>General</c:formatCode>
                <c:ptCount val="3"/>
                <c:pt idx="0">
                  <c:v>0.75717999999999996</c:v>
                </c:pt>
                <c:pt idx="1">
                  <c:v>1.1505099999999997</c:v>
                </c:pt>
                <c:pt idx="2">
                  <c:v>1.5910899999999999</c:v>
                </c:pt>
              </c:numCache>
            </c:numRef>
          </c:xVal>
          <c:yVal>
            <c:numRef>
              <c:f>('0,125L SpF wo FBS'!$C$18,'0,125L SpF wo FBS'!$C$26,'0,125L SpF wo FBS'!$C$34)</c:f>
              <c:numCache>
                <c:formatCode>0.00E+00</c:formatCode>
                <c:ptCount val="3"/>
                <c:pt idx="0">
                  <c:v>45333.333333333314</c:v>
                </c:pt>
                <c:pt idx="1">
                  <c:v>0</c:v>
                </c:pt>
                <c:pt idx="2">
                  <c:v>110666.66666666663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526-4C94-A297-4DBA10D7FF10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('0,125L SpF wo FBS'!$AJ$19,'0,125L SpF wo FBS'!$AJ$27,'0,125L SpF wo FBS'!$AJ$35)</c:f>
              <c:numCache>
                <c:formatCode>General</c:formatCode>
                <c:ptCount val="3"/>
                <c:pt idx="0">
                  <c:v>0.93291999999999975</c:v>
                </c:pt>
                <c:pt idx="1">
                  <c:v>1.3926999999999996</c:v>
                </c:pt>
                <c:pt idx="2">
                  <c:v>2.0501399999999999</c:v>
                </c:pt>
              </c:numCache>
            </c:numRef>
          </c:xVal>
          <c:yVal>
            <c:numRef>
              <c:f>('0,125L SpF wo FBS'!$C$19,'0,125L SpF wo FBS'!$C$27,'0,125L SpF wo FBS'!$C$35)</c:f>
              <c:numCache>
                <c:formatCode>0.00E+00</c:formatCode>
                <c:ptCount val="3"/>
                <c:pt idx="0">
                  <c:v>21333.333333333314</c:v>
                </c:pt>
                <c:pt idx="1">
                  <c:v>100000</c:v>
                </c:pt>
                <c:pt idx="2">
                  <c:v>100000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526-4C94-A297-4DBA10D7FF10}"/>
            </c:ext>
          </c:extLst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0.14937029746281716"/>
                  <c:y val="-7.258566637503645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('0,125L SpF wo FBS'!$AJ$20,'0,125L SpF wo FBS'!$AJ$28,'0,125L SpF wo FBS'!$AJ$36)</c:f>
              <c:numCache>
                <c:formatCode>General</c:formatCode>
                <c:ptCount val="3"/>
                <c:pt idx="0">
                  <c:v>0.81132999999999944</c:v>
                </c:pt>
                <c:pt idx="1">
                  <c:v>1.5439899999999995</c:v>
                </c:pt>
                <c:pt idx="2">
                  <c:v>1.8390799999999996</c:v>
                </c:pt>
              </c:numCache>
            </c:numRef>
          </c:xVal>
          <c:yVal>
            <c:numRef>
              <c:f>('0,125L SpF wo FBS'!$C$20,'0,125L SpF wo FBS'!$C$28,'0,125L SpF wo FBS'!$C$36)</c:f>
              <c:numCache>
                <c:formatCode>0.00E+00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13333.333333333314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526-4C94-A297-4DBA10D7FF10}"/>
            </c:ext>
          </c:extLst>
        </c:ser>
        <c:ser>
          <c:idx val="5"/>
          <c:order val="5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('0,125L SpF wo FBS'!$AJ$21,'0,125L SpF wo FBS'!$AJ$29,'0,125L SpF wo FBS'!$AJ$37)</c:f>
              <c:numCache>
                <c:formatCode>General</c:formatCode>
                <c:ptCount val="3"/>
                <c:pt idx="0">
                  <c:v>0.92311999999999994</c:v>
                </c:pt>
                <c:pt idx="1">
                  <c:v>1.5825600000000004</c:v>
                </c:pt>
                <c:pt idx="2">
                  <c:v>2.1963900000000001</c:v>
                </c:pt>
              </c:numCache>
            </c:numRef>
          </c:xVal>
          <c:yVal>
            <c:numRef>
              <c:f>('0,125L SpF wo FBS'!$C$21,'0,125L SpF wo FBS'!$C$29,'0,125L SpF wo FBS'!$C$37)</c:f>
              <c:numCache>
                <c:formatCode>0.00E+00</c:formatCode>
                <c:ptCount val="3"/>
                <c:pt idx="0">
                  <c:v>0</c:v>
                </c:pt>
                <c:pt idx="1">
                  <c:v>136000</c:v>
                </c:pt>
                <c:pt idx="2">
                  <c:v>8000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526-4C94-A297-4DBA10D7FF10}"/>
            </c:ext>
          </c:extLst>
        </c:ser>
        <c:ser>
          <c:idx val="6"/>
          <c:order val="6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1.8166885389326336E-2"/>
                  <c:y val="-3.94418926800817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('0,125L SpF wo FBS'!$AJ$22,'0,125L SpF wo FBS'!$AJ$30,'0,125L SpF wo FBS'!$AJ$38)</c:f>
              <c:numCache>
                <c:formatCode>General</c:formatCode>
                <c:ptCount val="3"/>
                <c:pt idx="0">
                  <c:v>0.76733999999999991</c:v>
                </c:pt>
                <c:pt idx="1">
                  <c:v>1.5456700000000003</c:v>
                </c:pt>
                <c:pt idx="2">
                  <c:v>1.9806900000000001</c:v>
                </c:pt>
              </c:numCache>
            </c:numRef>
          </c:xVal>
          <c:yVal>
            <c:numRef>
              <c:f>('0,125L SpF wo FBS'!$C$22,'0,125L SpF wo FBS'!$C$30,'0,125L SpF wo FBS'!$C$38)</c:f>
              <c:numCache>
                <c:formatCode>0.00E+00</c:formatCode>
                <c:ptCount val="3"/>
                <c:pt idx="0">
                  <c:v>0</c:v>
                </c:pt>
                <c:pt idx="1">
                  <c:v>61333.333333333314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526-4C94-A297-4DBA10D7F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9319247"/>
        <c:axId val="1379317999"/>
      </c:scatterChart>
      <c:valAx>
        <c:axId val="13793192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9317999"/>
        <c:crosses val="autoZero"/>
        <c:crossBetween val="midCat"/>
      </c:valAx>
      <c:valAx>
        <c:axId val="1379317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93192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cell = f(gluc)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3819685039370078"/>
                  <c:y val="-0.1100958734324876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('0,125L SpF 10% FBS'!$AG$13,'0,125L SpF 10% FBS'!$AG$20,'0,125L SpF 10% FBS'!$AG$27)</c:f>
              <c:numCache>
                <c:formatCode>General</c:formatCode>
                <c:ptCount val="3"/>
                <c:pt idx="0">
                  <c:v>2.1266568973556268</c:v>
                </c:pt>
                <c:pt idx="1">
                  <c:v>4.0312284908634739</c:v>
                </c:pt>
                <c:pt idx="2">
                  <c:v>5.1129576589178285</c:v>
                </c:pt>
              </c:numCache>
            </c:numRef>
          </c:xVal>
          <c:yVal>
            <c:numRef>
              <c:f>('0,125L SpF 10% FBS'!$D$13,'0,125L SpF 10% FBS'!$D$20,'0,125L SpF 10% FBS'!$D$27)</c:f>
              <c:numCache>
                <c:formatCode>0.00E+00</c:formatCode>
                <c:ptCount val="3"/>
                <c:pt idx="0">
                  <c:v>106222.22222222225</c:v>
                </c:pt>
                <c:pt idx="1">
                  <c:v>135466.66666666669</c:v>
                </c:pt>
                <c:pt idx="2">
                  <c:v>245333.33333333326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22-46B3-A453-C62CD22C716D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7.4582256032864397E-3"/>
                  <c:y val="-0.3212171916010498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('0,125L SpF 10% FBS'!$AG$15,'0,125L SpF 10% FBS'!$AG$22,'0,125L SpF 10% FBS'!$AG$29)</c:f>
              <c:numCache>
                <c:formatCode>General</c:formatCode>
                <c:ptCount val="3"/>
                <c:pt idx="0">
                  <c:v>1.6379138080330371</c:v>
                </c:pt>
                <c:pt idx="1">
                  <c:v>4.2982748284819827</c:v>
                </c:pt>
                <c:pt idx="2">
                  <c:v>5.298408046359822</c:v>
                </c:pt>
              </c:numCache>
            </c:numRef>
          </c:xVal>
          <c:yVal>
            <c:numRef>
              <c:f>('0,125L SpF 10% FBS'!$D$15,'0,125L SpF 10% FBS'!$D$22,'0,125L SpF 10% FBS'!$D$29)</c:f>
              <c:numCache>
                <c:formatCode>0.00E+00</c:formatCode>
                <c:ptCount val="3"/>
                <c:pt idx="0">
                  <c:v>30666.666666666628</c:v>
                </c:pt>
                <c:pt idx="1">
                  <c:v>152000</c:v>
                </c:pt>
                <c:pt idx="2">
                  <c:v>112453.33333333326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322-46B3-A453-C62CD22C716D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374221768805582"/>
                  <c:y val="0.202776225596163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('0,125L SpF 10% FBS'!$AG$17,'0,125L SpF 10% FBS'!$AG$24,'0,125L SpF 10% FBS'!$AG$31)</c:f>
              <c:numCache>
                <c:formatCode>General</c:formatCode>
                <c:ptCount val="3"/>
                <c:pt idx="0">
                  <c:v>2.2985634672172992</c:v>
                </c:pt>
                <c:pt idx="1">
                  <c:v>4.358777948000621</c:v>
                </c:pt>
                <c:pt idx="2">
                  <c:v>5.935633562024023</c:v>
                </c:pt>
              </c:numCache>
            </c:numRef>
          </c:xVal>
          <c:yVal>
            <c:numRef>
              <c:f>('0,125L SpF 10% FBS'!$D$17,'0,125L SpF 10% FBS'!$D$24,'0,125L SpF 10% FBS'!$D$31)</c:f>
              <c:numCache>
                <c:formatCode>0.00E+00</c:formatCode>
                <c:ptCount val="3"/>
                <c:pt idx="0">
                  <c:v>150666.66666666663</c:v>
                </c:pt>
                <c:pt idx="1">
                  <c:v>246666.66666666651</c:v>
                </c:pt>
                <c:pt idx="2">
                  <c:v>304000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322-46B3-A453-C62CD22C716D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8148597047647237"/>
                  <c:y val="0.3185958225612319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('0,125L SpF 10% FBS'!$AG$18,'0,125L SpF 10% FBS'!$AG$25,'0,125L SpF 10% FBS'!$AG$32)</c:f>
              <c:numCache>
                <c:formatCode>General</c:formatCode>
                <c:ptCount val="3"/>
                <c:pt idx="0">
                  <c:v>2.0777548346988155</c:v>
                </c:pt>
                <c:pt idx="1">
                  <c:v>4.6264903750083262</c:v>
                </c:pt>
                <c:pt idx="2">
                  <c:v>6.059526188414484</c:v>
                </c:pt>
              </c:numCache>
            </c:numRef>
          </c:xVal>
          <c:yVal>
            <c:numRef>
              <c:f>('0,125L SpF 10% FBS'!$D$18,'0,125L SpF 10% FBS'!$D$25,'0,125L SpF 10% FBS'!$D$32)</c:f>
              <c:numCache>
                <c:formatCode>0.00E+00</c:formatCode>
                <c:ptCount val="3"/>
                <c:pt idx="0">
                  <c:v>92000</c:v>
                </c:pt>
                <c:pt idx="1">
                  <c:v>132000</c:v>
                </c:pt>
                <c:pt idx="2">
                  <c:v>281333.33333333337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322-46B3-A453-C62CD22C716D}"/>
            </c:ext>
          </c:extLst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1985236220472441"/>
                  <c:y val="0.3965175707203265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('0,125L SpF 10% FBS'!$AG$19,'0,125L SpF 10% FBS'!$AG$26,'0,125L SpF 10% FBS'!$AG$33)</c:f>
              <c:numCache>
                <c:formatCode>General</c:formatCode>
                <c:ptCount val="3"/>
                <c:pt idx="0">
                  <c:v>2.0963498301472043</c:v>
                </c:pt>
                <c:pt idx="1">
                  <c:v>4.6364817158462666</c:v>
                </c:pt>
                <c:pt idx="2">
                  <c:v>5.9852572215191273</c:v>
                </c:pt>
              </c:numCache>
            </c:numRef>
          </c:xVal>
          <c:yVal>
            <c:numRef>
              <c:f>('0,125L SpF 10% FBS'!$D$19,'0,125L SpF 10% FBS'!$D$26,'0,125L SpF 10% FBS'!$D$33)</c:f>
              <c:numCache>
                <c:formatCode>0.00E+00</c:formatCode>
                <c:ptCount val="3"/>
                <c:pt idx="0">
                  <c:v>126666.66666666663</c:v>
                </c:pt>
                <c:pt idx="1">
                  <c:v>262666.66666666663</c:v>
                </c:pt>
                <c:pt idx="2">
                  <c:v>210666.66666666663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322-46B3-A453-C62CD22C716D}"/>
            </c:ext>
          </c:extLst>
        </c:ser>
        <c:ser>
          <c:idx val="5"/>
          <c:order val="5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('0,125L SpF 10% FBS'!$AG$14,'0,125L SpF 10% FBS'!$AG$21,'0,125L SpF 10% FBS'!$AG$28)</c:f>
              <c:numCache>
                <c:formatCode>General</c:formatCode>
                <c:ptCount val="3"/>
                <c:pt idx="0">
                  <c:v>2.5641111037101183</c:v>
                </c:pt>
                <c:pt idx="1">
                  <c:v>4.2271142787362059</c:v>
                </c:pt>
                <c:pt idx="2">
                  <c:v>8.231199626989941</c:v>
                </c:pt>
              </c:numCache>
            </c:numRef>
          </c:xVal>
          <c:yVal>
            <c:numRef>
              <c:f>('0,125L SpF 10% FBS'!$D$14,'0,125L SpF 10% FBS'!$D$21,'0,125L SpF 10% FBS'!$D$28)</c:f>
              <c:numCache>
                <c:formatCode>0.00E+00</c:formatCode>
                <c:ptCount val="3"/>
                <c:pt idx="0">
                  <c:v>0</c:v>
                </c:pt>
                <c:pt idx="1">
                  <c:v>133333.33333333331</c:v>
                </c:pt>
                <c:pt idx="2">
                  <c:v>120453.33333333326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322-46B3-A453-C62CD22C716D}"/>
            </c:ext>
          </c:extLst>
        </c:ser>
        <c:ser>
          <c:idx val="6"/>
          <c:order val="6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0.16161230515894368"/>
                  <c:y val="-0.1382378613022383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('0,125L SpF 10% FBS'!$AG$16,'0,125L SpF 10% FBS'!$AG$23,'0,125L SpF 10% FBS'!$AG$30)</c:f>
              <c:numCache>
                <c:formatCode>General</c:formatCode>
                <c:ptCount val="3"/>
                <c:pt idx="0">
                  <c:v>2.4487111170319054</c:v>
                </c:pt>
                <c:pt idx="2">
                  <c:v>6.0040187393148159</c:v>
                </c:pt>
              </c:numCache>
            </c:numRef>
          </c:xVal>
          <c:yVal>
            <c:numRef>
              <c:f>('0,125L SpF 10% FBS'!$D$16,'0,125L SpF 10% FBS'!$D$23,'0,125L SpF 10% FBS'!$D$30)</c:f>
              <c:numCache>
                <c:formatCode>0.00E+00</c:formatCode>
                <c:ptCount val="3"/>
                <c:pt idx="0">
                  <c:v>38666.666666666628</c:v>
                </c:pt>
                <c:pt idx="1">
                  <c:v>190666.66666666663</c:v>
                </c:pt>
                <c:pt idx="2">
                  <c:v>132000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322-46B3-A453-C62CD22C7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9708959"/>
        <c:axId val="839712703"/>
      </c:scatterChart>
      <c:valAx>
        <c:axId val="8397089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39712703"/>
        <c:crosses val="autoZero"/>
        <c:crossBetween val="midCat"/>
      </c:valAx>
      <c:valAx>
        <c:axId val="839712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397089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µmax spinner 0,5L prod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'µmax ambr vs spf'!$B$20:$C$20</c:f>
              <c:numCache>
                <c:formatCode>General</c:formatCode>
                <c:ptCount val="2"/>
                <c:pt idx="0">
                  <c:v>24</c:v>
                </c:pt>
                <c:pt idx="1">
                  <c:v>48</c:v>
                </c:pt>
              </c:numCache>
            </c:numRef>
          </c:xVal>
          <c:yVal>
            <c:numRef>
              <c:f>'µmax ambr vs spf'!$B$21:$C$21</c:f>
              <c:numCache>
                <c:formatCode>General</c:formatCode>
                <c:ptCount val="2"/>
                <c:pt idx="0">
                  <c:v>-8.3381608939051249E-2</c:v>
                </c:pt>
                <c:pt idx="1">
                  <c:v>8.9231133727942613E-2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AC-4DE3-8703-718C992C410B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'µmax ambr vs spf'!$B$20:$C$20</c:f>
              <c:numCache>
                <c:formatCode>General</c:formatCode>
                <c:ptCount val="2"/>
                <c:pt idx="0">
                  <c:v>24</c:v>
                </c:pt>
                <c:pt idx="1">
                  <c:v>48</c:v>
                </c:pt>
              </c:numCache>
            </c:numRef>
          </c:xVal>
          <c:yVal>
            <c:numRef>
              <c:f>'µmax ambr vs spf'!$B$22:$C$22</c:f>
              <c:numCache>
                <c:formatCode>General</c:formatCode>
                <c:ptCount val="2"/>
                <c:pt idx="0">
                  <c:v>0.10935253692736363</c:v>
                </c:pt>
                <c:pt idx="1">
                  <c:v>0.29515408729048187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AC-4DE3-8703-718C992C410B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'µmax ambr vs spf'!$B$20:$C$20</c:f>
              <c:numCache>
                <c:formatCode>General</c:formatCode>
                <c:ptCount val="2"/>
                <c:pt idx="0">
                  <c:v>24</c:v>
                </c:pt>
                <c:pt idx="1">
                  <c:v>48</c:v>
                </c:pt>
              </c:numCache>
            </c:numRef>
          </c:xVal>
          <c:yVal>
            <c:numRef>
              <c:f>'µmax ambr vs spf'!$B$23:$C$23</c:f>
              <c:numCache>
                <c:formatCode>General</c:formatCode>
                <c:ptCount val="2"/>
                <c:pt idx="0">
                  <c:v>0.25205489480862975</c:v>
                </c:pt>
                <c:pt idx="1">
                  <c:v>0.43466426280042658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EAC-4DE3-8703-718C992C410B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23816885389326334"/>
                  <c:y val="-4.8618401866433363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'µmax ambr vs spf'!$B$20:$C$20</c:f>
              <c:numCache>
                <c:formatCode>General</c:formatCode>
                <c:ptCount val="2"/>
                <c:pt idx="0">
                  <c:v>24</c:v>
                </c:pt>
                <c:pt idx="1">
                  <c:v>48</c:v>
                </c:pt>
              </c:numCache>
            </c:numRef>
          </c:xVal>
          <c:yVal>
            <c:numRef>
              <c:f>'µmax ambr vs spf'!$B$24:$C$24</c:f>
              <c:numCache>
                <c:formatCode>General</c:formatCode>
                <c:ptCount val="2"/>
                <c:pt idx="0">
                  <c:v>0.37691320617972351</c:v>
                </c:pt>
                <c:pt idx="1">
                  <c:v>0.44183275227903912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EAC-4DE3-8703-718C992C4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4762015"/>
        <c:axId val="274757439"/>
      </c:scatterChart>
      <c:valAx>
        <c:axId val="2747620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74757439"/>
        <c:crosses val="autoZero"/>
        <c:crossBetween val="midCat"/>
      </c:valAx>
      <c:valAx>
        <c:axId val="274757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747620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cell</a:t>
            </a:r>
            <a:r>
              <a:rPr lang="en-GB" baseline="0"/>
              <a:t> = f(glutamine)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'SpF 10% FBS'!#REF!</c:f>
              <c:numCache>
                <c:formatCode>0.00E+00</c:formatCode>
                <c:ptCount val="4"/>
                <c:pt idx="0">
                  <c:v>0</c:v>
                </c:pt>
                <c:pt idx="1">
                  <c:v>2.1785801511705722</c:v>
                </c:pt>
                <c:pt idx="2">
                  <c:v>4.3630612728228124</c:v>
                </c:pt>
                <c:pt idx="3">
                  <c:v>6.0895715776485773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49-481A-9F46-3116092BCA12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55775889470542017"/>
                  <c:y val="0.1143149657890189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('0,125L SpF 10% FBS'!$AK$13,'0,125L SpF 10% FBS'!$AK$20,'0,125L SpF 10% FBS'!$AK$27)</c:f>
              <c:numCache>
                <c:formatCode>General</c:formatCode>
                <c:ptCount val="3"/>
                <c:pt idx="0">
                  <c:v>4.532999999999987E-2</c:v>
                </c:pt>
                <c:pt idx="1">
                  <c:v>0.54874999999999985</c:v>
                </c:pt>
                <c:pt idx="2">
                  <c:v>0.94731999999999972</c:v>
                </c:pt>
              </c:numCache>
            </c:numRef>
          </c:xVal>
          <c:yVal>
            <c:numRef>
              <c:f>('0,125L SpF 10% FBS'!$D$13,'0,125L SpF 10% FBS'!$D$20,'0,125L SpF 10% FBS'!$D$27)</c:f>
              <c:numCache>
                <c:formatCode>0.00E+00</c:formatCode>
                <c:ptCount val="3"/>
                <c:pt idx="0">
                  <c:v>106222.22222222225</c:v>
                </c:pt>
                <c:pt idx="1">
                  <c:v>135466.66666666669</c:v>
                </c:pt>
                <c:pt idx="2">
                  <c:v>245333.33333333326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49-481A-9F46-3116092BCA12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49306603668980381"/>
                  <c:y val="-0.2185770875307061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('0,125L SpF 10% FBS'!$AK$15,'0,125L SpF 10% FBS'!$AK$22,'0,125L SpF 10% FBS'!$AK$29)</c:f>
              <c:numCache>
                <c:formatCode>General</c:formatCode>
                <c:ptCount val="3"/>
                <c:pt idx="0">
                  <c:v>0.17243000000000031</c:v>
                </c:pt>
                <c:pt idx="1">
                  <c:v>0.7721100000000003</c:v>
                </c:pt>
                <c:pt idx="2">
                  <c:v>1.1880000000000002</c:v>
                </c:pt>
              </c:numCache>
            </c:numRef>
          </c:xVal>
          <c:yVal>
            <c:numRef>
              <c:f>('0,125L SpF 10% FBS'!$D$15,'0,125L SpF 10% FBS'!$D$22,'0,125L SpF 10% FBS'!$D$29)</c:f>
              <c:numCache>
                <c:formatCode>0.00E+00</c:formatCode>
                <c:ptCount val="3"/>
                <c:pt idx="0">
                  <c:v>30666.666666666628</c:v>
                </c:pt>
                <c:pt idx="1">
                  <c:v>152000</c:v>
                </c:pt>
                <c:pt idx="2">
                  <c:v>112453.33333333326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449-481A-9F46-3116092BCA12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23492388451443569"/>
                  <c:y val="-0.2096150481189851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('0,125L SpF 10% FBS'!$AK$16,'0,125L SpF 10% FBS'!$AK$23,'0,125L SpF 10% FBS'!$AK$30)</c:f>
              <c:numCache>
                <c:formatCode>General</c:formatCode>
                <c:ptCount val="3"/>
                <c:pt idx="0">
                  <c:v>9.827000000000008E-2</c:v>
                </c:pt>
                <c:pt idx="1">
                  <c:v>0.63262000000000018</c:v>
                </c:pt>
                <c:pt idx="2">
                  <c:v>1.0118900000000002</c:v>
                </c:pt>
              </c:numCache>
            </c:numRef>
          </c:xVal>
          <c:yVal>
            <c:numRef>
              <c:f>('0,125L SpF 10% FBS'!$D$16,'0,125L SpF 10% FBS'!$D$23,'0,125L SpF 10% FBS'!$D$30)</c:f>
              <c:numCache>
                <c:formatCode>0.00E+00</c:formatCode>
                <c:ptCount val="3"/>
                <c:pt idx="0">
                  <c:v>38666.666666666628</c:v>
                </c:pt>
                <c:pt idx="1">
                  <c:v>190666.66666666663</c:v>
                </c:pt>
                <c:pt idx="2">
                  <c:v>132000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449-481A-9F46-3116092BCA12}"/>
            </c:ext>
          </c:extLst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23278783902012248"/>
                  <c:y val="-7.912037037037036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('0,125L SpF 10% FBS'!$AK$17,'0,125L SpF 10% FBS'!$AK$24,'0,125L SpF 10% FBS'!$AK$31)</c:f>
              <c:numCache>
                <c:formatCode>General</c:formatCode>
                <c:ptCount val="3"/>
                <c:pt idx="0">
                  <c:v>0.13017000000000012</c:v>
                </c:pt>
                <c:pt idx="1">
                  <c:v>0.58374999999999999</c:v>
                </c:pt>
                <c:pt idx="2">
                  <c:v>0.96117000000000008</c:v>
                </c:pt>
              </c:numCache>
            </c:numRef>
          </c:xVal>
          <c:yVal>
            <c:numRef>
              <c:f>('0,125L SpF 10% FBS'!$D$17,'0,125L SpF 10% FBS'!$D$24,'0,125L SpF 10% FBS'!$D$31)</c:f>
              <c:numCache>
                <c:formatCode>0.00E+00</c:formatCode>
                <c:ptCount val="3"/>
                <c:pt idx="0">
                  <c:v>150666.66666666663</c:v>
                </c:pt>
                <c:pt idx="1">
                  <c:v>246666.66666666651</c:v>
                </c:pt>
                <c:pt idx="2">
                  <c:v>304000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449-481A-9F46-3116092BCA12}"/>
            </c:ext>
          </c:extLst>
        </c:ser>
        <c:ser>
          <c:idx val="5"/>
          <c:order val="5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48637818526833371"/>
                  <c:y val="-0.1517044352175377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('0,125L SpF 10% FBS'!$AK$18,'0,125L SpF 10% FBS'!$AK$25,'0,125L SpF 10% FBS'!$AK$32)</c:f>
              <c:numCache>
                <c:formatCode>General</c:formatCode>
                <c:ptCount val="3"/>
                <c:pt idx="0">
                  <c:v>0.32608999999999999</c:v>
                </c:pt>
                <c:pt idx="1">
                  <c:v>0.8348199999999999</c:v>
                </c:pt>
                <c:pt idx="2">
                  <c:v>1.20661</c:v>
                </c:pt>
              </c:numCache>
            </c:numRef>
          </c:xVal>
          <c:yVal>
            <c:numRef>
              <c:f>('0,125L SpF 10% FBS'!$D$18,'0,125L SpF 10% FBS'!$D$25,'0,125L SpF 10% FBS'!$D$32)</c:f>
              <c:numCache>
                <c:formatCode>0.00E+00</c:formatCode>
                <c:ptCount val="3"/>
                <c:pt idx="0">
                  <c:v>92000</c:v>
                </c:pt>
                <c:pt idx="1">
                  <c:v>132000</c:v>
                </c:pt>
                <c:pt idx="2">
                  <c:v>281333.33333333337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449-481A-9F46-3116092BCA12}"/>
            </c:ext>
          </c:extLst>
        </c:ser>
        <c:ser>
          <c:idx val="6"/>
          <c:order val="6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9.5172572178477688E-2"/>
                  <c:y val="0.372497083697871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('0,125L SpF 10% FBS'!$AK$19,'0,125L SpF 10% FBS'!$AK$26,'0,125L SpF 10% FBS'!$AK$33)</c:f>
              <c:numCache>
                <c:formatCode>General</c:formatCode>
                <c:ptCount val="3"/>
                <c:pt idx="0">
                  <c:v>0.35270000000000001</c:v>
                </c:pt>
                <c:pt idx="1">
                  <c:v>0.95033999999999996</c:v>
                </c:pt>
                <c:pt idx="2">
                  <c:v>1.1607099999999999</c:v>
                </c:pt>
              </c:numCache>
            </c:numRef>
          </c:xVal>
          <c:yVal>
            <c:numRef>
              <c:f>('0,125L SpF 10% FBS'!$D$19,'0,125L SpF 10% FBS'!$D$26,'0,125L SpF 10% FBS'!$D$33)</c:f>
              <c:numCache>
                <c:formatCode>0.00E+00</c:formatCode>
                <c:ptCount val="3"/>
                <c:pt idx="0">
                  <c:v>126666.66666666663</c:v>
                </c:pt>
                <c:pt idx="1">
                  <c:v>262666.66666666663</c:v>
                </c:pt>
                <c:pt idx="2">
                  <c:v>210666.66666666663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449-481A-9F46-3116092BC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2888431"/>
        <c:axId val="582883023"/>
      </c:scatterChart>
      <c:valAx>
        <c:axId val="5828884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2883023"/>
        <c:crosses val="autoZero"/>
        <c:crossBetween val="midCat"/>
      </c:valAx>
      <c:valAx>
        <c:axId val="582883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28884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lac = f(gluc)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7395421813248699"/>
                  <c:y val="0.3174652990718794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('0,125L SpF 10% FBS'!$AG$13,'0,125L SpF 10% FBS'!$AG$20,'0,125L SpF 10% FBS'!$AG$27)</c:f>
              <c:numCache>
                <c:formatCode>General</c:formatCode>
                <c:ptCount val="3"/>
                <c:pt idx="0">
                  <c:v>2.1266568973556268</c:v>
                </c:pt>
                <c:pt idx="1">
                  <c:v>4.0312284908634739</c:v>
                </c:pt>
                <c:pt idx="2">
                  <c:v>5.1129576589178285</c:v>
                </c:pt>
              </c:numCache>
            </c:numRef>
          </c:xVal>
          <c:yVal>
            <c:numRef>
              <c:f>('0,125L SpF 10% FBS'!$AI$13,'0,125L SpF 10% FBS'!$AI$20,'0,125L SpF 10% FBS'!$AI$27)</c:f>
              <c:numCache>
                <c:formatCode>General</c:formatCode>
                <c:ptCount val="3"/>
                <c:pt idx="0">
                  <c:v>3.47567</c:v>
                </c:pt>
                <c:pt idx="1">
                  <c:v>4.8849099999999996</c:v>
                </c:pt>
                <c:pt idx="2">
                  <c:v>5.7826300000000002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AA-4CBF-861E-B34DBF6AD7F2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('0,125L SpF 10% FBS'!$AG$14,'0,125L SpF 10% FBS'!$AG$21,'0,125L SpF 10% FBS'!$AG$28)</c:f>
              <c:numCache>
                <c:formatCode>General</c:formatCode>
                <c:ptCount val="3"/>
                <c:pt idx="0">
                  <c:v>2.5641111037101183</c:v>
                </c:pt>
                <c:pt idx="1">
                  <c:v>4.2271142787362059</c:v>
                </c:pt>
                <c:pt idx="2">
                  <c:v>8.231199626989941</c:v>
                </c:pt>
              </c:numCache>
            </c:numRef>
          </c:xVal>
          <c:yVal>
            <c:numRef>
              <c:f>('0,125L SpF 10% FBS'!$AI$14,'0,125L SpF 10% FBS'!$AI$21,'0,125L SpF 10% FBS'!$AI$28)</c:f>
              <c:numCache>
                <c:formatCode>General</c:formatCode>
                <c:ptCount val="3"/>
                <c:pt idx="0">
                  <c:v>2.8019800000000004</c:v>
                </c:pt>
                <c:pt idx="1">
                  <c:v>5.0551599999999999</c:v>
                </c:pt>
                <c:pt idx="2">
                  <c:v>3.2878500000000006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0AA-4CBF-861E-B34DBF6AD7F2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9102791753956194"/>
                  <c:y val="-5.915153358562107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('0,125L SpF 10% FBS'!$AG$15,'0,125L SpF 10% FBS'!$AG$22,'0,125L SpF 10% FBS'!$AG$29)</c:f>
              <c:numCache>
                <c:formatCode>General</c:formatCode>
                <c:ptCount val="3"/>
                <c:pt idx="0">
                  <c:v>1.6379138080330371</c:v>
                </c:pt>
                <c:pt idx="1">
                  <c:v>4.2982748284819827</c:v>
                </c:pt>
                <c:pt idx="2">
                  <c:v>5.298408046359822</c:v>
                </c:pt>
              </c:numCache>
            </c:numRef>
          </c:xVal>
          <c:yVal>
            <c:numRef>
              <c:f>('0,125L SpF 10% FBS'!$AI$15,'0,125L SpF 10% FBS'!$AI$22,'0,125L SpF 10% FBS'!$AI$29)</c:f>
              <c:numCache>
                <c:formatCode>General</c:formatCode>
                <c:ptCount val="3"/>
                <c:pt idx="0">
                  <c:v>3.3400600000000003</c:v>
                </c:pt>
                <c:pt idx="1">
                  <c:v>5.0415299999999998</c:v>
                </c:pt>
                <c:pt idx="2">
                  <c:v>6.1463299999999998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0AA-4CBF-861E-B34DBF6AD7F2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5.3084297818734742E-2"/>
                  <c:y val="-7.935110111174127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('0,125L SpF 10% FBS'!$AG$17,'0,125L SpF 10% FBS'!$AG$24,'0,125L SpF 10% FBS'!$AG$31)</c:f>
              <c:numCache>
                <c:formatCode>General</c:formatCode>
                <c:ptCount val="3"/>
                <c:pt idx="0">
                  <c:v>2.2985634672172992</c:v>
                </c:pt>
                <c:pt idx="1">
                  <c:v>4.358777948000621</c:v>
                </c:pt>
                <c:pt idx="2">
                  <c:v>5.935633562024023</c:v>
                </c:pt>
              </c:numCache>
            </c:numRef>
          </c:xVal>
          <c:yVal>
            <c:numRef>
              <c:f>('0,125L SpF 10% FBS'!$AI$17,'0,125L SpF 10% FBS'!$AI$24,'0,125L SpF 10% FBS'!$AI$31)</c:f>
              <c:numCache>
                <c:formatCode>General</c:formatCode>
                <c:ptCount val="3"/>
                <c:pt idx="0">
                  <c:v>3.6355200000000005</c:v>
                </c:pt>
                <c:pt idx="1">
                  <c:v>5.5516399999999999</c:v>
                </c:pt>
                <c:pt idx="2">
                  <c:v>6.8093399999999997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0AA-4CBF-861E-B34DBF6AD7F2}"/>
            </c:ext>
          </c:extLst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2604820243243533"/>
                  <c:y val="0.1066426338722132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('0,125L SpF 10% FBS'!$AG$18,'0,125L SpF 10% FBS'!$AG$25,'0,125L SpF 10% FBS'!$AG$32)</c:f>
              <c:numCache>
                <c:formatCode>General</c:formatCode>
                <c:ptCount val="3"/>
                <c:pt idx="0">
                  <c:v>2.0777548346988155</c:v>
                </c:pt>
                <c:pt idx="1">
                  <c:v>4.6264903750083262</c:v>
                </c:pt>
                <c:pt idx="2">
                  <c:v>6.059526188414484</c:v>
                </c:pt>
              </c:numCache>
            </c:numRef>
          </c:xVal>
          <c:yVal>
            <c:numRef>
              <c:f>('0,125L SpF 10% FBS'!$AI$18,'0,125L SpF 10% FBS'!$AI$25,'0,125L SpF 10% FBS'!$AI$32)</c:f>
              <c:numCache>
                <c:formatCode>General</c:formatCode>
                <c:ptCount val="3"/>
                <c:pt idx="0">
                  <c:v>3.9714300000000002</c:v>
                </c:pt>
                <c:pt idx="1">
                  <c:v>6.23109</c:v>
                </c:pt>
                <c:pt idx="2">
                  <c:v>7.7284400000000009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0AA-4CBF-861E-B34DBF6AD7F2}"/>
            </c:ext>
          </c:extLst>
        </c:ser>
        <c:ser>
          <c:idx val="5"/>
          <c:order val="5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2735459464265107"/>
                  <c:y val="-4.2613422436284548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('0,125L SpF 10% FBS'!$AG$19,'0,125L SpF 10% FBS'!$AG$26,'0,125L SpF 10% FBS'!$AG$33)</c:f>
              <c:numCache>
                <c:formatCode>General</c:formatCode>
                <c:ptCount val="3"/>
                <c:pt idx="0">
                  <c:v>2.0963498301472043</c:v>
                </c:pt>
                <c:pt idx="1">
                  <c:v>4.6364817158462666</c:v>
                </c:pt>
                <c:pt idx="2">
                  <c:v>5.9852572215191273</c:v>
                </c:pt>
              </c:numCache>
            </c:numRef>
          </c:xVal>
          <c:yVal>
            <c:numRef>
              <c:f>('0,125L SpF 10% FBS'!$AI$19,'0,125L SpF 10% FBS'!$AI$26,'0,125L SpF 10% FBS'!$AI$33)</c:f>
              <c:numCache>
                <c:formatCode>General</c:formatCode>
                <c:ptCount val="3"/>
                <c:pt idx="0">
                  <c:v>4.1198399999999999</c:v>
                </c:pt>
                <c:pt idx="1">
                  <c:v>6.64208</c:v>
                </c:pt>
                <c:pt idx="2">
                  <c:v>8.1650600000000004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0AA-4CBF-861E-B34DBF6AD7F2}"/>
            </c:ext>
          </c:extLst>
        </c:ser>
        <c:ser>
          <c:idx val="6"/>
          <c:order val="6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1.5141765661252036E-2"/>
                  <c:y val="0.3905593873928668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('0,125L SpF 10% FBS'!$AG$16,'0,125L SpF 10% FBS'!$AG$23,'0,125L SpF 10% FBS'!$AG$30)</c:f>
              <c:numCache>
                <c:formatCode>General</c:formatCode>
                <c:ptCount val="3"/>
                <c:pt idx="0">
                  <c:v>2.4487111170319054</c:v>
                </c:pt>
                <c:pt idx="2">
                  <c:v>6.0040187393148159</c:v>
                </c:pt>
              </c:numCache>
            </c:numRef>
          </c:xVal>
          <c:yVal>
            <c:numRef>
              <c:f>('0,125L SpF 10% FBS'!$AI$16,'0,125L SpF 10% FBS'!$AI$23,'0,125L SpF 10% FBS'!$AI$30)</c:f>
              <c:numCache>
                <c:formatCode>General</c:formatCode>
                <c:ptCount val="3"/>
                <c:pt idx="0">
                  <c:v>3.5324299999999997</c:v>
                </c:pt>
                <c:pt idx="1">
                  <c:v>5.5032000000000005</c:v>
                </c:pt>
                <c:pt idx="2">
                  <c:v>6.6365100000000004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0AA-4CBF-861E-B34DBF6AD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7686127"/>
        <c:axId val="567674895"/>
      </c:scatterChart>
      <c:valAx>
        <c:axId val="5676861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674895"/>
        <c:crosses val="autoZero"/>
        <c:crossBetween val="midCat"/>
      </c:valAx>
      <c:valAx>
        <c:axId val="567674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68612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nh3 = f(glutamine)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6.0196412948381454E-2"/>
                  <c:y val="-3.356846019247593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('0,125L SpF 10% FBS'!$AK$13,'0,125L SpF 10% FBS'!$AK$20,'0,125L SpF 10% FBS'!$AK$27)</c:f>
              <c:numCache>
                <c:formatCode>General</c:formatCode>
                <c:ptCount val="3"/>
                <c:pt idx="0">
                  <c:v>4.532999999999987E-2</c:v>
                </c:pt>
                <c:pt idx="1">
                  <c:v>0.54874999999999985</c:v>
                </c:pt>
                <c:pt idx="2">
                  <c:v>0.94731999999999972</c:v>
                </c:pt>
              </c:numCache>
            </c:numRef>
          </c:xVal>
          <c:yVal>
            <c:numRef>
              <c:f>('0,125L SpF 10% FBS'!$AM$13,'0,125L SpF 10% FBS'!$AM$20,'0,125L SpF 10% FBS'!$AM$27)</c:f>
              <c:numCache>
                <c:formatCode>General</c:formatCode>
                <c:ptCount val="3"/>
                <c:pt idx="0">
                  <c:v>0.15603</c:v>
                </c:pt>
                <c:pt idx="1">
                  <c:v>0.60682999999999998</c:v>
                </c:pt>
                <c:pt idx="2">
                  <c:v>1.0609999999999999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4B-4CB5-A34F-8CF2CE94A9AB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3760498687664042E-2"/>
                  <c:y val="-9.549686497521142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('0,125L SpF 10% FBS'!$AK$14,'0,125L SpF 10% FBS'!$AK$21,'0,125L SpF 10% FBS'!$AK$28)</c:f>
              <c:numCache>
                <c:formatCode>General</c:formatCode>
                <c:ptCount val="3"/>
                <c:pt idx="0">
                  <c:v>0.4170100000000001</c:v>
                </c:pt>
                <c:pt idx="1">
                  <c:v>0.69117000000000028</c:v>
                </c:pt>
                <c:pt idx="2">
                  <c:v>1.3825000000000003</c:v>
                </c:pt>
              </c:numCache>
            </c:numRef>
          </c:xVal>
          <c:yVal>
            <c:numRef>
              <c:f>('0,125L SpF 10% FBS'!$AM$14,'0,125L SpF 10% FBS'!$AM$21,'0,125L SpF 10% FBS'!$AM$28)</c:f>
              <c:numCache>
                <c:formatCode>General</c:formatCode>
                <c:ptCount val="3"/>
                <c:pt idx="0">
                  <c:v>0.10922999999999999</c:v>
                </c:pt>
                <c:pt idx="1">
                  <c:v>0.60824</c:v>
                </c:pt>
                <c:pt idx="2">
                  <c:v>0.64478000000000002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4B-4CB5-A34F-8CF2CE94A9AB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24104615048118985"/>
                  <c:y val="-8.77701224846894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('0,125L SpF 10% FBS'!$AK$15,'0,125L SpF 10% FBS'!$AK$22,'0,125L SpF 10% FBS'!$AK$29)</c:f>
              <c:numCache>
                <c:formatCode>General</c:formatCode>
                <c:ptCount val="3"/>
                <c:pt idx="0">
                  <c:v>0.17243000000000031</c:v>
                </c:pt>
                <c:pt idx="1">
                  <c:v>0.7721100000000003</c:v>
                </c:pt>
                <c:pt idx="2">
                  <c:v>1.1880000000000002</c:v>
                </c:pt>
              </c:numCache>
            </c:numRef>
          </c:xVal>
          <c:yVal>
            <c:numRef>
              <c:f>('0,125L SpF 10% FBS'!$AM$15,'0,125L SpF 10% FBS'!$AM$22,'0,125L SpF 10% FBS'!$AM$29)</c:f>
              <c:numCache>
                <c:formatCode>General</c:formatCode>
                <c:ptCount val="3"/>
                <c:pt idx="0">
                  <c:v>0.1326</c:v>
                </c:pt>
                <c:pt idx="1">
                  <c:v>0.61758000000000002</c:v>
                </c:pt>
                <c:pt idx="2">
                  <c:v>1.0597799999999999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4B-4CB5-A34F-8CF2CE94A9AB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3498665791776027"/>
                  <c:y val="0.1264683581219014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('0,125L SpF 10% FBS'!$AK$16,'0,125L SpF 10% FBS'!$AK$23,'0,125L SpF 10% FBS'!$AK$30)</c:f>
              <c:numCache>
                <c:formatCode>General</c:formatCode>
                <c:ptCount val="3"/>
                <c:pt idx="0">
                  <c:v>9.827000000000008E-2</c:v>
                </c:pt>
                <c:pt idx="1">
                  <c:v>0.63262000000000018</c:v>
                </c:pt>
                <c:pt idx="2">
                  <c:v>1.0118900000000002</c:v>
                </c:pt>
              </c:numCache>
            </c:numRef>
          </c:xVal>
          <c:yVal>
            <c:numRef>
              <c:f>('0,125L SpF 10% FBS'!$AM$16,'0,125L SpF 10% FBS'!$AM$23,'0,125L SpF 10% FBS'!$AM$30)</c:f>
              <c:numCache>
                <c:formatCode>General</c:formatCode>
                <c:ptCount val="3"/>
                <c:pt idx="0">
                  <c:v>0.15417</c:v>
                </c:pt>
                <c:pt idx="1">
                  <c:v>0.59618000000000004</c:v>
                </c:pt>
                <c:pt idx="2">
                  <c:v>1.0349900000000001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A4B-4CB5-A34F-8CF2CE94A9AB}"/>
            </c:ext>
          </c:extLst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25960279965004374"/>
                  <c:y val="0.4362244823563721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('0,125L SpF 10% FBS'!$AK$17,'0,125L SpF 10% FBS'!$AK$24,'0,125L SpF 10% FBS'!$AK$31)</c:f>
              <c:numCache>
                <c:formatCode>General</c:formatCode>
                <c:ptCount val="3"/>
                <c:pt idx="0">
                  <c:v>0.13017000000000012</c:v>
                </c:pt>
                <c:pt idx="1">
                  <c:v>0.58374999999999999</c:v>
                </c:pt>
                <c:pt idx="2">
                  <c:v>0.96117000000000008</c:v>
                </c:pt>
              </c:numCache>
            </c:numRef>
          </c:xVal>
          <c:yVal>
            <c:numRef>
              <c:f>('0,125L SpF 10% FBS'!$AM$17,'0,125L SpF 10% FBS'!$AM$24,'0,125L SpF 10% FBS'!$AM$31)</c:f>
              <c:numCache>
                <c:formatCode>General</c:formatCode>
                <c:ptCount val="3"/>
                <c:pt idx="0">
                  <c:v>0.16195999999999999</c:v>
                </c:pt>
                <c:pt idx="1">
                  <c:v>0.59663999999999995</c:v>
                </c:pt>
                <c:pt idx="2">
                  <c:v>1.0562400000000001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A4B-4CB5-A34F-8CF2CE94A9AB}"/>
            </c:ext>
          </c:extLst>
        </c:ser>
        <c:ser>
          <c:idx val="5"/>
          <c:order val="5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9.9912155290386981E-2"/>
                  <c:y val="0.505363522956471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('0,125L SpF 10% FBS'!$AK$19,'0,125L SpF 10% FBS'!$AK$26,'0,125L SpF 10% FBS'!$AK$33)</c:f>
              <c:numCache>
                <c:formatCode>General</c:formatCode>
                <c:ptCount val="3"/>
                <c:pt idx="0">
                  <c:v>0.35270000000000001</c:v>
                </c:pt>
                <c:pt idx="1">
                  <c:v>0.95033999999999996</c:v>
                </c:pt>
                <c:pt idx="2">
                  <c:v>1.1607099999999999</c:v>
                </c:pt>
              </c:numCache>
            </c:numRef>
          </c:xVal>
          <c:yVal>
            <c:numRef>
              <c:f>('0,125L SpF 10% FBS'!$AM$19,'0,125L SpF 10% FBS'!$AM$26,'0,125L SpF 10% FBS'!$AM$33)</c:f>
              <c:numCache>
                <c:formatCode>General</c:formatCode>
                <c:ptCount val="3"/>
                <c:pt idx="0">
                  <c:v>0.25442999999999999</c:v>
                </c:pt>
                <c:pt idx="1">
                  <c:v>0.66410000000000002</c:v>
                </c:pt>
                <c:pt idx="2">
                  <c:v>1.0015000000000001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A4B-4CB5-A34F-8CF2CE94A9AB}"/>
            </c:ext>
          </c:extLst>
        </c:ser>
        <c:ser>
          <c:idx val="6"/>
          <c:order val="6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2375793941097489"/>
                  <c:y val="-3.081495236369147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('0,125L SpF 10% FBS'!$AK$18,'0,125L SpF 10% FBS'!$AK$25,'0,125L SpF 10% FBS'!$AK$32)</c:f>
              <c:numCache>
                <c:formatCode>General</c:formatCode>
                <c:ptCount val="3"/>
                <c:pt idx="0">
                  <c:v>0.32608999999999999</c:v>
                </c:pt>
                <c:pt idx="1">
                  <c:v>0.8348199999999999</c:v>
                </c:pt>
                <c:pt idx="2">
                  <c:v>1.20661</c:v>
                </c:pt>
              </c:numCache>
            </c:numRef>
          </c:xVal>
          <c:yVal>
            <c:numRef>
              <c:f>('0,125L SpF 10% FBS'!$AM$18,'0,125L SpF 10% FBS'!$AM$25,'0,125L SpF 10% FBS'!$AM$32)</c:f>
              <c:numCache>
                <c:formatCode>General</c:formatCode>
                <c:ptCount val="3"/>
                <c:pt idx="0">
                  <c:v>0.26630999999999999</c:v>
                </c:pt>
                <c:pt idx="1">
                  <c:v>0.66830999999999996</c:v>
                </c:pt>
                <c:pt idx="2">
                  <c:v>1.0470600000000001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A4B-4CB5-A34F-8CF2CE94A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9702303"/>
        <c:axId val="839708959"/>
      </c:scatterChart>
      <c:valAx>
        <c:axId val="8397023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39708959"/>
        <c:crosses val="autoZero"/>
        <c:crossBetween val="midCat"/>
      </c:valAx>
      <c:valAx>
        <c:axId val="8397089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3970230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cell</a:t>
            </a:r>
            <a:r>
              <a:rPr lang="en-GB" baseline="0"/>
              <a:t> = f(glucose) sp7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('0,125L SpF 10% FBS'!$AG$14,'0,125L SpF 10% FBS'!$AG$21,'0,125L SpF 10% FBS'!$AG$28)</c:f>
              <c:numCache>
                <c:formatCode>General</c:formatCode>
                <c:ptCount val="3"/>
                <c:pt idx="0">
                  <c:v>2.5641111037101183</c:v>
                </c:pt>
                <c:pt idx="1">
                  <c:v>4.2271142787362059</c:v>
                </c:pt>
                <c:pt idx="2">
                  <c:v>8.231199626989941</c:v>
                </c:pt>
              </c:numCache>
            </c:numRef>
          </c:xVal>
          <c:yVal>
            <c:numRef>
              <c:f>('0,125L SpF 10% FBS'!$D$14,'0,125L SpF 10% FBS'!$D$21,'0,125L SpF 10% FBS'!$D$28)</c:f>
              <c:numCache>
                <c:formatCode>0.00E+00</c:formatCode>
                <c:ptCount val="3"/>
                <c:pt idx="0">
                  <c:v>0</c:v>
                </c:pt>
                <c:pt idx="1">
                  <c:v>133333.33333333331</c:v>
                </c:pt>
                <c:pt idx="2">
                  <c:v>120453.33333333326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3F-4AC4-876B-B0E202344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4374335"/>
        <c:axId val="1054372255"/>
      </c:scatterChart>
      <c:valAx>
        <c:axId val="10543743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54372255"/>
        <c:crosses val="autoZero"/>
        <c:crossBetween val="midCat"/>
      </c:valAx>
      <c:valAx>
        <c:axId val="1054372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5437433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cell</a:t>
            </a:r>
            <a:r>
              <a:rPr lang="en-GB" baseline="0"/>
              <a:t> = f(glucose) sp7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3.4325896762904637E-2"/>
                  <c:y val="-6.4410177894429861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('0,125L SpF 10% FBS'!$AK$14,'0,125L SpF 10% FBS'!$AK$21,'0,125L SpF 10% FBS'!$AK$28)</c:f>
              <c:numCache>
                <c:formatCode>General</c:formatCode>
                <c:ptCount val="3"/>
                <c:pt idx="0">
                  <c:v>0.4170100000000001</c:v>
                </c:pt>
                <c:pt idx="1">
                  <c:v>0.69117000000000028</c:v>
                </c:pt>
                <c:pt idx="2">
                  <c:v>1.3825000000000003</c:v>
                </c:pt>
              </c:numCache>
            </c:numRef>
          </c:xVal>
          <c:yVal>
            <c:numRef>
              <c:f>('0,125L SpF 10% FBS'!$D$14,'0,125L SpF 10% FBS'!$D$21,'0,125L SpF 10% FBS'!$D$28)</c:f>
              <c:numCache>
                <c:formatCode>0.00E+00</c:formatCode>
                <c:ptCount val="3"/>
                <c:pt idx="0">
                  <c:v>0</c:v>
                </c:pt>
                <c:pt idx="1">
                  <c:v>133333.33333333331</c:v>
                </c:pt>
                <c:pt idx="2">
                  <c:v>120453.33333333326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B1-4BBA-83B8-44C72F7C9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901263"/>
        <c:axId val="934901679"/>
      </c:scatterChart>
      <c:valAx>
        <c:axId val="9349012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34901679"/>
        <c:crosses val="autoZero"/>
        <c:crossBetween val="midCat"/>
      </c:valAx>
      <c:valAx>
        <c:axId val="934901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349012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'µmax monolayer'!$Y$45:$Y$49</c:f>
              <c:numCache>
                <c:formatCode>General</c:formatCode>
                <c:ptCount val="5"/>
                <c:pt idx="0">
                  <c:v>22</c:v>
                </c:pt>
                <c:pt idx="1">
                  <c:v>28</c:v>
                </c:pt>
                <c:pt idx="2">
                  <c:v>45.75</c:v>
                </c:pt>
                <c:pt idx="3">
                  <c:v>48.75</c:v>
                </c:pt>
                <c:pt idx="4">
                  <c:v>69</c:v>
                </c:pt>
              </c:numCache>
            </c:numRef>
          </c:xVal>
          <c:yVal>
            <c:numRef>
              <c:f>'µmax monolayer'!$Z$45:$Z$49</c:f>
              <c:numCache>
                <c:formatCode>General</c:formatCode>
                <c:ptCount val="5"/>
                <c:pt idx="0">
                  <c:v>0.15124360122309327</c:v>
                </c:pt>
                <c:pt idx="1">
                  <c:v>0.57773632904861771</c:v>
                </c:pt>
                <c:pt idx="2">
                  <c:v>1.1228495130321552</c:v>
                </c:pt>
                <c:pt idx="3">
                  <c:v>1.1303434868295632</c:v>
                </c:pt>
                <c:pt idx="4">
                  <c:v>1.7206214413947154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E9-4AF6-A44A-07920279C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414944"/>
        <c:axId val="129399552"/>
      </c:scatterChart>
      <c:valAx>
        <c:axId val="129414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399552"/>
        <c:crosses val="autoZero"/>
        <c:crossBetween val="midCat"/>
      </c:valAx>
      <c:valAx>
        <c:axId val="129399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4149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2.5131370691785858E-2"/>
                  <c:y val="0.5800687012553352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'µmax monolayer'!$Y$9:$Y$13</c:f>
              <c:numCache>
                <c:formatCode>General</c:formatCode>
                <c:ptCount val="5"/>
                <c:pt idx="0">
                  <c:v>21.75</c:v>
                </c:pt>
                <c:pt idx="1">
                  <c:v>26.5</c:v>
                </c:pt>
                <c:pt idx="2">
                  <c:v>44.5</c:v>
                </c:pt>
                <c:pt idx="3">
                  <c:v>51.5</c:v>
                </c:pt>
                <c:pt idx="4">
                  <c:v>69.5</c:v>
                </c:pt>
              </c:numCache>
            </c:numRef>
          </c:xVal>
          <c:yVal>
            <c:numRef>
              <c:f>'µmax monolayer'!$Z$9:$Z$13</c:f>
              <c:numCache>
                <c:formatCode>General</c:formatCode>
                <c:ptCount val="5"/>
                <c:pt idx="0">
                  <c:v>0.532039020165188</c:v>
                </c:pt>
                <c:pt idx="1">
                  <c:v>0.82627849316312829</c:v>
                </c:pt>
                <c:pt idx="2">
                  <c:v>1.3276053647712109</c:v>
                </c:pt>
                <c:pt idx="3">
                  <c:v>1.6694976688617631</c:v>
                </c:pt>
                <c:pt idx="4">
                  <c:v>1.8722143996184391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D6-412B-8473-54EADC7C3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650112"/>
        <c:axId val="50656768"/>
      </c:scatterChart>
      <c:valAx>
        <c:axId val="50650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656768"/>
        <c:crosses val="autoZero"/>
        <c:crossBetween val="midCat"/>
      </c:valAx>
      <c:valAx>
        <c:axId val="50656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6501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'µmax monolayer'!$Y$21:$Y$25</c:f>
              <c:numCache>
                <c:formatCode>General</c:formatCode>
                <c:ptCount val="5"/>
                <c:pt idx="0">
                  <c:v>23.5</c:v>
                </c:pt>
                <c:pt idx="1">
                  <c:v>29.5</c:v>
                </c:pt>
                <c:pt idx="2">
                  <c:v>47.25</c:v>
                </c:pt>
                <c:pt idx="3">
                  <c:v>54.25</c:v>
                </c:pt>
                <c:pt idx="4">
                  <c:v>71</c:v>
                </c:pt>
              </c:numCache>
            </c:numRef>
          </c:xVal>
          <c:yVal>
            <c:numRef>
              <c:f>'µmax monolayer'!$Z$21:$Z$25</c:f>
              <c:numCache>
                <c:formatCode>General</c:formatCode>
                <c:ptCount val="5"/>
                <c:pt idx="0">
                  <c:v>0.58020242154381096</c:v>
                </c:pt>
                <c:pt idx="1">
                  <c:v>0.8379745329263194</c:v>
                </c:pt>
                <c:pt idx="2">
                  <c:v>1.1922847645307448</c:v>
                </c:pt>
                <c:pt idx="3">
                  <c:v>1.3809048638354526</c:v>
                </c:pt>
                <c:pt idx="4">
                  <c:v>1.6263146949905387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B5-4562-A785-E8E409AD7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521152"/>
        <c:axId val="48523232"/>
      </c:scatterChart>
      <c:valAx>
        <c:axId val="48521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523232"/>
        <c:crosses val="autoZero"/>
        <c:crossBetween val="midCat"/>
      </c:valAx>
      <c:valAx>
        <c:axId val="4852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5211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'µmax monolayer'!$Y$33:$Y$37</c:f>
              <c:numCache>
                <c:formatCode>General</c:formatCode>
                <c:ptCount val="5"/>
                <c:pt idx="0">
                  <c:v>21.25</c:v>
                </c:pt>
                <c:pt idx="1">
                  <c:v>30.25</c:v>
                </c:pt>
                <c:pt idx="2">
                  <c:v>47.5</c:v>
                </c:pt>
                <c:pt idx="3">
                  <c:v>53.5</c:v>
                </c:pt>
                <c:pt idx="4">
                  <c:v>71</c:v>
                </c:pt>
              </c:numCache>
            </c:numRef>
          </c:xVal>
          <c:yVal>
            <c:numRef>
              <c:f>'µmax monolayer'!$Z$33:$Z$37</c:f>
              <c:numCache>
                <c:formatCode>General</c:formatCode>
                <c:ptCount val="5"/>
                <c:pt idx="0">
                  <c:v>0.17898265552843995</c:v>
                </c:pt>
                <c:pt idx="1">
                  <c:v>0.639683110690621</c:v>
                </c:pt>
                <c:pt idx="2">
                  <c:v>1.2616377565203349</c:v>
                </c:pt>
                <c:pt idx="3">
                  <c:v>1.2128334327581325</c:v>
                </c:pt>
                <c:pt idx="4">
                  <c:v>1.8271266130653463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50-47C7-9252-CB17328B1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519072"/>
        <c:axId val="48511584"/>
      </c:scatterChart>
      <c:valAx>
        <c:axId val="48519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511584"/>
        <c:crosses val="autoZero"/>
        <c:crossBetween val="midCat"/>
      </c:valAx>
      <c:valAx>
        <c:axId val="4851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5190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'µmax monolayer'!$Y$58:$Y$61</c:f>
              <c:numCache>
                <c:formatCode>General</c:formatCode>
                <c:ptCount val="4"/>
                <c:pt idx="0">
                  <c:v>30</c:v>
                </c:pt>
                <c:pt idx="1">
                  <c:v>47.5</c:v>
                </c:pt>
                <c:pt idx="2">
                  <c:v>55.5</c:v>
                </c:pt>
                <c:pt idx="3">
                  <c:v>72</c:v>
                </c:pt>
              </c:numCache>
            </c:numRef>
          </c:xVal>
          <c:yVal>
            <c:numRef>
              <c:f>'µmax monolayer'!$Z$58:$Z$61</c:f>
              <c:numCache>
                <c:formatCode>0.00</c:formatCode>
                <c:ptCount val="4"/>
                <c:pt idx="0">
                  <c:v>0.87921172363273425</c:v>
                </c:pt>
                <c:pt idx="1">
                  <c:v>1.2119409739751128</c:v>
                </c:pt>
                <c:pt idx="2">
                  <c:v>1.3701649791900068</c:v>
                </c:pt>
                <c:pt idx="3">
                  <c:v>1.7333355490903379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F1-423C-9050-DB006D308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658848"/>
        <c:axId val="50664256"/>
      </c:scatterChart>
      <c:valAx>
        <c:axId val="5065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664256"/>
        <c:crosses val="autoZero"/>
        <c:crossBetween val="midCat"/>
      </c:valAx>
      <c:valAx>
        <c:axId val="50664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6588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GLUC/LAC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3386309387331793"/>
          <c:y val="0.16245370370370371"/>
          <c:w val="0.78843879897655078"/>
          <c:h val="0.7208876494604841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39620784292536232"/>
                  <c:y val="-8.352872557596967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strRef>
              <c:f>('Ambr250 STBr EV production'!$AM$14,'Ambr250 STBr EV production'!$AM$22,'Ambr250 STBr EV production'!$AM$38)</c:f>
              <c:strCache>
                <c:ptCount val="3"/>
                <c:pt idx="0">
                  <c:v>0.71710</c:v>
                </c:pt>
                <c:pt idx="1">
                  <c:v>2.16390</c:v>
                </c:pt>
                <c:pt idx="2">
                  <c:v>/</c:v>
                </c:pt>
              </c:strCache>
            </c:strRef>
          </c:xVal>
          <c:yVal>
            <c:numRef>
              <c:f>('Ambr250 STBr EV production'!$AQ$14,'Ambr250 STBr EV production'!$AQ$22,'Ambr250 STBr EV production'!$AQ$38)</c:f>
              <c:numCache>
                <c:formatCode>0.00000</c:formatCode>
                <c:ptCount val="3"/>
                <c:pt idx="0">
                  <c:v>2.2753800000000002</c:v>
                </c:pt>
                <c:pt idx="1">
                  <c:v>3.33352</c:v>
                </c:pt>
                <c:pt idx="2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4C-48AF-BFA4-B11E5A024B77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47297810934335482"/>
                  <c:y val="4.111256926217556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strRef>
              <c:f>('Ambr250 STBr EV production'!$AM$15,'Ambr250 STBr EV production'!$AM$23,'Ambr250 STBr EV production'!$AM$39)</c:f>
              <c:strCache>
                <c:ptCount val="3"/>
                <c:pt idx="0">
                  <c:v>1.18742</c:v>
                </c:pt>
                <c:pt idx="1">
                  <c:v>2.44388</c:v>
                </c:pt>
                <c:pt idx="2">
                  <c:v>/</c:v>
                </c:pt>
              </c:strCache>
            </c:strRef>
          </c:xVal>
          <c:yVal>
            <c:numRef>
              <c:f>('Ambr250 STBr EV production'!$AQ$15,'Ambr250 STBr EV production'!$AQ$23)</c:f>
              <c:numCache>
                <c:formatCode>0.00000</c:formatCode>
                <c:ptCount val="2"/>
                <c:pt idx="0">
                  <c:v>2.3260700000000001</c:v>
                </c:pt>
                <c:pt idx="1">
                  <c:v>3.6654800000000001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E4C-48AF-BFA4-B11E5A024B77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29971407252111026"/>
                  <c:y val="-4.469743365412656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('Ambr250 STBr EV production'!$AM$16,'Ambr250 STBr EV production'!$AM$24,'Ambr250 STBr EV production'!$AM$40)</c:f>
              <c:numCache>
                <c:formatCode>0.00000</c:formatCode>
                <c:ptCount val="3"/>
                <c:pt idx="0">
                  <c:v>0.92664135526987756</c:v>
                </c:pt>
                <c:pt idx="1">
                  <c:v>2.1619041275339139</c:v>
                </c:pt>
                <c:pt idx="2">
                  <c:v>0.62834432380825334</c:v>
                </c:pt>
              </c:numCache>
            </c:numRef>
          </c:xVal>
          <c:yVal>
            <c:numRef>
              <c:f>('Ambr250 STBr EV production'!$AQ$16,'Ambr250 STBr EV production'!$AQ$24,'Ambr250 STBr EV production'!$AQ$40)</c:f>
              <c:numCache>
                <c:formatCode>0.00000</c:formatCode>
                <c:ptCount val="3"/>
                <c:pt idx="0">
                  <c:v>1.53616</c:v>
                </c:pt>
                <c:pt idx="1">
                  <c:v>2.6933199999999999</c:v>
                </c:pt>
                <c:pt idx="2">
                  <c:v>0.89468999999999999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E4C-48AF-BFA4-B11E5A024B77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4.4248219859001882E-2"/>
                  <c:y val="-0.1410892388451443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strRef>
              <c:f>('Ambr250 STBr EV production'!$AM$17,'Ambr250 STBr EV production'!$AM$25,'Ambr250 STBr EV production'!$AM$41)</c:f>
              <c:strCache>
                <c:ptCount val="3"/>
                <c:pt idx="0">
                  <c:v>/</c:v>
                </c:pt>
                <c:pt idx="1">
                  <c:v>2.00976</c:v>
                </c:pt>
                <c:pt idx="2">
                  <c:v>0.24362</c:v>
                </c:pt>
              </c:strCache>
            </c:strRef>
          </c:xVal>
          <c:yVal>
            <c:numRef>
              <c:f>('Ambr250 STBr EV production'!$AQ$18,'Ambr250 STBr EV production'!$AQ$25,'Ambr250 STBr EV production'!$AQ$41)</c:f>
              <c:numCache>
                <c:formatCode>0.00000</c:formatCode>
                <c:ptCount val="3"/>
                <c:pt idx="0">
                  <c:v>2.2390500000000002</c:v>
                </c:pt>
                <c:pt idx="1">
                  <c:v>3.0398200000000002</c:v>
                </c:pt>
                <c:pt idx="2">
                  <c:v>0.91603000000000001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E4C-48AF-BFA4-B11E5A024B77}"/>
            </c:ext>
          </c:extLst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20629979397762135"/>
                  <c:y val="0.1870465150189559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('Ambr250 STBr EV production'!$AM$18,'Ambr250 STBr EV production'!$AM$26,'Ambr250 STBr EV production'!$AM$42)</c:f>
              <c:numCache>
                <c:formatCode>0.00000</c:formatCode>
                <c:ptCount val="3"/>
                <c:pt idx="0">
                  <c:v>0.99863451675215131</c:v>
                </c:pt>
                <c:pt idx="1">
                  <c:v>1.8159817047447788</c:v>
                </c:pt>
                <c:pt idx="2">
                  <c:v>0.94756766358045219</c:v>
                </c:pt>
              </c:numCache>
            </c:numRef>
          </c:xVal>
          <c:yVal>
            <c:numRef>
              <c:f>('Ambr250 STBr EV production'!$AQ$18,'Ambr250 STBr EV production'!$AQ$26,'Ambr250 STBr EV production'!$AQ$42)</c:f>
              <c:numCache>
                <c:formatCode>0.00000</c:formatCode>
                <c:ptCount val="3"/>
                <c:pt idx="0">
                  <c:v>2.2390500000000002</c:v>
                </c:pt>
                <c:pt idx="1">
                  <c:v>3.4861900000000001</c:v>
                </c:pt>
                <c:pt idx="2">
                  <c:v>0.84482999999999986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E4C-48AF-BFA4-B11E5A024B77}"/>
            </c:ext>
          </c:extLst>
        </c:ser>
        <c:ser>
          <c:idx val="5"/>
          <c:order val="5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1.4386948865240879E-2"/>
                  <c:y val="3.587088072324292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('Ambr250 STBr EV production'!$AM$19,'Ambr250 STBr EV production'!$AM$27,'Ambr250 STBr EV production'!$AM$43)</c:f>
              <c:numCache>
                <c:formatCode>0.00000</c:formatCode>
                <c:ptCount val="3"/>
                <c:pt idx="0">
                  <c:v>0.92197872954550597</c:v>
                </c:pt>
                <c:pt idx="1">
                  <c:v>1.95341814871556</c:v>
                </c:pt>
                <c:pt idx="2">
                  <c:v>0.44672395035413714</c:v>
                </c:pt>
              </c:numCache>
            </c:numRef>
          </c:xVal>
          <c:yVal>
            <c:numRef>
              <c:f>('Ambr250 STBr EV production'!$AQ$19,'Ambr250 STBr EV production'!$AQ$27,'Ambr250 STBr EV production'!$AQ$43)</c:f>
              <c:numCache>
                <c:formatCode>0.00000</c:formatCode>
                <c:ptCount val="3"/>
                <c:pt idx="0">
                  <c:v>2.3035700000000001</c:v>
                </c:pt>
                <c:pt idx="1">
                  <c:v>3.5377400000000003</c:v>
                </c:pt>
                <c:pt idx="2">
                  <c:v>1.01847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E4C-48AF-BFA4-B11E5A024B77}"/>
            </c:ext>
          </c:extLst>
        </c:ser>
        <c:ser>
          <c:idx val="6"/>
          <c:order val="6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('Ambr250 STBr EV production'!$AM$20,'Ambr250 STBr EV production'!$AM$28,'Ambr250 STBr EV production'!$AM$44)</c:f>
              <c:numCache>
                <c:formatCode>0.00000</c:formatCode>
                <c:ptCount val="3"/>
                <c:pt idx="0">
                  <c:v>1.6458513732542919</c:v>
                </c:pt>
                <c:pt idx="1">
                  <c:v>2.2245165301183434</c:v>
                </c:pt>
                <c:pt idx="2">
                  <c:v>0.39815493239192712</c:v>
                </c:pt>
              </c:numCache>
            </c:numRef>
          </c:xVal>
          <c:yVal>
            <c:numRef>
              <c:f>('Ambr250 STBr EV production'!$AQ$20,'Ambr250 STBr EV production'!$AQ$28,'Ambr250 STBr EV production'!$AQ$44)</c:f>
              <c:numCache>
                <c:formatCode>0.00000</c:formatCode>
                <c:ptCount val="3"/>
                <c:pt idx="0">
                  <c:v>1.4994000000000001</c:v>
                </c:pt>
                <c:pt idx="1">
                  <c:v>2.5789200000000001</c:v>
                </c:pt>
                <c:pt idx="2">
                  <c:v>0.71092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E4C-48AF-BFA4-B11E5A024B77}"/>
            </c:ext>
          </c:extLst>
        </c:ser>
        <c:ser>
          <c:idx val="7"/>
          <c:order val="7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8.7387252599464657E-2"/>
                  <c:y val="-9.762029746281715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('Ambr250 STBr EV production'!$AM$21,'Ambr250 STBr EV production'!$AM$29,'Ambr250 STBr EV production'!$AM$45)</c:f>
              <c:numCache>
                <c:formatCode>0.00000</c:formatCode>
                <c:ptCount val="3"/>
                <c:pt idx="0">
                  <c:v>1.1090388330113914</c:v>
                </c:pt>
                <c:pt idx="1">
                  <c:v>2.8966007238171372</c:v>
                </c:pt>
                <c:pt idx="2">
                  <c:v>0.22968982437442875</c:v>
                </c:pt>
              </c:numCache>
            </c:numRef>
          </c:xVal>
          <c:yVal>
            <c:numRef>
              <c:f>('Ambr250 STBr EV production'!$AQ$21,'Ambr250 STBr EV production'!$AQ$29,'Ambr250 STBr EV production'!$AQ$45)</c:f>
              <c:numCache>
                <c:formatCode>0.00000</c:formatCode>
                <c:ptCount val="3"/>
                <c:pt idx="0">
                  <c:v>1.7174800000000001</c:v>
                </c:pt>
                <c:pt idx="1">
                  <c:v>2.53905</c:v>
                </c:pt>
                <c:pt idx="2">
                  <c:v>0.7911999999999999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E4C-48AF-BFA4-B11E5A024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899183"/>
        <c:axId val="934900015"/>
      </c:scatterChart>
      <c:valAx>
        <c:axId val="9348991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34900015"/>
        <c:crosses val="autoZero"/>
        <c:crossBetween val="midCat"/>
      </c:valAx>
      <c:valAx>
        <c:axId val="9349000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348991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'µmax monolayer'!$Y$69:$Y$73</c:f>
              <c:numCache>
                <c:formatCode>General</c:formatCode>
                <c:ptCount val="5"/>
                <c:pt idx="0">
                  <c:v>19</c:v>
                </c:pt>
                <c:pt idx="1">
                  <c:v>25.5</c:v>
                </c:pt>
                <c:pt idx="2">
                  <c:v>45.5</c:v>
                </c:pt>
                <c:pt idx="4">
                  <c:v>66.5</c:v>
                </c:pt>
              </c:numCache>
            </c:numRef>
          </c:xVal>
          <c:yVal>
            <c:numRef>
              <c:f>'µmax monolayer'!$Z$69:$Z$73</c:f>
              <c:numCache>
                <c:formatCode>General</c:formatCode>
                <c:ptCount val="5"/>
                <c:pt idx="0">
                  <c:v>6.0718735034705797E-2</c:v>
                </c:pt>
                <c:pt idx="1">
                  <c:v>0.29252034909203023</c:v>
                </c:pt>
                <c:pt idx="2">
                  <c:v>0.91075544037547806</c:v>
                </c:pt>
                <c:pt idx="4">
                  <c:v>1.4692558818342378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A9-4AD6-A21C-9E1DAAAC1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659264"/>
        <c:axId val="50656352"/>
      </c:scatterChart>
      <c:valAx>
        <c:axId val="50659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656352"/>
        <c:crosses val="autoZero"/>
        <c:crossBetween val="midCat"/>
      </c:valAx>
      <c:valAx>
        <c:axId val="50656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6592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3.6711723534558177E-2"/>
                  <c:y val="-2.276210265383493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'µmax monolayer'!$G$9:$G$13</c:f>
              <c:numCache>
                <c:formatCode>General</c:formatCode>
                <c:ptCount val="5"/>
                <c:pt idx="0">
                  <c:v>21.75</c:v>
                </c:pt>
                <c:pt idx="1">
                  <c:v>29.25</c:v>
                </c:pt>
                <c:pt idx="2">
                  <c:v>46</c:v>
                </c:pt>
                <c:pt idx="3">
                  <c:v>53.25</c:v>
                </c:pt>
                <c:pt idx="4">
                  <c:v>70.25</c:v>
                </c:pt>
              </c:numCache>
            </c:numRef>
          </c:xVal>
          <c:yVal>
            <c:numRef>
              <c:f>'µmax monolayer'!$H$9:$H$13</c:f>
              <c:numCache>
                <c:formatCode>General</c:formatCode>
                <c:ptCount val="5"/>
                <c:pt idx="0">
                  <c:v>0.33275103581935905</c:v>
                </c:pt>
                <c:pt idx="1">
                  <c:v>0.57935118608101799</c:v>
                </c:pt>
                <c:pt idx="2">
                  <c:v>1.3315002090327521</c:v>
                </c:pt>
                <c:pt idx="3">
                  <c:v>1.3990131335276652</c:v>
                </c:pt>
                <c:pt idx="4">
                  <c:v>1.8658026773798724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82-4F2C-BE47-423AB479E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408704"/>
        <c:axId val="129397472"/>
      </c:scatterChart>
      <c:valAx>
        <c:axId val="129408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397472"/>
        <c:crosses val="autoZero"/>
        <c:crossBetween val="midCat"/>
      </c:valAx>
      <c:valAx>
        <c:axId val="1293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4087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'µmax monolayer'!$G$21:$G$25</c:f>
              <c:numCache>
                <c:formatCode>General</c:formatCode>
                <c:ptCount val="5"/>
                <c:pt idx="0">
                  <c:v>20.5</c:v>
                </c:pt>
                <c:pt idx="1">
                  <c:v>27.25</c:v>
                </c:pt>
                <c:pt idx="2">
                  <c:v>47.75</c:v>
                </c:pt>
                <c:pt idx="4">
                  <c:v>69.75</c:v>
                </c:pt>
              </c:numCache>
            </c:numRef>
          </c:xVal>
          <c:yVal>
            <c:numRef>
              <c:f>'µmax monolayer'!$H$21:$H$25</c:f>
              <c:numCache>
                <c:formatCode>General</c:formatCode>
                <c:ptCount val="5"/>
                <c:pt idx="0">
                  <c:v>0.21220393127582415</c:v>
                </c:pt>
                <c:pt idx="1">
                  <c:v>0.35767444427181588</c:v>
                </c:pt>
                <c:pt idx="2">
                  <c:v>0.95300831480931791</c:v>
                </c:pt>
                <c:pt idx="4">
                  <c:v>1.6647780074672651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C9-4CCC-8444-43808AA491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519072"/>
        <c:axId val="48529056"/>
      </c:scatterChart>
      <c:valAx>
        <c:axId val="48519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529056"/>
        <c:crosses val="autoZero"/>
        <c:crossBetween val="midCat"/>
      </c:valAx>
      <c:valAx>
        <c:axId val="48529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5190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'µmax monolayer'!$P$10:$P$13</c:f>
              <c:numCache>
                <c:formatCode>General</c:formatCode>
                <c:ptCount val="4"/>
                <c:pt idx="0">
                  <c:v>26.75</c:v>
                </c:pt>
                <c:pt idx="1">
                  <c:v>42.25</c:v>
                </c:pt>
                <c:pt idx="2">
                  <c:v>51</c:v>
                </c:pt>
                <c:pt idx="3">
                  <c:v>66.5</c:v>
                </c:pt>
              </c:numCache>
            </c:numRef>
          </c:xVal>
          <c:yVal>
            <c:numRef>
              <c:f>'µmax monolayer'!$Q$10:$Q$13</c:f>
              <c:numCache>
                <c:formatCode>0.00</c:formatCode>
                <c:ptCount val="4"/>
                <c:pt idx="0">
                  <c:v>0.30974684504919353</c:v>
                </c:pt>
                <c:pt idx="1">
                  <c:v>0.9199241231065759</c:v>
                </c:pt>
                <c:pt idx="2">
                  <c:v>1.2164071761061124</c:v>
                </c:pt>
                <c:pt idx="3">
                  <c:v>1.5950996084928186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26-4F2F-A29D-F761A201D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395808"/>
        <c:axId val="129398304"/>
      </c:scatterChart>
      <c:valAx>
        <c:axId val="129395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398304"/>
        <c:crosses val="autoZero"/>
        <c:crossBetween val="midCat"/>
      </c:valAx>
      <c:valAx>
        <c:axId val="129398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3958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'µmax monolayer'!$P$21:$P$25</c:f>
              <c:numCache>
                <c:formatCode>General</c:formatCode>
                <c:ptCount val="5"/>
                <c:pt idx="0">
                  <c:v>24</c:v>
                </c:pt>
                <c:pt idx="1">
                  <c:v>31</c:v>
                </c:pt>
                <c:pt idx="2">
                  <c:v>48.5</c:v>
                </c:pt>
                <c:pt idx="3">
                  <c:v>53.5</c:v>
                </c:pt>
                <c:pt idx="4">
                  <c:v>71</c:v>
                </c:pt>
              </c:numCache>
            </c:numRef>
          </c:xVal>
          <c:yVal>
            <c:numRef>
              <c:f>'µmax monolayer'!$Q$21:$Q$25</c:f>
              <c:numCache>
                <c:formatCode>0.00</c:formatCode>
                <c:ptCount val="5"/>
                <c:pt idx="0">
                  <c:v>0.39700273636124545</c:v>
                </c:pt>
                <c:pt idx="1">
                  <c:v>0.78595423014615173</c:v>
                </c:pt>
                <c:pt idx="2">
                  <c:v>1.325269659282116</c:v>
                </c:pt>
                <c:pt idx="3">
                  <c:v>1.3625138324544872</c:v>
                </c:pt>
                <c:pt idx="4">
                  <c:v>1.6974487897568136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4A-4A9A-8072-E3D61B89F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955568"/>
        <c:axId val="121953904"/>
      </c:scatterChart>
      <c:valAx>
        <c:axId val="121955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1953904"/>
        <c:crosses val="autoZero"/>
        <c:crossBetween val="midCat"/>
      </c:valAx>
      <c:valAx>
        <c:axId val="12195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19555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'µmax monolayer'!$P$33:$P$37</c:f>
              <c:numCache>
                <c:formatCode>General</c:formatCode>
                <c:ptCount val="5"/>
                <c:pt idx="0">
                  <c:v>22.5</c:v>
                </c:pt>
                <c:pt idx="1">
                  <c:v>29.25</c:v>
                </c:pt>
                <c:pt idx="2">
                  <c:v>46.25</c:v>
                </c:pt>
                <c:pt idx="3">
                  <c:v>53.25</c:v>
                </c:pt>
                <c:pt idx="4">
                  <c:v>70.25</c:v>
                </c:pt>
              </c:numCache>
            </c:numRef>
          </c:xVal>
          <c:yVal>
            <c:numRef>
              <c:f>'µmax monolayer'!$Q$33:$Q$37</c:f>
              <c:numCache>
                <c:formatCode>0.00</c:formatCode>
                <c:ptCount val="5"/>
                <c:pt idx="0">
                  <c:v>0.4471443350996529</c:v>
                </c:pt>
                <c:pt idx="1">
                  <c:v>0.67793201475346498</c:v>
                </c:pt>
                <c:pt idx="2">
                  <c:v>1.1512806372351936</c:v>
                </c:pt>
                <c:pt idx="3">
                  <c:v>1.3881925584029708</c:v>
                </c:pt>
                <c:pt idx="4">
                  <c:v>1.7927589695611386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22-457D-931C-94126AE56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663424"/>
        <c:axId val="50665088"/>
      </c:scatterChart>
      <c:valAx>
        <c:axId val="50663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665088"/>
        <c:crosses val="autoZero"/>
        <c:crossBetween val="midCat"/>
      </c:valAx>
      <c:valAx>
        <c:axId val="5066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6634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'µmax monolayer'!$P$45:$P$49</c:f>
              <c:numCache>
                <c:formatCode>General</c:formatCode>
                <c:ptCount val="5"/>
                <c:pt idx="0">
                  <c:v>21.5</c:v>
                </c:pt>
                <c:pt idx="1">
                  <c:v>29</c:v>
                </c:pt>
                <c:pt idx="2">
                  <c:v>45.75</c:v>
                </c:pt>
                <c:pt idx="3">
                  <c:v>53</c:v>
                </c:pt>
                <c:pt idx="4">
                  <c:v>70</c:v>
                </c:pt>
              </c:numCache>
            </c:numRef>
          </c:xVal>
          <c:yVal>
            <c:numRef>
              <c:f>'µmax monolayer'!$Q$45:$Q$49</c:f>
              <c:numCache>
                <c:formatCode>0.00</c:formatCode>
                <c:ptCount val="5"/>
                <c:pt idx="0">
                  <c:v>0.36380943283933187</c:v>
                </c:pt>
                <c:pt idx="1">
                  <c:v>0.54562117570432456</c:v>
                </c:pt>
                <c:pt idx="2">
                  <c:v>1.1711189794548578</c:v>
                </c:pt>
                <c:pt idx="3">
                  <c:v>1.4228769821815779</c:v>
                </c:pt>
                <c:pt idx="4">
                  <c:v>1.8704412512622499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BE-4357-B592-055EADDAA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649280"/>
        <c:axId val="50646368"/>
      </c:scatterChart>
      <c:valAx>
        <c:axId val="50649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646368"/>
        <c:crosses val="autoZero"/>
        <c:crossBetween val="midCat"/>
      </c:valAx>
      <c:valAx>
        <c:axId val="506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6492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'µmax monolayer'!$G$70:$G$73</c:f>
              <c:numCache>
                <c:formatCode>General</c:formatCode>
                <c:ptCount val="4"/>
                <c:pt idx="0">
                  <c:v>31.25</c:v>
                </c:pt>
                <c:pt idx="1">
                  <c:v>46.5</c:v>
                </c:pt>
                <c:pt idx="2">
                  <c:v>54.167000000000002</c:v>
                </c:pt>
                <c:pt idx="3">
                  <c:v>69.75</c:v>
                </c:pt>
              </c:numCache>
            </c:numRef>
          </c:xVal>
          <c:yVal>
            <c:numRef>
              <c:f>'µmax monolayer'!$H$70:$H$73</c:f>
              <c:numCache>
                <c:formatCode>General</c:formatCode>
                <c:ptCount val="4"/>
                <c:pt idx="0">
                  <c:v>0.38048912203798729</c:v>
                </c:pt>
                <c:pt idx="1">
                  <c:v>0.90016134994427144</c:v>
                </c:pt>
                <c:pt idx="2">
                  <c:v>1.0508216248317612</c:v>
                </c:pt>
                <c:pt idx="3">
                  <c:v>1.5876421000636429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DF4-4243-8A39-62B1C0977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6854559"/>
        <c:axId val="476849151"/>
      </c:scatterChart>
      <c:valAx>
        <c:axId val="4768545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6849151"/>
        <c:crosses val="autoZero"/>
        <c:crossBetween val="midCat"/>
      </c:valAx>
      <c:valAx>
        <c:axId val="476849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68545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'µmax monolayer'!$G$82:$G$85</c:f>
              <c:numCache>
                <c:formatCode>General</c:formatCode>
                <c:ptCount val="4"/>
                <c:pt idx="0">
                  <c:v>29.75</c:v>
                </c:pt>
                <c:pt idx="1">
                  <c:v>47</c:v>
                </c:pt>
                <c:pt idx="2">
                  <c:v>54</c:v>
                </c:pt>
                <c:pt idx="3">
                  <c:v>71.5</c:v>
                </c:pt>
              </c:numCache>
            </c:numRef>
          </c:xVal>
          <c:yVal>
            <c:numRef>
              <c:f>'µmax monolayer'!$H$82:$H$85</c:f>
              <c:numCache>
                <c:formatCode>General</c:formatCode>
                <c:ptCount val="4"/>
                <c:pt idx="0">
                  <c:v>0.58634117624213611</c:v>
                </c:pt>
                <c:pt idx="1">
                  <c:v>1.0238887424721732</c:v>
                </c:pt>
                <c:pt idx="2">
                  <c:v>1.0841076024652279</c:v>
                </c:pt>
                <c:pt idx="3">
                  <c:v>1.6236563496716558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E5-4747-9BBC-6FF8C48441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4207855"/>
        <c:axId val="514217423"/>
      </c:scatterChart>
      <c:valAx>
        <c:axId val="5142078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4217423"/>
        <c:crosses val="autoZero"/>
        <c:crossBetween val="midCat"/>
      </c:valAx>
      <c:valAx>
        <c:axId val="514217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42078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'µmax monolayer'!$G$56:$G$60</c:f>
              <c:numCache>
                <c:formatCode>General</c:formatCode>
                <c:ptCount val="5"/>
                <c:pt idx="0">
                  <c:v>21.75</c:v>
                </c:pt>
                <c:pt idx="1">
                  <c:v>31</c:v>
                </c:pt>
                <c:pt idx="2">
                  <c:v>46.667000000000002</c:v>
                </c:pt>
                <c:pt idx="3">
                  <c:v>54.25</c:v>
                </c:pt>
                <c:pt idx="4">
                  <c:v>70.5</c:v>
                </c:pt>
              </c:numCache>
            </c:numRef>
          </c:xVal>
          <c:yVal>
            <c:numRef>
              <c:f>'µmax monolayer'!$H$56:$H$60</c:f>
              <c:numCache>
                <c:formatCode>General</c:formatCode>
                <c:ptCount val="5"/>
                <c:pt idx="0">
                  <c:v>0.26543645999999999</c:v>
                </c:pt>
                <c:pt idx="1">
                  <c:v>0.63585698999999996</c:v>
                </c:pt>
                <c:pt idx="2">
                  <c:v>1.0698012100000001</c:v>
                </c:pt>
                <c:pt idx="3">
                  <c:v>1.43430327</c:v>
                </c:pt>
                <c:pt idx="4">
                  <c:v>1.9780730500000001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9E-4F04-80E9-B6420DC1D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4241551"/>
        <c:axId val="514241967"/>
      </c:scatterChart>
      <c:valAx>
        <c:axId val="5142415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4241967"/>
        <c:crosses val="autoZero"/>
        <c:crossBetween val="midCat"/>
      </c:valAx>
      <c:valAx>
        <c:axId val="5142419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424155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GLUTA/NH4</a:t>
            </a:r>
          </a:p>
        </c:rich>
      </c:tx>
      <c:layout>
        <c:manualLayout>
          <c:xMode val="edge"/>
          <c:yMode val="edge"/>
          <c:x val="0.34317344706911634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6460055685221758"/>
          <c:y val="0.17073171615743002"/>
          <c:w val="0.74558778686866101"/>
          <c:h val="0.7224826257373233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strRef>
              <c:f>('Ambr250 STBr EV production'!$AS$14,'Ambr250 STBr EV production'!$AS$22,'Ambr250 STBr EV production'!$AS$38)</c:f>
              <c:strCache>
                <c:ptCount val="3"/>
                <c:pt idx="0">
                  <c:v>1.21562</c:v>
                </c:pt>
                <c:pt idx="1">
                  <c:v>1.88795</c:v>
                </c:pt>
                <c:pt idx="2">
                  <c:v>/</c:v>
                </c:pt>
              </c:strCache>
            </c:strRef>
          </c:xVal>
          <c:yVal>
            <c:numRef>
              <c:f>('Ambr250 STBr EV production'!$AO$14,'Ambr250 STBr EV production'!$AO$22,'Ambr250 STBr EV production'!$AO$38)</c:f>
              <c:numCache>
                <c:formatCode>0.00000</c:formatCode>
                <c:ptCount val="3"/>
                <c:pt idx="0">
                  <c:v>0.92909000000000019</c:v>
                </c:pt>
                <c:pt idx="1">
                  <c:v>1.2956000000000003</c:v>
                </c:pt>
                <c:pt idx="2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7E-477A-9F09-FB52068BDA94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29129669051954826"/>
                  <c:y val="-5.0462962962962961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strRef>
              <c:f>('Ambr250 STBr EV production'!$AS$15,'Ambr250 STBr EV production'!$AS$23,'Ambr250 STBr EV production'!$AS$39)</c:f>
              <c:strCache>
                <c:ptCount val="3"/>
                <c:pt idx="0">
                  <c:v>1.21862</c:v>
                </c:pt>
                <c:pt idx="1">
                  <c:v>1.71302</c:v>
                </c:pt>
                <c:pt idx="2">
                  <c:v>/</c:v>
                </c:pt>
              </c:strCache>
            </c:strRef>
          </c:xVal>
          <c:yVal>
            <c:numRef>
              <c:f>('Ambr250 STBr EV production'!$AO$15,'Ambr250 STBr EV production'!$AO$23,'Ambr250 STBr EV production'!$AO$39)</c:f>
              <c:numCache>
                <c:formatCode>0.00000</c:formatCode>
                <c:ptCount val="3"/>
                <c:pt idx="0">
                  <c:v>0.65046000000000004</c:v>
                </c:pt>
                <c:pt idx="1">
                  <c:v>1.3260000000000001</c:v>
                </c:pt>
                <c:pt idx="2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7E-477A-9F09-FB52068BDA94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('Ambr250 STBr EV production'!$AS$16,'Ambr250 STBr EV production'!$AS$24,'Ambr250 STBr EV production'!$AS$40)</c:f>
              <c:numCache>
                <c:formatCode>0.00000</c:formatCode>
                <c:ptCount val="3"/>
                <c:pt idx="0">
                  <c:v>0.12514000000000003</c:v>
                </c:pt>
                <c:pt idx="1">
                  <c:v>0.90147999999999984</c:v>
                </c:pt>
                <c:pt idx="2">
                  <c:v>0.58835999999999977</c:v>
                </c:pt>
              </c:numCache>
            </c:numRef>
          </c:xVal>
          <c:yVal>
            <c:numRef>
              <c:f>('Ambr250 STBr EV production'!$AO$16,'Ambr250 STBr EV production'!$AO$24,'Ambr250 STBr EV production'!$AO$40)</c:f>
              <c:numCache>
                <c:formatCode>0.00000</c:formatCode>
                <c:ptCount val="3"/>
                <c:pt idx="0">
                  <c:v>1.29837</c:v>
                </c:pt>
                <c:pt idx="1">
                  <c:v>1.8964300000000001</c:v>
                </c:pt>
                <c:pt idx="2">
                  <c:v>0.51756999999999986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07E-477A-9F09-FB52068BDA94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strRef>
              <c:f>('Ambr250 STBr EV production'!$AS$17,'Ambr250 STBr EV production'!$AS$25,'Ambr250 STBr EV production'!$AS$41)</c:f>
              <c:strCache>
                <c:ptCount val="3"/>
                <c:pt idx="0">
                  <c:v>/</c:v>
                </c:pt>
                <c:pt idx="1">
                  <c:v>0.77813</c:v>
                </c:pt>
                <c:pt idx="2">
                  <c:v>0.34486</c:v>
                </c:pt>
              </c:strCache>
            </c:strRef>
          </c:xVal>
          <c:yVal>
            <c:numRef>
              <c:f>('Ambr250 STBr EV production'!$AO$17,'Ambr250 STBr EV production'!$AO$25,'Ambr250 STBr EV production'!$AO$41)</c:f>
              <c:numCache>
                <c:formatCode>0.00000</c:formatCode>
                <c:ptCount val="3"/>
                <c:pt idx="0" formatCode="General">
                  <c:v>0</c:v>
                </c:pt>
                <c:pt idx="1">
                  <c:v>2.0172400000000001</c:v>
                </c:pt>
                <c:pt idx="2">
                  <c:v>0.53699000000000008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07E-477A-9F09-FB52068BDA94}"/>
            </c:ext>
          </c:extLst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('Ambr250 STBr EV production'!$AS$18,'Ambr250 STBr EV production'!$AS$26,'Ambr250 STBr EV production'!$AS$42)</c:f>
              <c:numCache>
                <c:formatCode>0.00000</c:formatCode>
                <c:ptCount val="3"/>
                <c:pt idx="0">
                  <c:v>0.34956000000000031</c:v>
                </c:pt>
                <c:pt idx="1">
                  <c:v>0.93579999999999997</c:v>
                </c:pt>
                <c:pt idx="2">
                  <c:v>0.32800999999999991</c:v>
                </c:pt>
              </c:numCache>
            </c:numRef>
          </c:xVal>
          <c:yVal>
            <c:numRef>
              <c:f>('Ambr250 STBr EV production'!$AO$18,'Ambr250 STBr EV production'!$AO$26,'Ambr250 STBr EV production'!$AO$42)</c:f>
              <c:numCache>
                <c:formatCode>0.00000</c:formatCode>
                <c:ptCount val="3"/>
                <c:pt idx="0">
                  <c:v>0.29369999999999985</c:v>
                </c:pt>
                <c:pt idx="1">
                  <c:v>0.89126000000000016</c:v>
                </c:pt>
                <c:pt idx="2">
                  <c:v>0.42212000000000005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07E-477A-9F09-FB52068BDA94}"/>
            </c:ext>
          </c:extLst>
        </c:ser>
        <c:ser>
          <c:idx val="5"/>
          <c:order val="5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('Ambr250 STBr EV production'!$AS$19,'Ambr250 STBr EV production'!$AS$27,'Ambr250 STBr EV production'!$AS$43)</c:f>
              <c:numCache>
                <c:formatCode>0.00000</c:formatCode>
                <c:ptCount val="3"/>
                <c:pt idx="0">
                  <c:v>0.61120000000000019</c:v>
                </c:pt>
                <c:pt idx="1">
                  <c:v>0.99648000000000003</c:v>
                </c:pt>
                <c:pt idx="2">
                  <c:v>0.27732000000000046</c:v>
                </c:pt>
              </c:numCache>
            </c:numRef>
          </c:xVal>
          <c:yVal>
            <c:numRef>
              <c:f>('Ambr250 STBr EV production'!$AO$19,'Ambr250 STBr EV production'!$AO$27,'Ambr250 STBr EV production'!$AO$43)</c:f>
              <c:numCache>
                <c:formatCode>0.00000</c:formatCode>
                <c:ptCount val="3"/>
                <c:pt idx="0">
                  <c:v>0.17405000000000004</c:v>
                </c:pt>
                <c:pt idx="1">
                  <c:v>0.79377000000000009</c:v>
                </c:pt>
                <c:pt idx="2">
                  <c:v>0.49571000000000009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07E-477A-9F09-FB52068BDA94}"/>
            </c:ext>
          </c:extLst>
        </c:ser>
        <c:ser>
          <c:idx val="6"/>
          <c:order val="6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('Ambr250 STBr EV production'!$AS$20,'Ambr250 STBr EV production'!$AS$28,'Ambr250 STBr EV production'!$AS$44)</c:f>
              <c:numCache>
                <c:formatCode>0.00000</c:formatCode>
                <c:ptCount val="3"/>
                <c:pt idx="0">
                  <c:v>0.87457999999999991</c:v>
                </c:pt>
                <c:pt idx="1">
                  <c:v>1.4022599999999996</c:v>
                </c:pt>
                <c:pt idx="2">
                  <c:v>1.0036899999999997</c:v>
                </c:pt>
              </c:numCache>
            </c:numRef>
          </c:xVal>
          <c:yVal>
            <c:numRef>
              <c:f>('Ambr250 STBr EV production'!$AO$20,'Ambr250 STBr EV production'!$AO$28,'Ambr250 STBr EV production'!$AO$44)</c:f>
              <c:numCache>
                <c:formatCode>0.00000</c:formatCode>
                <c:ptCount val="3"/>
                <c:pt idx="0">
                  <c:v>0.48998999999999993</c:v>
                </c:pt>
                <c:pt idx="1">
                  <c:v>1.1052299999999999</c:v>
                </c:pt>
                <c:pt idx="2">
                  <c:v>0.73111999999999999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07E-477A-9F09-FB52068BDA94}"/>
            </c:ext>
          </c:extLst>
        </c:ser>
        <c:ser>
          <c:idx val="7"/>
          <c:order val="7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0.14312013929854858"/>
                  <c:y val="-0.2644584964077121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('Ambr250 STBr EV production'!$AS$21,'Ambr250 STBr EV production'!$AS$29,'Ambr250 STBr EV production'!$AS$45)</c:f>
              <c:numCache>
                <c:formatCode>0.00000</c:formatCode>
                <c:ptCount val="3"/>
                <c:pt idx="0">
                  <c:v>0.85732999999999926</c:v>
                </c:pt>
                <c:pt idx="1">
                  <c:v>1.4285199999999998</c:v>
                </c:pt>
                <c:pt idx="2">
                  <c:v>0.40056999999999965</c:v>
                </c:pt>
              </c:numCache>
            </c:numRef>
          </c:xVal>
          <c:yVal>
            <c:numRef>
              <c:f>('Ambr250 STBr EV production'!$AO$21,'Ambr250 STBr EV production'!$AO$29,'Ambr250 STBr EV production'!$AO$45)</c:f>
              <c:numCache>
                <c:formatCode>0.00000</c:formatCode>
                <c:ptCount val="3"/>
                <c:pt idx="0">
                  <c:v>0.59292999999999996</c:v>
                </c:pt>
                <c:pt idx="1">
                  <c:v>1.0487299999999999</c:v>
                </c:pt>
                <c:pt idx="2">
                  <c:v>0.54340000000000011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07E-477A-9F09-FB52068BD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900847"/>
        <c:axId val="934893359"/>
      </c:scatterChart>
      <c:valAx>
        <c:axId val="9349008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34893359"/>
        <c:crosses val="autoZero"/>
        <c:crossBetween val="midCat"/>
      </c:valAx>
      <c:valAx>
        <c:axId val="934893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349008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2.945297462817148E-2"/>
                  <c:y val="0.3017406285562506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'µmax monolayer'!$G$33:$G$37</c:f>
              <c:numCache>
                <c:formatCode>General</c:formatCode>
                <c:ptCount val="5"/>
                <c:pt idx="0">
                  <c:v>25.75</c:v>
                </c:pt>
                <c:pt idx="2">
                  <c:v>49</c:v>
                </c:pt>
                <c:pt idx="4">
                  <c:v>74.5</c:v>
                </c:pt>
              </c:numCache>
            </c:numRef>
          </c:xVal>
          <c:yVal>
            <c:numRef>
              <c:f>'µmax monolayer'!$H$33:$H$37</c:f>
              <c:numCache>
                <c:formatCode>General</c:formatCode>
                <c:ptCount val="5"/>
                <c:pt idx="0">
                  <c:v>0.74369769915784645</c:v>
                </c:pt>
                <c:pt idx="2">
                  <c:v>1.4145173200636305</c:v>
                </c:pt>
                <c:pt idx="4">
                  <c:v>1.7357180783444301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81-4208-BEFD-FBC7DBA9E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482128"/>
        <c:axId val="165489200"/>
      </c:scatterChart>
      <c:valAx>
        <c:axId val="165482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5489200"/>
        <c:crosses val="autoZero"/>
        <c:crossBetween val="midCat"/>
      </c:valAx>
      <c:valAx>
        <c:axId val="16548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54821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GLUC/LAC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5.3900800786544613E-2"/>
          <c:y val="5.5276201223627294E-2"/>
          <c:w val="0.88022712396199387"/>
          <c:h val="0.86481804415274277"/>
        </c:manualLayout>
      </c:layout>
      <c:scatterChart>
        <c:scatterStyle val="lineMarker"/>
        <c:varyColors val="0"/>
        <c:ser>
          <c:idx val="0"/>
          <c:order val="0"/>
          <c:tx>
            <c:v>3H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4.8816906912641678E-2"/>
                  <c:y val="0.45409621317434057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rgbClr val="0070C0"/>
                        </a:solidFill>
                      </a:rPr>
                      <a:t>y = 1,2483x + 3,1796</a:t>
                    </a:r>
                    <a:br>
                      <a:rPr lang="en-US" baseline="0">
                        <a:solidFill>
                          <a:srgbClr val="0070C0"/>
                        </a:solidFill>
                      </a:rPr>
                    </a:br>
                    <a:r>
                      <a:rPr lang="en-US" baseline="0">
                        <a:solidFill>
                          <a:srgbClr val="0070C0"/>
                        </a:solidFill>
                      </a:rPr>
                      <a:t>R² = 0,9814</a:t>
                    </a:r>
                    <a:endParaRPr lang="en-US">
                      <a:solidFill>
                        <a:srgbClr val="0070C0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(Monolayer!$O$19,Monolayer!$O$35,Monolayer!$O$51)</c:f>
              <c:numCache>
                <c:formatCode>General</c:formatCode>
                <c:ptCount val="3"/>
                <c:pt idx="0">
                  <c:v>1.6091054419503088</c:v>
                </c:pt>
                <c:pt idx="1">
                  <c:v>4.5850263105308731</c:v>
                </c:pt>
                <c:pt idx="2">
                  <c:v>7.3245964608450445</c:v>
                </c:pt>
              </c:numCache>
            </c:numRef>
          </c:xVal>
          <c:yVal>
            <c:numRef>
              <c:f>(Monolayer!$S$19,Monolayer!$S$35,Monolayer!$S$51)</c:f>
              <c:numCache>
                <c:formatCode>General</c:formatCode>
                <c:ptCount val="3"/>
                <c:pt idx="0">
                  <c:v>5.4604300000000006</c:v>
                </c:pt>
                <c:pt idx="1">
                  <c:v>8.3354300000000006</c:v>
                </c:pt>
                <c:pt idx="2">
                  <c:v>12.61866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43-4E6E-8FBB-838FF7DC33CE}"/>
            </c:ext>
          </c:extLst>
        </c:ser>
        <c:ser>
          <c:idx val="1"/>
          <c:order val="1"/>
          <c:tx>
            <c:v>3L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4413015715053931"/>
                  <c:y val="0.40857872027034409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chemeClr val="accent2"/>
                        </a:solidFill>
                      </a:rPr>
                      <a:t>y = 1,1323x + 4,1539</a:t>
                    </a:r>
                    <a:br>
                      <a:rPr lang="en-US" baseline="0">
                        <a:solidFill>
                          <a:schemeClr val="accent2"/>
                        </a:solidFill>
                      </a:rPr>
                    </a:br>
                    <a:r>
                      <a:rPr lang="en-US" baseline="0">
                        <a:solidFill>
                          <a:schemeClr val="accent2"/>
                        </a:solidFill>
                      </a:rPr>
                      <a:t>R² = 0,473</a:t>
                    </a:r>
                    <a:endParaRPr lang="en-US">
                      <a:solidFill>
                        <a:schemeClr val="accent2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(Monolayer!$O$20,Monolayer!$O$36,Monolayer!$O$52)</c:f>
              <c:numCache>
                <c:formatCode>General</c:formatCode>
                <c:ptCount val="3"/>
                <c:pt idx="0">
                  <c:v>1.07878727325207</c:v>
                </c:pt>
                <c:pt idx="1">
                  <c:v>6.1078731765802967</c:v>
                </c:pt>
                <c:pt idx="2">
                  <c:v>6.3992872843535604</c:v>
                </c:pt>
              </c:numCache>
            </c:numRef>
          </c:xVal>
          <c:yVal>
            <c:numRef>
              <c:f>(Monolayer!$S$20,Monolayer!$S$36,Monolayer!$S$52)</c:f>
              <c:numCache>
                <c:formatCode>General</c:formatCode>
                <c:ptCount val="3"/>
                <c:pt idx="0">
                  <c:v>5.5764699999999996</c:v>
                </c:pt>
                <c:pt idx="1">
                  <c:v>7.3985400000000006</c:v>
                </c:pt>
                <c:pt idx="2">
                  <c:v>14.869919999999999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043-4E6E-8FBB-838FF7DC33CE}"/>
            </c:ext>
          </c:extLst>
        </c:ser>
        <c:ser>
          <c:idx val="2"/>
          <c:order val="2"/>
          <c:tx>
            <c:v>3O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2237875786339779"/>
                  <c:y val="0.6306629279405469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chemeClr val="bg1">
                            <a:lumMod val="50000"/>
                          </a:schemeClr>
                        </a:solidFill>
                      </a:rPr>
                      <a:t>y = 1,4947x + 4,5495</a:t>
                    </a:r>
                    <a:br>
                      <a:rPr lang="en-US" baseline="0">
                        <a:solidFill>
                          <a:schemeClr val="bg1">
                            <a:lumMod val="50000"/>
                          </a:schemeClr>
                        </a:solidFill>
                      </a:rPr>
                    </a:br>
                    <a:r>
                      <a:rPr lang="en-US" baseline="0">
                        <a:solidFill>
                          <a:schemeClr val="bg1">
                            <a:lumMod val="50000"/>
                          </a:schemeClr>
                        </a:solidFill>
                      </a:rPr>
                      <a:t>R² = 0,9881</a:t>
                    </a:r>
                    <a:endParaRPr lang="en-US">
                      <a:solidFill>
                        <a:schemeClr val="bg1">
                          <a:lumMod val="50000"/>
                        </a:schemeClr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(Monolayer!$O$21,Monolayer!$O$37,Monolayer!$O$53)</c:f>
              <c:numCache>
                <c:formatCode>General</c:formatCode>
                <c:ptCount val="3"/>
                <c:pt idx="0">
                  <c:v>1.8521725615577616</c:v>
                </c:pt>
                <c:pt idx="1">
                  <c:v>4.4579142520926318</c:v>
                </c:pt>
                <c:pt idx="2">
                  <c:v>8.0190501565310068</c:v>
                </c:pt>
              </c:numCache>
            </c:numRef>
          </c:xVal>
          <c:yVal>
            <c:numRef>
              <c:f>(Monolayer!$S$21,Monolayer!$S$37,Monolayer!$S$53)</c:f>
              <c:numCache>
                <c:formatCode>General</c:formatCode>
                <c:ptCount val="3"/>
                <c:pt idx="0">
                  <c:v>6.98048</c:v>
                </c:pt>
                <c:pt idx="1">
                  <c:v>11.797320000000001</c:v>
                </c:pt>
                <c:pt idx="2">
                  <c:v>16.28877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043-4E6E-8FBB-838FF7DC33CE}"/>
            </c:ext>
          </c:extLst>
        </c:ser>
        <c:ser>
          <c:idx val="3"/>
          <c:order val="3"/>
          <c:tx>
            <c:v>3D1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6324527807878398"/>
                  <c:y val="-3.6447314223041989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chemeClr val="accent4"/>
                        </a:solidFill>
                      </a:rPr>
                      <a:t>y = 0,6391x + 6,8068</a:t>
                    </a:r>
                    <a:br>
                      <a:rPr lang="en-US" baseline="0">
                        <a:solidFill>
                          <a:schemeClr val="accent4"/>
                        </a:solidFill>
                      </a:rPr>
                    </a:br>
                    <a:r>
                      <a:rPr lang="en-US" baseline="0">
                        <a:solidFill>
                          <a:schemeClr val="accent4"/>
                        </a:solidFill>
                      </a:rPr>
                      <a:t>R² = 0,8866</a:t>
                    </a:r>
                    <a:endParaRPr lang="en-US">
                      <a:solidFill>
                        <a:schemeClr val="accent4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(Monolayer!$O$25,Monolayer!$O$41,Monolayer!$O$57)</c:f>
              <c:numCache>
                <c:formatCode>General</c:formatCode>
                <c:ptCount val="3"/>
                <c:pt idx="0">
                  <c:v>0.65915095805856971</c:v>
                </c:pt>
                <c:pt idx="1">
                  <c:v>2.8534714358666928</c:v>
                </c:pt>
                <c:pt idx="2">
                  <c:v>10.602311330180509</c:v>
                </c:pt>
              </c:numCache>
            </c:numRef>
          </c:xVal>
          <c:yVal>
            <c:numRef>
              <c:f>(Monolayer!$S$25,Monolayer!$S$41,Monolayer!$S$57)</c:f>
              <c:numCache>
                <c:formatCode>General</c:formatCode>
                <c:ptCount val="3"/>
                <c:pt idx="0">
                  <c:v>6.20573</c:v>
                </c:pt>
                <c:pt idx="1">
                  <c:v>9.9423500000000011</c:v>
                </c:pt>
                <c:pt idx="2">
                  <c:v>13.293230000000001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043-4E6E-8FBB-838FF7DC33CE}"/>
            </c:ext>
          </c:extLst>
        </c:ser>
        <c:ser>
          <c:idx val="4"/>
          <c:order val="4"/>
          <c:tx>
            <c:v>3,00E+01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8130525498654576"/>
                  <c:y val="0.4854943769347731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rgbClr val="0070C0"/>
                        </a:solidFill>
                      </a:rPr>
                      <a:t>y = 2,0311x + 0,6735</a:t>
                    </a:r>
                    <a:br>
                      <a:rPr lang="en-US" baseline="0">
                        <a:solidFill>
                          <a:srgbClr val="0070C0"/>
                        </a:solidFill>
                      </a:rPr>
                    </a:br>
                    <a:r>
                      <a:rPr lang="en-US" baseline="0">
                        <a:solidFill>
                          <a:srgbClr val="0070C0"/>
                        </a:solidFill>
                      </a:rPr>
                      <a:t>R² = 0,7521</a:t>
                    </a:r>
                    <a:endParaRPr lang="en-US">
                      <a:solidFill>
                        <a:srgbClr val="0070C0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(Monolayer!$O$26,Monolayer!$O$42,Monolayer!$O$58)</c:f>
              <c:numCache>
                <c:formatCode>General</c:formatCode>
                <c:ptCount val="3"/>
                <c:pt idx="0">
                  <c:v>3.0086147561002692</c:v>
                </c:pt>
                <c:pt idx="1">
                  <c:v>3.3971668997979529</c:v>
                </c:pt>
                <c:pt idx="2">
                  <c:v>6.2842203423699452</c:v>
                </c:pt>
              </c:numCache>
            </c:numRef>
          </c:xVal>
          <c:yVal>
            <c:numRef>
              <c:f>(Monolayer!$S$26,Monolayer!$S$42,Monolayer!$S$58)</c:f>
              <c:numCache>
                <c:formatCode>General</c:formatCode>
                <c:ptCount val="3"/>
                <c:pt idx="0">
                  <c:v>4.8403900000000002</c:v>
                </c:pt>
                <c:pt idx="1">
                  <c:v>9.7789300000000008</c:v>
                </c:pt>
                <c:pt idx="2">
                  <c:v>13.175649999999999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043-4E6E-8FBB-838FF7DC33CE}"/>
            </c:ext>
          </c:extLst>
        </c:ser>
        <c:ser>
          <c:idx val="5"/>
          <c:order val="5"/>
          <c:tx>
            <c:v>3F1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8430445255058934"/>
                  <c:y val="8.3517891090661468E-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rgbClr val="00B050"/>
                        </a:solidFill>
                      </a:rPr>
                      <a:t>y = 1,284x + 4,8322</a:t>
                    </a:r>
                    <a:br>
                      <a:rPr lang="en-US" baseline="0">
                        <a:solidFill>
                          <a:srgbClr val="00B050"/>
                        </a:solidFill>
                      </a:rPr>
                    </a:br>
                    <a:r>
                      <a:rPr lang="en-US" baseline="0">
                        <a:solidFill>
                          <a:srgbClr val="00B050"/>
                        </a:solidFill>
                      </a:rPr>
                      <a:t>R² = 0,9998</a:t>
                    </a:r>
                    <a:endParaRPr lang="en-US">
                      <a:solidFill>
                        <a:srgbClr val="00B050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(Monolayer!$O$27,Monolayer!$O$43,Monolayer!$O$59)</c:f>
              <c:numCache>
                <c:formatCode>General</c:formatCode>
                <c:ptCount val="3"/>
                <c:pt idx="0">
                  <c:v>0.87779480006216737</c:v>
                </c:pt>
                <c:pt idx="1">
                  <c:v>3.5630231577077636</c:v>
                </c:pt>
                <c:pt idx="2">
                  <c:v>7.0752014920402306</c:v>
                </c:pt>
              </c:numCache>
            </c:numRef>
          </c:xVal>
          <c:yVal>
            <c:numRef>
              <c:f>(Monolayer!$S$27,Monolayer!$S$43,Monolayer!$S$59)</c:f>
              <c:numCache>
                <c:formatCode>General</c:formatCode>
                <c:ptCount val="3"/>
                <c:pt idx="0">
                  <c:v>5.9204699999999999</c:v>
                </c:pt>
                <c:pt idx="1">
                  <c:v>9.47546</c:v>
                </c:pt>
                <c:pt idx="2">
                  <c:v>13.886850000000001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043-4E6E-8FBB-838FF7DC33CE}"/>
            </c:ext>
          </c:extLst>
        </c:ser>
        <c:ser>
          <c:idx val="6"/>
          <c:order val="6"/>
          <c:tx>
            <c:v>3G1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23167910985435594"/>
                  <c:y val="0.294707613743039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rgbClr val="002060"/>
                        </a:solidFill>
                      </a:rPr>
                      <a:t>y = 1,3175x + 4,1515</a:t>
                    </a:r>
                    <a:br>
                      <a:rPr lang="en-US" baseline="0">
                        <a:solidFill>
                          <a:srgbClr val="002060"/>
                        </a:solidFill>
                      </a:rPr>
                    </a:br>
                    <a:r>
                      <a:rPr lang="en-US" baseline="0">
                        <a:solidFill>
                          <a:srgbClr val="002060"/>
                        </a:solidFill>
                      </a:rPr>
                      <a:t>R² = 0,9995</a:t>
                    </a:r>
                    <a:endParaRPr lang="en-US">
                      <a:solidFill>
                        <a:srgbClr val="002060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(Monolayer!$O$28,Monolayer!$O$44,Monolayer!$O$60)</c:f>
              <c:numCache>
                <c:formatCode>General</c:formatCode>
                <c:ptCount val="3"/>
                <c:pt idx="0">
                  <c:v>1.2101734052709858</c:v>
                </c:pt>
                <c:pt idx="1">
                  <c:v>3.8857989742223396</c:v>
                </c:pt>
                <c:pt idx="2">
                  <c:v>7.7849197362286011</c:v>
                </c:pt>
              </c:numCache>
            </c:numRef>
          </c:xVal>
          <c:yVal>
            <c:numRef>
              <c:f>(Monolayer!$S$28,Monolayer!$S$44,Monolayer!$S$60)</c:f>
              <c:numCache>
                <c:formatCode>General</c:formatCode>
                <c:ptCount val="3"/>
                <c:pt idx="0">
                  <c:v>5.6821199999999994</c:v>
                </c:pt>
                <c:pt idx="1">
                  <c:v>9.3786199999999997</c:v>
                </c:pt>
                <c:pt idx="2">
                  <c:v>14.364470000000001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043-4E6E-8FBB-838FF7DC33CE}"/>
            </c:ext>
          </c:extLst>
        </c:ser>
        <c:ser>
          <c:idx val="7"/>
          <c:order val="7"/>
          <c:tx>
            <c:v>3,00E+02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2103425770396244"/>
                  <c:y val="0.65433653468364417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chemeClr val="accent2">
                            <a:lumMod val="50000"/>
                          </a:schemeClr>
                        </a:solidFill>
                      </a:rPr>
                      <a:t>y = 1,5375x + 3,1029</a:t>
                    </a:r>
                    <a:br>
                      <a:rPr lang="en-US" baseline="0">
                        <a:solidFill>
                          <a:schemeClr val="accent2">
                            <a:lumMod val="50000"/>
                          </a:schemeClr>
                        </a:solidFill>
                      </a:rPr>
                    </a:br>
                    <a:r>
                      <a:rPr lang="en-US" baseline="0">
                        <a:solidFill>
                          <a:schemeClr val="accent2">
                            <a:lumMod val="50000"/>
                          </a:schemeClr>
                        </a:solidFill>
                      </a:rPr>
                      <a:t>R² = 0,9998</a:t>
                    </a:r>
                    <a:endParaRPr lang="en-US">
                      <a:solidFill>
                        <a:schemeClr val="accent2">
                          <a:lumMod val="50000"/>
                        </a:schemeClr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(Monolayer!$O$29,Monolayer!$O$45,Monolayer!$O$61)</c:f>
              <c:numCache>
                <c:formatCode>General</c:formatCode>
                <c:ptCount val="3"/>
                <c:pt idx="0">
                  <c:v>2.2695330713381718</c:v>
                </c:pt>
                <c:pt idx="1">
                  <c:v>5.2167010812851071</c:v>
                </c:pt>
                <c:pt idx="2">
                  <c:v>9.1771575745465022</c:v>
                </c:pt>
              </c:numCache>
            </c:numRef>
          </c:xVal>
          <c:yVal>
            <c:numRef>
              <c:f>(Monolayer!$S$29,Monolayer!$S$45,Monolayer!$S$61)</c:f>
              <c:numCache>
                <c:formatCode>General</c:formatCode>
                <c:ptCount val="3"/>
                <c:pt idx="0">
                  <c:v>6.5398300000000003</c:v>
                </c:pt>
                <c:pt idx="1">
                  <c:v>11.214979999999999</c:v>
                </c:pt>
                <c:pt idx="2">
                  <c:v>17.173549999999999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043-4E6E-8FBB-838FF7DC33CE}"/>
            </c:ext>
          </c:extLst>
        </c:ser>
        <c:ser>
          <c:idx val="8"/>
          <c:order val="8"/>
          <c:tx>
            <c:v>3K2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(Monolayer!$O$32,Monolayer!$O$48,Monolayer!$O$64)</c:f>
              <c:numCache>
                <c:formatCode>General</c:formatCode>
                <c:ptCount val="3"/>
                <c:pt idx="0">
                  <c:v>0.98409156508803797</c:v>
                </c:pt>
                <c:pt idx="1">
                  <c:v>3.6216945314061153</c:v>
                </c:pt>
                <c:pt idx="2">
                  <c:v>6.8250849263971238</c:v>
                </c:pt>
              </c:numCache>
            </c:numRef>
          </c:xVal>
          <c:yVal>
            <c:numRef>
              <c:f>(Monolayer!$S$32,Monolayer!$S$48,Monolayer!$S$64)</c:f>
              <c:numCache>
                <c:formatCode>General</c:formatCode>
                <c:ptCount val="3"/>
                <c:pt idx="0">
                  <c:v>5.6985200000000003</c:v>
                </c:pt>
                <c:pt idx="1">
                  <c:v>10.072760000000001</c:v>
                </c:pt>
                <c:pt idx="2">
                  <c:v>14.665609999999999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043-4E6E-8FBB-838FF7DC33CE}"/>
            </c:ext>
          </c:extLst>
        </c:ser>
        <c:ser>
          <c:idx val="9"/>
          <c:order val="9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(Monolayer!$O$32,Monolayer!$O$48,Monolayer!$O$64)</c:f>
              <c:numCache>
                <c:formatCode>General</c:formatCode>
                <c:ptCount val="3"/>
                <c:pt idx="0">
                  <c:v>0.98409156508803797</c:v>
                </c:pt>
                <c:pt idx="1">
                  <c:v>3.6216945314061153</c:v>
                </c:pt>
                <c:pt idx="2">
                  <c:v>6.8250849263971238</c:v>
                </c:pt>
              </c:numCache>
            </c:numRef>
          </c:xVal>
          <c:yVal>
            <c:numRef>
              <c:f>(Monolayer!$S$32,Monolayer!$S$48,Monolayer!$S$64)</c:f>
              <c:numCache>
                <c:formatCode>General</c:formatCode>
                <c:ptCount val="3"/>
                <c:pt idx="0">
                  <c:v>5.6985200000000003</c:v>
                </c:pt>
                <c:pt idx="1">
                  <c:v>10.072760000000001</c:v>
                </c:pt>
                <c:pt idx="2">
                  <c:v>14.665609999999999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043-4E6E-8FBB-838FF7DC3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9713119"/>
        <c:axId val="839714367"/>
      </c:scatterChart>
      <c:valAx>
        <c:axId val="8397131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39714367"/>
        <c:crosses val="autoZero"/>
        <c:crossBetween val="midCat"/>
      </c:valAx>
      <c:valAx>
        <c:axId val="8397143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397131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GLUC/LAC SUITE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3K2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8376202974628173"/>
                  <c:y val="-4.1666666666666669E-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(Monolayer!$O$32,Monolayer!$O$48,Monolayer!$O$64)</c:f>
              <c:numCache>
                <c:formatCode>General</c:formatCode>
                <c:ptCount val="3"/>
                <c:pt idx="0">
                  <c:v>0.98409156508803797</c:v>
                </c:pt>
                <c:pt idx="1">
                  <c:v>3.6216945314061153</c:v>
                </c:pt>
                <c:pt idx="2">
                  <c:v>6.8250849263971238</c:v>
                </c:pt>
              </c:numCache>
            </c:numRef>
          </c:xVal>
          <c:yVal>
            <c:numRef>
              <c:f>(Monolayer!$S$32,Monolayer!$S$48,Monolayer!$S$64)</c:f>
              <c:numCache>
                <c:formatCode>General</c:formatCode>
                <c:ptCount val="3"/>
                <c:pt idx="0">
                  <c:v>5.6985200000000003</c:v>
                </c:pt>
                <c:pt idx="1">
                  <c:v>10.072760000000001</c:v>
                </c:pt>
                <c:pt idx="2">
                  <c:v>14.665609999999999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FA-4AE0-846E-7D37F6A45776}"/>
            </c:ext>
          </c:extLst>
        </c:ser>
        <c:ser>
          <c:idx val="1"/>
          <c:order val="1"/>
          <c:tx>
            <c:v>3M2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2793000874890639"/>
                  <c:y val="0.2218055555555555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(Monolayer!$O$33,Monolayer!$O$49,Monolayer!$O$65)</c:f>
              <c:numCache>
                <c:formatCode>General</c:formatCode>
                <c:ptCount val="3"/>
                <c:pt idx="0">
                  <c:v>2.3177690446057841</c:v>
                </c:pt>
                <c:pt idx="1">
                  <c:v>4.9600901440973351</c:v>
                </c:pt>
                <c:pt idx="2">
                  <c:v>7.8550256444414819</c:v>
                </c:pt>
              </c:numCache>
            </c:numRef>
          </c:xVal>
          <c:yVal>
            <c:numRef>
              <c:f>(Monolayer!$S$33,Monolayer!$S$49,Monolayer!$S$65)</c:f>
              <c:numCache>
                <c:formatCode>General</c:formatCode>
                <c:ptCount val="3"/>
                <c:pt idx="0">
                  <c:v>5.7810600000000001</c:v>
                </c:pt>
                <c:pt idx="1">
                  <c:v>11.56223</c:v>
                </c:pt>
                <c:pt idx="2">
                  <c:v>16.040689999999998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CFA-4AE0-846E-7D37F6A45776}"/>
            </c:ext>
          </c:extLst>
        </c:ser>
        <c:ser>
          <c:idx val="2"/>
          <c:order val="2"/>
          <c:tx>
            <c:v>3N2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6884381021991213"/>
                  <c:y val="0.1853080344123651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(Monolayer!$O$34,Monolayer!$O$50,Monolayer!$O$66)</c:f>
              <c:numCache>
                <c:formatCode>General</c:formatCode>
                <c:ptCount val="3"/>
                <c:pt idx="0">
                  <c:v>1.0482581762472538</c:v>
                </c:pt>
                <c:pt idx="1">
                  <c:v>3.40971158329448</c:v>
                </c:pt>
                <c:pt idx="2">
                  <c:v>6.7927795910211159</c:v>
                </c:pt>
              </c:numCache>
            </c:numRef>
          </c:xVal>
          <c:yVal>
            <c:numRef>
              <c:f>(Monolayer!$S$34,Monolayer!$S$50,Monolayer!$S$66)</c:f>
              <c:numCache>
                <c:formatCode>General</c:formatCode>
                <c:ptCount val="3"/>
                <c:pt idx="0">
                  <c:v>5.6224400000000001</c:v>
                </c:pt>
                <c:pt idx="1">
                  <c:v>8.2633299999999998</c:v>
                </c:pt>
                <c:pt idx="2">
                  <c:v>14.145440000000001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CFA-4AE0-846E-7D37F6A45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2873039"/>
        <c:axId val="582880111"/>
      </c:scatterChart>
      <c:valAx>
        <c:axId val="5828730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2880111"/>
        <c:crosses val="autoZero"/>
        <c:crossBetween val="midCat"/>
      </c:valAx>
      <c:valAx>
        <c:axId val="582880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28730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GLUT/NH3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7.8546529699803719E-2"/>
          <c:y val="0.12917827088867243"/>
          <c:w val="0.88057823503545252"/>
          <c:h val="0.71815177363235727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60607551883192068"/>
                  <c:y val="-0.1377508302926395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(Monolayer!$Q$19,Monolayer!$Q$35,Monolayer!$Q$51)</c:f>
              <c:numCache>
                <c:formatCode>General</c:formatCode>
                <c:ptCount val="3"/>
                <c:pt idx="0">
                  <c:v>0.63729000000000002</c:v>
                </c:pt>
                <c:pt idx="1">
                  <c:v>0.98258000000000001</c:v>
                </c:pt>
                <c:pt idx="2">
                  <c:v>1.5222199999999999</c:v>
                </c:pt>
              </c:numCache>
            </c:numRef>
          </c:xVal>
          <c:yVal>
            <c:numRef>
              <c:f>(Monolayer!$U$19,Monolayer!$U$35,Monolayer!$U$51)</c:f>
              <c:numCache>
                <c:formatCode>General</c:formatCode>
                <c:ptCount val="3"/>
                <c:pt idx="0">
                  <c:v>0.43107999999999991</c:v>
                </c:pt>
                <c:pt idx="1">
                  <c:v>1.0949899999999999</c:v>
                </c:pt>
                <c:pt idx="2">
                  <c:v>1.4336599999999997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DD-44D9-AC4C-50EB3291799B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6.7858835454314689E-2"/>
                  <c:y val="-0.2825880699414663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(Monolayer!$U$20,Monolayer!$U$36,Monolayer!$U$52)</c:f>
              <c:numCache>
                <c:formatCode>General</c:formatCode>
                <c:ptCount val="3"/>
                <c:pt idx="0">
                  <c:v>0.29205999999999999</c:v>
                </c:pt>
                <c:pt idx="1">
                  <c:v>1.03399</c:v>
                </c:pt>
                <c:pt idx="2">
                  <c:v>1.1359900000000001</c:v>
                </c:pt>
              </c:numCache>
            </c:numRef>
          </c:xVal>
          <c:yVal>
            <c:numRef>
              <c:f>(Monolayer!$Q$20,Monolayer!$Q$36,Monolayer!$Q$52)</c:f>
              <c:numCache>
                <c:formatCode>General</c:formatCode>
                <c:ptCount val="3"/>
                <c:pt idx="0">
                  <c:v>0.57750999999999997</c:v>
                </c:pt>
                <c:pt idx="1">
                  <c:v>0.6956</c:v>
                </c:pt>
                <c:pt idx="2">
                  <c:v>1.4226200000000002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9DD-44D9-AC4C-50EB3291799B}"/>
            </c:ext>
          </c:extLst>
        </c:ser>
        <c:ser>
          <c:idx val="2"/>
          <c:order val="2"/>
          <c:tx>
            <c:v>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8282362410952322"/>
                  <c:y val="-3.2101103847298008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(Monolayer!$U$21,Monolayer!$U$37,Monolayer!$U$53)</c:f>
              <c:numCache>
                <c:formatCode>General</c:formatCode>
                <c:ptCount val="3"/>
                <c:pt idx="0">
                  <c:v>0.36370000000000013</c:v>
                </c:pt>
                <c:pt idx="1">
                  <c:v>0.78799000000000008</c:v>
                </c:pt>
                <c:pt idx="2">
                  <c:v>1.3533300000000001</c:v>
                </c:pt>
              </c:numCache>
            </c:numRef>
          </c:xVal>
          <c:yVal>
            <c:numRef>
              <c:f>(Monolayer!$Q$21,Monolayer!$Q$37,Monolayer!$Q$53)</c:f>
              <c:numCache>
                <c:formatCode>General</c:formatCode>
                <c:ptCount val="3"/>
                <c:pt idx="0">
                  <c:v>0.86507000000000001</c:v>
                </c:pt>
                <c:pt idx="1">
                  <c:v>1.2663899999999999</c:v>
                </c:pt>
                <c:pt idx="2">
                  <c:v>1.7972299999999999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9DD-44D9-AC4C-50EB3291799B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22963724182256359"/>
                  <c:y val="-0.2413710642835483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(Monolayer!$U$25,Monolayer!$U$41,Monolayer!$U$57)</c:f>
              <c:numCache>
                <c:formatCode>General</c:formatCode>
                <c:ptCount val="3"/>
                <c:pt idx="0">
                  <c:v>0.30991000000000013</c:v>
                </c:pt>
                <c:pt idx="1">
                  <c:v>0.69039000000000006</c:v>
                </c:pt>
                <c:pt idx="2">
                  <c:v>1.2821200000000001</c:v>
                </c:pt>
              </c:numCache>
            </c:numRef>
          </c:xVal>
          <c:yVal>
            <c:numRef>
              <c:f>(Monolayer!$Q$25,Monolayer!$Q$41,Monolayer!$Q$57)</c:f>
              <c:numCache>
                <c:formatCode>General</c:formatCode>
                <c:ptCount val="3"/>
                <c:pt idx="0">
                  <c:v>0.58965000000000001</c:v>
                </c:pt>
                <c:pt idx="1">
                  <c:v>0.98668</c:v>
                </c:pt>
                <c:pt idx="2">
                  <c:v>1.4087399999999999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9DD-44D9-AC4C-50EB3291799B}"/>
            </c:ext>
          </c:extLst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8501942838503935"/>
                  <c:y val="-9.481877273334779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(Monolayer!$U$26,Monolayer!$U$42,Monolayer!$U$58)</c:f>
              <c:numCache>
                <c:formatCode>General</c:formatCode>
                <c:ptCount val="3"/>
                <c:pt idx="0">
                  <c:v>0.40951000000000004</c:v>
                </c:pt>
                <c:pt idx="1">
                  <c:v>0.65944999999999998</c:v>
                </c:pt>
                <c:pt idx="2">
                  <c:v>1.01335</c:v>
                </c:pt>
              </c:numCache>
            </c:numRef>
          </c:xVal>
          <c:yVal>
            <c:numRef>
              <c:f>(Monolayer!$Q$26,Monolayer!$Q$42,Monolayer!$Q$58)</c:f>
              <c:numCache>
                <c:formatCode>General</c:formatCode>
                <c:ptCount val="3"/>
                <c:pt idx="0">
                  <c:v>0.51622999999999997</c:v>
                </c:pt>
                <c:pt idx="1">
                  <c:v>0.92286999999999997</c:v>
                </c:pt>
                <c:pt idx="2">
                  <c:v>1.2950400000000002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9DD-44D9-AC4C-50EB3291799B}"/>
            </c:ext>
          </c:extLst>
        </c:ser>
        <c:ser>
          <c:idx val="5"/>
          <c:order val="5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1752316258947513"/>
                  <c:y val="-0.1228950949860528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(Monolayer!$U$27,Monolayer!$U$43,Monolayer!$U$59)</c:f>
              <c:numCache>
                <c:formatCode>General</c:formatCode>
                <c:ptCount val="3"/>
                <c:pt idx="0">
                  <c:v>0.38204000000000016</c:v>
                </c:pt>
                <c:pt idx="1">
                  <c:v>0.78752</c:v>
                </c:pt>
                <c:pt idx="2">
                  <c:v>1.3481900000000002</c:v>
                </c:pt>
              </c:numCache>
            </c:numRef>
          </c:xVal>
          <c:yVal>
            <c:numRef>
              <c:f>(Monolayer!$Q$27,Monolayer!$Q$43,Monolayer!$Q$59)</c:f>
              <c:numCache>
                <c:formatCode>General</c:formatCode>
                <c:ptCount val="3"/>
                <c:pt idx="0">
                  <c:v>0.40438000000000002</c:v>
                </c:pt>
                <c:pt idx="1">
                  <c:v>0.74258000000000002</c:v>
                </c:pt>
                <c:pt idx="2">
                  <c:v>1.2092700000000001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9DD-44D9-AC4C-50EB3291799B}"/>
            </c:ext>
          </c:extLst>
        </c:ser>
        <c:ser>
          <c:idx val="6"/>
          <c:order val="6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338921962470752"/>
                  <c:y val="9.068390820290325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(Monolayer!$U$28,Monolayer!$U$44,Monolayer!$U$60)</c:f>
              <c:numCache>
                <c:formatCode>General</c:formatCode>
                <c:ptCount val="3"/>
                <c:pt idx="0">
                  <c:v>0.2528999999999999</c:v>
                </c:pt>
                <c:pt idx="1">
                  <c:v>0.66156000000000015</c:v>
                </c:pt>
                <c:pt idx="2">
                  <c:v>1.24055</c:v>
                </c:pt>
              </c:numCache>
            </c:numRef>
          </c:xVal>
          <c:yVal>
            <c:numRef>
              <c:f>(Monolayer!$Q$28,Monolayer!$Q$44,Monolayer!$Q$60)</c:f>
              <c:numCache>
                <c:formatCode>General</c:formatCode>
                <c:ptCount val="3"/>
                <c:pt idx="0">
                  <c:v>0.55303000000000002</c:v>
                </c:pt>
                <c:pt idx="1">
                  <c:v>0.94150999999999996</c:v>
                </c:pt>
                <c:pt idx="2">
                  <c:v>1.48868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9DD-44D9-AC4C-50EB3291799B}"/>
            </c:ext>
          </c:extLst>
        </c:ser>
        <c:ser>
          <c:idx val="7"/>
          <c:order val="7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51218641779861906"/>
                  <c:y val="0.5147797119736030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(Monolayer!$U$29,Monolayer!$U$45,Monolayer!$U$61)</c:f>
              <c:numCache>
                <c:formatCode>General</c:formatCode>
                <c:ptCount val="3"/>
                <c:pt idx="0">
                  <c:v>0.45959000000000017</c:v>
                </c:pt>
                <c:pt idx="1">
                  <c:v>1.0051200000000002</c:v>
                </c:pt>
                <c:pt idx="2">
                  <c:v>1.57592</c:v>
                </c:pt>
              </c:numCache>
            </c:numRef>
          </c:xVal>
          <c:yVal>
            <c:numRef>
              <c:f>(Monolayer!$Q$29,Monolayer!$Q$45,Monolayer!$Q$61)</c:f>
              <c:numCache>
                <c:formatCode>General</c:formatCode>
                <c:ptCount val="3"/>
                <c:pt idx="0">
                  <c:v>0.61701000000000006</c:v>
                </c:pt>
                <c:pt idx="1">
                  <c:v>1.06409</c:v>
                </c:pt>
                <c:pt idx="2">
                  <c:v>1.6403099999999999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D9DD-44D9-AC4C-50EB3291799B}"/>
            </c:ext>
          </c:extLst>
        </c:ser>
        <c:ser>
          <c:idx val="8"/>
          <c:order val="8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3.2920623549666565E-2"/>
                  <c:y val="0.4256361026041943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(Monolayer!$U$32,Monolayer!$U$48,Monolayer!$U$64)</c:f>
              <c:numCache>
                <c:formatCode>General</c:formatCode>
                <c:ptCount val="3"/>
                <c:pt idx="0">
                  <c:v>0.24178000000000011</c:v>
                </c:pt>
                <c:pt idx="1">
                  <c:v>0.67436000000000007</c:v>
                </c:pt>
                <c:pt idx="2">
                  <c:v>1.1735100000000001</c:v>
                </c:pt>
              </c:numCache>
            </c:numRef>
          </c:xVal>
          <c:yVal>
            <c:numRef>
              <c:f>(Monolayer!$Q$32,Monolayer!$Q$48,Monolayer!$Q$64)</c:f>
              <c:numCache>
                <c:formatCode>General</c:formatCode>
                <c:ptCount val="3"/>
                <c:pt idx="0">
                  <c:v>0.58031999999999995</c:v>
                </c:pt>
                <c:pt idx="1">
                  <c:v>0.93723000000000001</c:v>
                </c:pt>
                <c:pt idx="2">
                  <c:v>1.3791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D9DD-44D9-AC4C-50EB3291799B}"/>
            </c:ext>
          </c:extLst>
        </c:ser>
        <c:ser>
          <c:idx val="9"/>
          <c:order val="9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22899737432927902"/>
                  <c:y val="0.3790739134597671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(Monolayer!$U$33,Monolayer!$U$49,Monolayer!$U$65)</c:f>
              <c:numCache>
                <c:formatCode>General</c:formatCode>
                <c:ptCount val="3"/>
                <c:pt idx="0">
                  <c:v>0.20523999999999987</c:v>
                </c:pt>
                <c:pt idx="1">
                  <c:v>0.87868999999999997</c:v>
                </c:pt>
                <c:pt idx="2">
                  <c:v>1.0851799999999998</c:v>
                </c:pt>
              </c:numCache>
            </c:numRef>
          </c:xVal>
          <c:yVal>
            <c:numRef>
              <c:f>(Monolayer!$Q$33,Monolayer!$Q$49,Monolayer!$Q$65)</c:f>
              <c:numCache>
                <c:formatCode>General</c:formatCode>
                <c:ptCount val="3"/>
                <c:pt idx="0">
                  <c:v>0.47416999999999998</c:v>
                </c:pt>
                <c:pt idx="1">
                  <c:v>0.91215000000000002</c:v>
                </c:pt>
                <c:pt idx="2">
                  <c:v>1.41307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D9DD-44D9-AC4C-50EB3291799B}"/>
            </c:ext>
          </c:extLst>
        </c:ser>
        <c:ser>
          <c:idx val="10"/>
          <c:order val="1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29386358524836897"/>
                  <c:y val="0.3009761151568625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(Monolayer!$U$34,Monolayer!$U$50,Monolayer!$U$66)</c:f>
              <c:numCache>
                <c:formatCode>General</c:formatCode>
                <c:ptCount val="3"/>
                <c:pt idx="0">
                  <c:v>0.28346999999999989</c:v>
                </c:pt>
                <c:pt idx="1">
                  <c:v>0.57901000000000002</c:v>
                </c:pt>
                <c:pt idx="2">
                  <c:v>1.1517599999999999</c:v>
                </c:pt>
              </c:numCache>
            </c:numRef>
          </c:xVal>
          <c:yVal>
            <c:numRef>
              <c:f>(Monolayer!$Q$34,Monolayer!$Q$50,Monolayer!$Q$66)</c:f>
              <c:numCache>
                <c:formatCode>General</c:formatCode>
                <c:ptCount val="3"/>
                <c:pt idx="0">
                  <c:v>0.69994000000000001</c:v>
                </c:pt>
                <c:pt idx="1">
                  <c:v>0.94515000000000005</c:v>
                </c:pt>
                <c:pt idx="2">
                  <c:v>1.5173700000000001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D9DD-44D9-AC4C-50EB32917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9701471"/>
        <c:axId val="839701887"/>
      </c:scatterChart>
      <c:valAx>
        <c:axId val="8397014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39701887"/>
        <c:crosses val="autoZero"/>
        <c:crossBetween val="midCat"/>
      </c:valAx>
      <c:valAx>
        <c:axId val="839701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397014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cell = f(glucose)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0075968511499525"/>
          <c:y val="0.20592994464517847"/>
          <c:w val="0.80218569311677368"/>
          <c:h val="0.71752486494403522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3626487314085738"/>
                  <c:y val="1.347222222222222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(Monolayer!$O$19,Monolayer!$O$35,Monolayer!$O$51)</c:f>
              <c:numCache>
                <c:formatCode>General</c:formatCode>
                <c:ptCount val="3"/>
                <c:pt idx="0">
                  <c:v>1.6091054419503088</c:v>
                </c:pt>
                <c:pt idx="1">
                  <c:v>4.5850263105308731</c:v>
                </c:pt>
                <c:pt idx="2">
                  <c:v>7.3245964608450445</c:v>
                </c:pt>
              </c:numCache>
            </c:numRef>
          </c:xVal>
          <c:yVal>
            <c:numRef>
              <c:f>(Monolayer!$M$19,Monolayer!$M$35,Monolayer!$M$51)</c:f>
              <c:numCache>
                <c:formatCode>0.00E+00</c:formatCode>
                <c:ptCount val="3"/>
                <c:pt idx="0">
                  <c:v>39480</c:v>
                </c:pt>
                <c:pt idx="1">
                  <c:v>278672</c:v>
                </c:pt>
                <c:pt idx="2">
                  <c:v>546112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C3A-4320-9CC9-141F5D0F8010}"/>
            </c:ext>
          </c:extLst>
        </c:ser>
        <c:ser>
          <c:idx val="1"/>
          <c:order val="1"/>
          <c:tx>
            <c:v>3l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453763159678841"/>
                  <c:y val="-0.1215291548593769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(Monolayer!$O$20,Monolayer!$O$36,Monolayer!$O$52)</c:f>
              <c:numCache>
                <c:formatCode>General</c:formatCode>
                <c:ptCount val="3"/>
                <c:pt idx="0">
                  <c:v>1.07878727325207</c:v>
                </c:pt>
                <c:pt idx="1">
                  <c:v>6.1078731765802967</c:v>
                </c:pt>
                <c:pt idx="2">
                  <c:v>6.3992872843535604</c:v>
                </c:pt>
              </c:numCache>
            </c:numRef>
          </c:xVal>
          <c:yVal>
            <c:numRef>
              <c:f>(Monolayer!$M$20,Monolayer!$M$36,Monolayer!$M$52)</c:f>
              <c:numCache>
                <c:formatCode>0.00E+00</c:formatCode>
                <c:ptCount val="3"/>
                <c:pt idx="0">
                  <c:v>23640</c:v>
                </c:pt>
                <c:pt idx="1">
                  <c:v>159350</c:v>
                </c:pt>
                <c:pt idx="2">
                  <c:v>428450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C3A-4320-9CC9-141F5D0F8010}"/>
            </c:ext>
          </c:extLst>
        </c:ser>
        <c:ser>
          <c:idx val="2"/>
          <c:order val="2"/>
          <c:tx>
            <c:v>3o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007622202206274"/>
                  <c:y val="-8.381936755845602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(Monolayer!$O$21,Monolayer!$O$37,Monolayer!$O$53)</c:f>
              <c:numCache>
                <c:formatCode>General</c:formatCode>
                <c:ptCount val="3"/>
                <c:pt idx="0">
                  <c:v>1.8521725615577616</c:v>
                </c:pt>
                <c:pt idx="1">
                  <c:v>4.4579142520926318</c:v>
                </c:pt>
                <c:pt idx="2">
                  <c:v>8.0190501565310068</c:v>
                </c:pt>
              </c:numCache>
            </c:numRef>
          </c:xVal>
          <c:yVal>
            <c:numRef>
              <c:f>(Monolayer!$M$21,Monolayer!$M$37,Monolayer!$M$53)</c:f>
              <c:numCache>
                <c:formatCode>0.00E+00</c:formatCode>
                <c:ptCount val="3"/>
                <c:pt idx="0">
                  <c:v>110370</c:v>
                </c:pt>
                <c:pt idx="1">
                  <c:v>311450</c:v>
                </c:pt>
                <c:pt idx="2">
                  <c:v>467300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C3A-4320-9CC9-141F5D0F8010}"/>
            </c:ext>
          </c:extLst>
        </c:ser>
        <c:ser>
          <c:idx val="3"/>
          <c:order val="3"/>
          <c:tx>
            <c:v>3d1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0584134778355657"/>
                  <c:y val="-0.155163743943556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(Monolayer!$O$25,Monolayer!$O$41,Monolayer!$O$57)</c:f>
              <c:numCache>
                <c:formatCode>General</c:formatCode>
                <c:ptCount val="3"/>
                <c:pt idx="0">
                  <c:v>0.65915095805856971</c:v>
                </c:pt>
                <c:pt idx="1">
                  <c:v>2.8534714358666928</c:v>
                </c:pt>
                <c:pt idx="2">
                  <c:v>10.602311330180509</c:v>
                </c:pt>
              </c:numCache>
            </c:numRef>
          </c:xVal>
          <c:yVal>
            <c:numRef>
              <c:f>(Monolayer!$M$25,Monolayer!$M$41,Monolayer!$M$57)</c:f>
              <c:numCache>
                <c:formatCode>0.00E+00</c:formatCode>
                <c:ptCount val="3"/>
                <c:pt idx="0">
                  <c:v>36308</c:v>
                </c:pt>
                <c:pt idx="1">
                  <c:v>237504</c:v>
                </c:pt>
                <c:pt idx="2">
                  <c:v>401704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C3A-4320-9CC9-141F5D0F8010}"/>
            </c:ext>
          </c:extLst>
        </c:ser>
        <c:ser>
          <c:idx val="4"/>
          <c:order val="4"/>
          <c:tx>
            <c:v>3,00E+01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3876596836834509"/>
                  <c:y val="-0.1503347021432187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(Monolayer!$O$26,Monolayer!$O$42,Monolayer!$O$58)</c:f>
              <c:numCache>
                <c:formatCode>General</c:formatCode>
                <c:ptCount val="3"/>
                <c:pt idx="0">
                  <c:v>3.0086147561002692</c:v>
                </c:pt>
                <c:pt idx="1">
                  <c:v>3.3971668997979529</c:v>
                </c:pt>
                <c:pt idx="2">
                  <c:v>6.2842203423699452</c:v>
                </c:pt>
              </c:numCache>
            </c:numRef>
          </c:xVal>
          <c:yVal>
            <c:numRef>
              <c:f>(Monolayer!$M$26,Monolayer!$M$42,Monolayer!$M$58)</c:f>
              <c:numCache>
                <c:formatCode>0.00E+00</c:formatCode>
                <c:ptCount val="3"/>
                <c:pt idx="0">
                  <c:v>48736.000000000029</c:v>
                </c:pt>
                <c:pt idx="1">
                  <c:v>276320</c:v>
                </c:pt>
                <c:pt idx="2">
                  <c:v>446000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C3A-4320-9CC9-141F5D0F8010}"/>
            </c:ext>
          </c:extLst>
        </c:ser>
        <c:ser>
          <c:idx val="5"/>
          <c:order val="5"/>
          <c:tx>
            <c:v>3f1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31479501409187322"/>
                  <c:y val="0.2606640071749461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(Monolayer!$O$27,Monolayer!$O$43,Monolayer!$O$59)</c:f>
              <c:numCache>
                <c:formatCode>General</c:formatCode>
                <c:ptCount val="3"/>
                <c:pt idx="0">
                  <c:v>0.87779480006216737</c:v>
                </c:pt>
                <c:pt idx="1">
                  <c:v>3.5630231577077636</c:v>
                </c:pt>
                <c:pt idx="2">
                  <c:v>7.0752014920402306</c:v>
                </c:pt>
              </c:numCache>
            </c:numRef>
          </c:xVal>
          <c:yVal>
            <c:numRef>
              <c:f>(Monolayer!$M$27,Monolayer!$M$43,Monolayer!$M$59)</c:f>
              <c:numCache>
                <c:formatCode>0.00E+00</c:formatCode>
                <c:ptCount val="3"/>
                <c:pt idx="0">
                  <c:v>56384</c:v>
                </c:pt>
                <c:pt idx="1">
                  <c:v>216224</c:v>
                </c:pt>
                <c:pt idx="2">
                  <c:v>500600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C3A-4320-9CC9-141F5D0F8010}"/>
            </c:ext>
          </c:extLst>
        </c:ser>
        <c:ser>
          <c:idx val="6"/>
          <c:order val="6"/>
          <c:tx>
            <c:v>3g1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21507564091388945"/>
                  <c:y val="0.4774899346736060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(Monolayer!$O$28,Monolayer!$O$44,Monolayer!$O$60)</c:f>
              <c:numCache>
                <c:formatCode>General</c:formatCode>
                <c:ptCount val="3"/>
                <c:pt idx="0">
                  <c:v>1.2101734052709858</c:v>
                </c:pt>
                <c:pt idx="1">
                  <c:v>3.8857989742223396</c:v>
                </c:pt>
                <c:pt idx="2">
                  <c:v>7.7849197362286011</c:v>
                </c:pt>
              </c:numCache>
            </c:numRef>
          </c:xVal>
          <c:yVal>
            <c:numRef>
              <c:f>(Monolayer!$M$28,Monolayer!$M$44,Monolayer!$M$60)</c:f>
              <c:numCache>
                <c:formatCode>0.00E+00</c:formatCode>
                <c:ptCount val="3"/>
                <c:pt idx="0">
                  <c:v>43880</c:v>
                </c:pt>
                <c:pt idx="1">
                  <c:v>222560</c:v>
                </c:pt>
                <c:pt idx="2">
                  <c:v>549116.00000000012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C3A-4320-9CC9-141F5D0F8010}"/>
            </c:ext>
          </c:extLst>
        </c:ser>
        <c:ser>
          <c:idx val="7"/>
          <c:order val="7"/>
          <c:tx>
            <c:v>3,00E+02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4045650889579761"/>
                  <c:y val="-7.4053110691361348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(Monolayer!$O$29,Monolayer!$O$45,Monolayer!$O$61)</c:f>
              <c:numCache>
                <c:formatCode>General</c:formatCode>
                <c:ptCount val="3"/>
                <c:pt idx="0">
                  <c:v>2.2695330713381718</c:v>
                </c:pt>
                <c:pt idx="1">
                  <c:v>5.2167010812851071</c:v>
                </c:pt>
                <c:pt idx="2">
                  <c:v>9.1771575745465022</c:v>
                </c:pt>
              </c:numCache>
            </c:numRef>
          </c:xVal>
          <c:yVal>
            <c:numRef>
              <c:f>(Monolayer!$M$29,Monolayer!$M$45,Monolayer!$M$61)</c:f>
              <c:numCache>
                <c:formatCode>0.00E+00</c:formatCode>
                <c:ptCount val="3"/>
                <c:pt idx="0">
                  <c:v>70239.999999999971</c:v>
                </c:pt>
                <c:pt idx="1">
                  <c:v>430950</c:v>
                </c:pt>
                <c:pt idx="2">
                  <c:v>550268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C3A-4320-9CC9-141F5D0F8010}"/>
            </c:ext>
          </c:extLst>
        </c:ser>
        <c:ser>
          <c:idx val="8"/>
          <c:order val="8"/>
          <c:tx>
            <c:v>3k2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2973966353836766"/>
                  <c:y val="-2.554662942626372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(Monolayer!$O$32,Monolayer!$O$48,Monolayer!$O$64)</c:f>
              <c:numCache>
                <c:formatCode>General</c:formatCode>
                <c:ptCount val="3"/>
                <c:pt idx="0">
                  <c:v>0.98409156508803797</c:v>
                </c:pt>
                <c:pt idx="1">
                  <c:v>3.6216945314061153</c:v>
                </c:pt>
                <c:pt idx="2">
                  <c:v>6.8250849263971238</c:v>
                </c:pt>
              </c:numCache>
            </c:numRef>
          </c:xVal>
          <c:yVal>
            <c:numRef>
              <c:f>(Monolayer!$M$32,Monolayer!$M$48,Monolayer!$M$64)</c:f>
              <c:numCache>
                <c:formatCode>0.00E+00</c:formatCode>
                <c:ptCount val="3"/>
                <c:pt idx="0">
                  <c:v>16328</c:v>
                </c:pt>
                <c:pt idx="1">
                  <c:v>209672</c:v>
                </c:pt>
                <c:pt idx="2">
                  <c:v>458800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C3A-4320-9CC9-141F5D0F8010}"/>
            </c:ext>
          </c:extLst>
        </c:ser>
        <c:ser>
          <c:idx val="9"/>
          <c:order val="9"/>
          <c:tx>
            <c:v>3n2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3995514632676193"/>
                  <c:y val="3.423263823711989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(Monolayer!$O$34,Monolayer!$O$50,Monolayer!$O$66)</c:f>
              <c:numCache>
                <c:formatCode>General</c:formatCode>
                <c:ptCount val="3"/>
                <c:pt idx="0">
                  <c:v>1.0482581762472538</c:v>
                </c:pt>
                <c:pt idx="1">
                  <c:v>3.40971158329448</c:v>
                </c:pt>
                <c:pt idx="2">
                  <c:v>6.7927795910211159</c:v>
                </c:pt>
              </c:numCache>
            </c:numRef>
          </c:xVal>
          <c:yVal>
            <c:numRef>
              <c:f>(Monolayer!$M$34,Monolayer!$M$50,Monolayer!$M$66)</c:f>
              <c:numCache>
                <c:formatCode>0.00E+00</c:formatCode>
                <c:ptCount val="3"/>
                <c:pt idx="0">
                  <c:v>33980</c:v>
                </c:pt>
                <c:pt idx="1">
                  <c:v>148620</c:v>
                </c:pt>
                <c:pt idx="2">
                  <c:v>413600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1C3A-4320-9CC9-141F5D0F8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4888111"/>
        <c:axId val="344891439"/>
      </c:scatterChart>
      <c:valAx>
        <c:axId val="3448881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4891439"/>
        <c:crosses val="autoZero"/>
        <c:crossBetween val="midCat"/>
      </c:valAx>
      <c:valAx>
        <c:axId val="344891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488811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cell = f(glutamine)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2158114610673666"/>
          <c:y val="0.16012570782707805"/>
          <c:w val="0.8181896325459318"/>
          <c:h val="0.72088764946048411"/>
        </c:manualLayout>
      </c:layout>
      <c:scatterChart>
        <c:scatterStyle val="lineMarker"/>
        <c:varyColors val="0"/>
        <c:ser>
          <c:idx val="0"/>
          <c:order val="0"/>
          <c:tx>
            <c:v>3h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(Monolayer!$U$19,Monolayer!$U$35,Monolayer!$U$51)</c:f>
              <c:numCache>
                <c:formatCode>General</c:formatCode>
                <c:ptCount val="3"/>
                <c:pt idx="0">
                  <c:v>0.43107999999999991</c:v>
                </c:pt>
                <c:pt idx="1">
                  <c:v>1.0949899999999999</c:v>
                </c:pt>
                <c:pt idx="2">
                  <c:v>1.4336599999999997</c:v>
                </c:pt>
              </c:numCache>
            </c:numRef>
          </c:xVal>
          <c:yVal>
            <c:numRef>
              <c:f>(Monolayer!$M$19,Monolayer!$M$35,Monolayer!$M$51)</c:f>
              <c:numCache>
                <c:formatCode>0.00E+00</c:formatCode>
                <c:ptCount val="3"/>
                <c:pt idx="0">
                  <c:v>39480</c:v>
                </c:pt>
                <c:pt idx="1">
                  <c:v>278672</c:v>
                </c:pt>
                <c:pt idx="2">
                  <c:v>546112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2F-42EC-896A-1121288D28CA}"/>
            </c:ext>
          </c:extLst>
        </c:ser>
        <c:ser>
          <c:idx val="1"/>
          <c:order val="1"/>
          <c:tx>
            <c:v>3l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9.2740594925634301E-2"/>
                  <c:y val="-0.2385509623797025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(Monolayer!$U$20,Monolayer!$U$36,Monolayer!$U$52)</c:f>
              <c:numCache>
                <c:formatCode>General</c:formatCode>
                <c:ptCount val="3"/>
                <c:pt idx="0">
                  <c:v>0.29205999999999999</c:v>
                </c:pt>
                <c:pt idx="1">
                  <c:v>1.03399</c:v>
                </c:pt>
                <c:pt idx="2">
                  <c:v>1.1359900000000001</c:v>
                </c:pt>
              </c:numCache>
            </c:numRef>
          </c:xVal>
          <c:yVal>
            <c:numRef>
              <c:f>(Monolayer!$M$20,Monolayer!$M$36,Monolayer!$M$52)</c:f>
              <c:numCache>
                <c:formatCode>0.00E+00</c:formatCode>
                <c:ptCount val="3"/>
                <c:pt idx="0">
                  <c:v>23640</c:v>
                </c:pt>
                <c:pt idx="1">
                  <c:v>159350</c:v>
                </c:pt>
                <c:pt idx="2">
                  <c:v>428450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E2F-42EC-896A-1121288D28CA}"/>
            </c:ext>
          </c:extLst>
        </c:ser>
        <c:ser>
          <c:idx val="2"/>
          <c:order val="2"/>
          <c:tx>
            <c:v>3o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5320100612423447"/>
                  <c:y val="-5.788422280548264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(Monolayer!$U$21,Monolayer!$U$37,Monolayer!$U$53)</c:f>
              <c:numCache>
                <c:formatCode>General</c:formatCode>
                <c:ptCount val="3"/>
                <c:pt idx="0">
                  <c:v>0.36370000000000013</c:v>
                </c:pt>
                <c:pt idx="1">
                  <c:v>0.78799000000000008</c:v>
                </c:pt>
                <c:pt idx="2">
                  <c:v>1.3533300000000001</c:v>
                </c:pt>
              </c:numCache>
            </c:numRef>
          </c:xVal>
          <c:yVal>
            <c:numRef>
              <c:f>(Monolayer!$M$21,Monolayer!$M$37,Monolayer!$M$53)</c:f>
              <c:numCache>
                <c:formatCode>0.00E+00</c:formatCode>
                <c:ptCount val="3"/>
                <c:pt idx="0">
                  <c:v>110370</c:v>
                </c:pt>
                <c:pt idx="1">
                  <c:v>311450</c:v>
                </c:pt>
                <c:pt idx="2">
                  <c:v>467300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E2F-42EC-896A-1121288D28CA}"/>
            </c:ext>
          </c:extLst>
        </c:ser>
        <c:ser>
          <c:idx val="3"/>
          <c:order val="3"/>
          <c:tx>
            <c:v>3d1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674669728783902"/>
                  <c:y val="-8.6723534558180227E-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(Monolayer!$U$25,Monolayer!$U$41,Monolayer!$U$57)</c:f>
              <c:numCache>
                <c:formatCode>General</c:formatCode>
                <c:ptCount val="3"/>
                <c:pt idx="0">
                  <c:v>0.30991000000000013</c:v>
                </c:pt>
                <c:pt idx="1">
                  <c:v>0.69039000000000006</c:v>
                </c:pt>
                <c:pt idx="2">
                  <c:v>1.2821200000000001</c:v>
                </c:pt>
              </c:numCache>
            </c:numRef>
          </c:xVal>
          <c:yVal>
            <c:numRef>
              <c:f>(Monolayer!$M$25,Monolayer!$M$41,Monolayer!$M$57)</c:f>
              <c:numCache>
                <c:formatCode>0.00E+00</c:formatCode>
                <c:ptCount val="3"/>
                <c:pt idx="0">
                  <c:v>36308</c:v>
                </c:pt>
                <c:pt idx="1">
                  <c:v>237504</c:v>
                </c:pt>
                <c:pt idx="2">
                  <c:v>401704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E2F-42EC-896A-1121288D28CA}"/>
            </c:ext>
          </c:extLst>
        </c:ser>
        <c:ser>
          <c:idx val="4"/>
          <c:order val="4"/>
          <c:tx>
            <c:v>3,00E+01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423597987751531"/>
                  <c:y val="0.1893842957130358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(Monolayer!$U$26,Monolayer!$U$42,Monolayer!$U$58)</c:f>
              <c:numCache>
                <c:formatCode>General</c:formatCode>
                <c:ptCount val="3"/>
                <c:pt idx="0">
                  <c:v>0.40951000000000004</c:v>
                </c:pt>
                <c:pt idx="1">
                  <c:v>0.65944999999999998</c:v>
                </c:pt>
                <c:pt idx="2">
                  <c:v>1.01335</c:v>
                </c:pt>
              </c:numCache>
            </c:numRef>
          </c:xVal>
          <c:yVal>
            <c:numRef>
              <c:f>(Monolayer!$M$26,Monolayer!$M$42,Monolayer!$M$58)</c:f>
              <c:numCache>
                <c:formatCode>0.00E+00</c:formatCode>
                <c:ptCount val="3"/>
                <c:pt idx="0">
                  <c:v>48736.000000000029</c:v>
                </c:pt>
                <c:pt idx="1">
                  <c:v>276320</c:v>
                </c:pt>
                <c:pt idx="2">
                  <c:v>446000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E2F-42EC-896A-1121288D28CA}"/>
            </c:ext>
          </c:extLst>
        </c:ser>
        <c:ser>
          <c:idx val="5"/>
          <c:order val="5"/>
          <c:tx>
            <c:v>3f1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4196916010498686"/>
                  <c:y val="0.3318719014289880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(Monolayer!$U$27,Monolayer!$U$43,Monolayer!$U$59)</c:f>
              <c:numCache>
                <c:formatCode>General</c:formatCode>
                <c:ptCount val="3"/>
                <c:pt idx="0">
                  <c:v>0.38204000000000016</c:v>
                </c:pt>
                <c:pt idx="1">
                  <c:v>0.78752</c:v>
                </c:pt>
                <c:pt idx="2">
                  <c:v>1.3481900000000002</c:v>
                </c:pt>
              </c:numCache>
            </c:numRef>
          </c:xVal>
          <c:yVal>
            <c:numRef>
              <c:f>(Monolayer!$M$27,Monolayer!$M$43,Monolayer!$M$59)</c:f>
              <c:numCache>
                <c:formatCode>0.00E+00</c:formatCode>
                <c:ptCount val="3"/>
                <c:pt idx="0">
                  <c:v>56384</c:v>
                </c:pt>
                <c:pt idx="1">
                  <c:v>216224</c:v>
                </c:pt>
                <c:pt idx="2">
                  <c:v>500600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E2F-42EC-896A-1121288D28CA}"/>
            </c:ext>
          </c:extLst>
        </c:ser>
        <c:ser>
          <c:idx val="6"/>
          <c:order val="6"/>
          <c:tx>
            <c:v>3g1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0129046369203849E-3"/>
                  <c:y val="-4.476863754620189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(Monolayer!$U$28,Monolayer!$U$44,Monolayer!$U$60)</c:f>
              <c:numCache>
                <c:formatCode>General</c:formatCode>
                <c:ptCount val="3"/>
                <c:pt idx="0">
                  <c:v>0.2528999999999999</c:v>
                </c:pt>
                <c:pt idx="1">
                  <c:v>0.66156000000000015</c:v>
                </c:pt>
                <c:pt idx="2">
                  <c:v>1.24055</c:v>
                </c:pt>
              </c:numCache>
            </c:numRef>
          </c:xVal>
          <c:yVal>
            <c:numRef>
              <c:f>(Monolayer!$M$28,Monolayer!$M$44,Monolayer!$M$60)</c:f>
              <c:numCache>
                <c:formatCode>0.00E+00</c:formatCode>
                <c:ptCount val="3"/>
                <c:pt idx="0">
                  <c:v>43880</c:v>
                </c:pt>
                <c:pt idx="1">
                  <c:v>222560</c:v>
                </c:pt>
                <c:pt idx="2">
                  <c:v>549116.00000000012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E2F-42EC-896A-1121288D28CA}"/>
            </c:ext>
          </c:extLst>
        </c:ser>
        <c:ser>
          <c:idx val="7"/>
          <c:order val="7"/>
          <c:tx>
            <c:v>3,00E+02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3.235695538057743E-2"/>
                  <c:y val="-8.323856723139601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(Monolayer!$U$29,Monolayer!$U$45,Monolayer!$U$61)</c:f>
              <c:numCache>
                <c:formatCode>General</c:formatCode>
                <c:ptCount val="3"/>
                <c:pt idx="0">
                  <c:v>0.45959000000000017</c:v>
                </c:pt>
                <c:pt idx="1">
                  <c:v>1.0051200000000002</c:v>
                </c:pt>
                <c:pt idx="2">
                  <c:v>1.57592</c:v>
                </c:pt>
              </c:numCache>
            </c:numRef>
          </c:xVal>
          <c:yVal>
            <c:numRef>
              <c:f>(Monolayer!$M$29,Monolayer!$M$45,Monolayer!$M$61)</c:f>
              <c:numCache>
                <c:formatCode>0.00E+00</c:formatCode>
                <c:ptCount val="3"/>
                <c:pt idx="0">
                  <c:v>70239.999999999971</c:v>
                </c:pt>
                <c:pt idx="1">
                  <c:v>430950</c:v>
                </c:pt>
                <c:pt idx="2">
                  <c:v>550268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E2F-42EC-896A-1121288D28CA}"/>
            </c:ext>
          </c:extLst>
        </c:ser>
        <c:ser>
          <c:idx val="8"/>
          <c:order val="8"/>
          <c:tx>
            <c:v>3k2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(Monolayer!$U$32,Monolayer!$U$48,Monolayer!$U$64)</c:f>
              <c:numCache>
                <c:formatCode>General</c:formatCode>
                <c:ptCount val="3"/>
                <c:pt idx="0">
                  <c:v>0.24178000000000011</c:v>
                </c:pt>
                <c:pt idx="1">
                  <c:v>0.67436000000000007</c:v>
                </c:pt>
                <c:pt idx="2">
                  <c:v>1.1735100000000001</c:v>
                </c:pt>
              </c:numCache>
            </c:numRef>
          </c:xVal>
          <c:yVal>
            <c:numRef>
              <c:f>(Monolayer!$M$32,Monolayer!$M$48,Monolayer!$M$64)</c:f>
              <c:numCache>
                <c:formatCode>0.00E+00</c:formatCode>
                <c:ptCount val="3"/>
                <c:pt idx="0">
                  <c:v>16328</c:v>
                </c:pt>
                <c:pt idx="1">
                  <c:v>209672</c:v>
                </c:pt>
                <c:pt idx="2">
                  <c:v>458800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2E2F-42EC-896A-1121288D28CA}"/>
            </c:ext>
          </c:extLst>
        </c:ser>
        <c:ser>
          <c:idx val="9"/>
          <c:order val="9"/>
          <c:tx>
            <c:v>3n2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4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3876157721442872"/>
                  <c:y val="0.3727458102912253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(Monolayer!$U$34,Monolayer!$U$50,Monolayer!$U$66)</c:f>
              <c:numCache>
                <c:formatCode>General</c:formatCode>
                <c:ptCount val="3"/>
                <c:pt idx="0">
                  <c:v>0.28346999999999989</c:v>
                </c:pt>
                <c:pt idx="1">
                  <c:v>0.57901000000000002</c:v>
                </c:pt>
                <c:pt idx="2">
                  <c:v>1.1517599999999999</c:v>
                </c:pt>
              </c:numCache>
            </c:numRef>
          </c:xVal>
          <c:yVal>
            <c:numRef>
              <c:f>(Monolayer!$M$34,Monolayer!$M$50,Monolayer!$M$66)</c:f>
              <c:numCache>
                <c:formatCode>0.00E+00</c:formatCode>
                <c:ptCount val="3"/>
                <c:pt idx="0">
                  <c:v>33980</c:v>
                </c:pt>
                <c:pt idx="1">
                  <c:v>148620</c:v>
                </c:pt>
                <c:pt idx="2">
                  <c:v>413600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2E2F-42EC-896A-1121288D2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9708127"/>
        <c:axId val="839712287"/>
      </c:scatterChart>
      <c:valAx>
        <c:axId val="8397081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39712287"/>
        <c:crosses val="autoZero"/>
        <c:crossBetween val="midCat"/>
      </c:valAx>
      <c:valAx>
        <c:axId val="839712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3970812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cell = f(glucose)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strRef>
              <c:f>('Ambr250 STBr EV production'!$AM$14,'Ambr250 STBr EV production'!$AM$22,'Ambr250 STBr EV production'!$AM$38)</c:f>
              <c:strCache>
                <c:ptCount val="3"/>
                <c:pt idx="0">
                  <c:v>0.71710</c:v>
                </c:pt>
                <c:pt idx="1">
                  <c:v>2.16390</c:v>
                </c:pt>
                <c:pt idx="2">
                  <c:v>/</c:v>
                </c:pt>
              </c:strCache>
            </c:strRef>
          </c:xVal>
          <c:yVal>
            <c:numRef>
              <c:f>('Ambr250 STBr EV production'!$C$14,'Ambr250 STBr EV production'!$C$22,'Ambr250 STBr EV production'!$C$38)</c:f>
              <c:numCache>
                <c:formatCode>0.00E+00</c:formatCode>
                <c:ptCount val="3"/>
                <c:pt idx="0">
                  <c:v>135555.55555555556</c:v>
                </c:pt>
                <c:pt idx="1">
                  <c:v>0</c:v>
                </c:pt>
                <c:pt idx="2">
                  <c:v>13333.333333333372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92-4C93-B3F1-8A49A3A53AA4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strRef>
              <c:f>('Ambr250 STBr EV production'!$AM$15,'Ambr250 STBr EV production'!$AM$23,'Ambr250 STBr EV production'!$AM$39)</c:f>
              <c:strCache>
                <c:ptCount val="3"/>
                <c:pt idx="0">
                  <c:v>1.18742</c:v>
                </c:pt>
                <c:pt idx="1">
                  <c:v>2.44388</c:v>
                </c:pt>
                <c:pt idx="2">
                  <c:v>/</c:v>
                </c:pt>
              </c:strCache>
            </c:strRef>
          </c:xVal>
          <c:yVal>
            <c:numRef>
              <c:f>('Ambr250 STBr EV production'!$C$15,'Ambr250 STBr EV production'!$C$23,'Ambr250 STBr EV production'!$C$39)</c:f>
              <c:numCache>
                <c:formatCode>0.00E+00</c:formatCode>
                <c:ptCount val="3"/>
                <c:pt idx="0">
                  <c:v>0</c:v>
                </c:pt>
                <c:pt idx="1">
                  <c:v>32444.444444444438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92-4C93-B3F1-8A49A3A53AA4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('Ambr250 STBr EV production'!$AM$16,'Ambr250 STBr EV production'!$AM$24,'Ambr250 STBr EV production'!$AM$40)</c:f>
              <c:numCache>
                <c:formatCode>0.00000</c:formatCode>
                <c:ptCount val="3"/>
                <c:pt idx="0">
                  <c:v>0.92664135526987756</c:v>
                </c:pt>
                <c:pt idx="1">
                  <c:v>2.1619041275339139</c:v>
                </c:pt>
                <c:pt idx="2">
                  <c:v>0.62834432380825334</c:v>
                </c:pt>
              </c:numCache>
            </c:numRef>
          </c:xVal>
          <c:yVal>
            <c:numRef>
              <c:f>('Ambr250 STBr EV production'!$C$16,'Ambr250 STBr EV production'!$C$24,'Ambr250 STBr EV production'!$C$40)</c:f>
              <c:numCache>
                <c:formatCode>0.00E+00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56000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492-4C93-B3F1-8A49A3A53AA4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strRef>
              <c:f>('Ambr250 STBr EV production'!$AM$17,'Ambr250 STBr EV production'!$AM$25,'Ambr250 STBr EV production'!$AM$41)</c:f>
              <c:strCache>
                <c:ptCount val="3"/>
                <c:pt idx="0">
                  <c:v>/</c:v>
                </c:pt>
                <c:pt idx="1">
                  <c:v>2.00976</c:v>
                </c:pt>
                <c:pt idx="2">
                  <c:v>0.24362</c:v>
                </c:pt>
              </c:strCache>
            </c:strRef>
          </c:xVal>
          <c:yVal>
            <c:numRef>
              <c:f>('Ambr250 STBr EV production'!$C$17,'Ambr250 STBr EV production'!$C$25,'Ambr250 STBr EV production'!$C$41)</c:f>
              <c:numCache>
                <c:formatCode>0.00E+00</c:formatCode>
                <c:ptCount val="3"/>
                <c:pt idx="0">
                  <c:v>16444.444444444438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492-4C93-B3F1-8A49A3A53AA4}"/>
            </c:ext>
          </c:extLst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('Ambr250 STBr EV production'!$AM$18,'Ambr250 STBr EV production'!$AM$26,'Ambr250 STBr EV production'!$AM$42)</c:f>
              <c:numCache>
                <c:formatCode>0.00000</c:formatCode>
                <c:ptCount val="3"/>
                <c:pt idx="0">
                  <c:v>0.99863451675215131</c:v>
                </c:pt>
                <c:pt idx="1">
                  <c:v>1.8159817047447788</c:v>
                </c:pt>
                <c:pt idx="2">
                  <c:v>0.94756766358045219</c:v>
                </c:pt>
              </c:numCache>
            </c:numRef>
          </c:xVal>
          <c:yVal>
            <c:numRef>
              <c:f>('Ambr250 STBr EV production'!$C$18,'Ambr250 STBr EV production'!$C$26,'Ambr250 STBr EV production'!$C$42)</c:f>
              <c:numCache>
                <c:formatCode>0.00E+00</c:formatCode>
                <c:ptCount val="3"/>
                <c:pt idx="0">
                  <c:v>26222.222222222248</c:v>
                </c:pt>
                <c:pt idx="1">
                  <c:v>6666.6666666666279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492-4C93-B3F1-8A49A3A53AA4}"/>
            </c:ext>
          </c:extLst>
        </c:ser>
        <c:ser>
          <c:idx val="5"/>
          <c:order val="5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('Ambr250 STBr EV production'!$AM$19,'Ambr250 STBr EV production'!$AM$27,'Ambr250 STBr EV production'!$AM$43)</c:f>
              <c:numCache>
                <c:formatCode>0.00000</c:formatCode>
                <c:ptCount val="3"/>
                <c:pt idx="0">
                  <c:v>0.92197872954550597</c:v>
                </c:pt>
                <c:pt idx="1">
                  <c:v>1.95341814871556</c:v>
                </c:pt>
                <c:pt idx="2">
                  <c:v>0.44672395035413714</c:v>
                </c:pt>
              </c:numCache>
            </c:numRef>
          </c:xVal>
          <c:yVal>
            <c:numRef>
              <c:f>('Ambr250 STBr EV production'!$C$19,'Ambr250 STBr EV production'!$C$27,'Ambr250 STBr EV production'!$C$43)</c:f>
              <c:numCache>
                <c:formatCode>0.00E+00</c:formatCode>
                <c:ptCount val="3"/>
                <c:pt idx="0">
                  <c:v>0</c:v>
                </c:pt>
                <c:pt idx="1">
                  <c:v>46666.666666666628</c:v>
                </c:pt>
                <c:pt idx="2">
                  <c:v>114666.66666666663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492-4C93-B3F1-8A49A3A53AA4}"/>
            </c:ext>
          </c:extLst>
        </c:ser>
        <c:ser>
          <c:idx val="6"/>
          <c:order val="6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0.13210061242344706"/>
                  <c:y val="-0.2461924030329542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('Ambr250 STBr EV production'!$AM$20,'Ambr250 STBr EV production'!$AM$28,'Ambr250 STBr EV production'!$AM$44)</c:f>
              <c:numCache>
                <c:formatCode>0.00000</c:formatCode>
                <c:ptCount val="3"/>
                <c:pt idx="0">
                  <c:v>1.6458513732542919</c:v>
                </c:pt>
                <c:pt idx="1">
                  <c:v>2.2245165301183434</c:v>
                </c:pt>
                <c:pt idx="2">
                  <c:v>0.39815493239192712</c:v>
                </c:pt>
              </c:numCache>
            </c:numRef>
          </c:xVal>
          <c:yVal>
            <c:numRef>
              <c:f>('Ambr250 STBr EV production'!$C$20,'Ambr250 STBr EV production'!$C$28,'Ambr250 STBr EV production'!$C$44)</c:f>
              <c:numCache>
                <c:formatCode>0.00E+00</c:formatCode>
                <c:ptCount val="3"/>
                <c:pt idx="0">
                  <c:v>30666.666666666628</c:v>
                </c:pt>
                <c:pt idx="1">
                  <c:v>65333.333333333314</c:v>
                </c:pt>
                <c:pt idx="2">
                  <c:v>24000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492-4C93-B3F1-8A49A3A53AA4}"/>
            </c:ext>
          </c:extLst>
        </c:ser>
        <c:ser>
          <c:idx val="7"/>
          <c:order val="7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('Ambr250 STBr EV production'!$AM$21,'Ambr250 STBr EV production'!$AM$29,'Ambr250 STBr EV production'!$AM$45)</c:f>
              <c:numCache>
                <c:formatCode>0.00000</c:formatCode>
                <c:ptCount val="3"/>
                <c:pt idx="0">
                  <c:v>1.1090388330113914</c:v>
                </c:pt>
                <c:pt idx="1">
                  <c:v>2.8966007238171372</c:v>
                </c:pt>
                <c:pt idx="2">
                  <c:v>0.22968982437442875</c:v>
                </c:pt>
              </c:numCache>
            </c:numRef>
          </c:xVal>
          <c:yVal>
            <c:numRef>
              <c:f>('Ambr250 STBr EV production'!$C$21,'Ambr250 STBr EV production'!$C$29,'Ambr250 STBr EV production'!$C$45)</c:f>
              <c:numCache>
                <c:formatCode>0.00E+00</c:formatCode>
                <c:ptCount val="3"/>
                <c:pt idx="0">
                  <c:v>61777.777777777694</c:v>
                </c:pt>
                <c:pt idx="1">
                  <c:v>55555.555555555562</c:v>
                </c:pt>
                <c:pt idx="2">
                  <c:v>78222.222222222248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492-4C93-B3F1-8A49A3A53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9262447"/>
        <c:axId val="1619258287"/>
      </c:scatterChart>
      <c:valAx>
        <c:axId val="16192624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19258287"/>
        <c:crosses val="autoZero"/>
        <c:crossBetween val="midCat"/>
      </c:valAx>
      <c:valAx>
        <c:axId val="1619258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192624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cell =</a:t>
            </a:r>
            <a:r>
              <a:rPr lang="en-GB" baseline="0"/>
              <a:t> f(glutamine)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2160315129824521"/>
          <c:y val="0.194780188096038"/>
          <c:w val="0.79282174103237091"/>
          <c:h val="0.72088764946048411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strRef>
              <c:f>('Ambr250 STBr EV production'!$AS$14,'Ambr250 STBr EV production'!$AS$22,'Ambr250 STBr EV production'!$AS$38)</c:f>
              <c:strCache>
                <c:ptCount val="3"/>
                <c:pt idx="0">
                  <c:v>1.21562</c:v>
                </c:pt>
                <c:pt idx="1">
                  <c:v>1.88795</c:v>
                </c:pt>
                <c:pt idx="2">
                  <c:v>/</c:v>
                </c:pt>
              </c:strCache>
            </c:strRef>
          </c:xVal>
          <c:yVal>
            <c:numRef>
              <c:f>('Ambr250 STBr EV production'!$C$14,'Ambr250 STBr EV production'!$C$22,'Ambr250 STBr EV production'!$C$38)</c:f>
              <c:numCache>
                <c:formatCode>0.00E+00</c:formatCode>
                <c:ptCount val="3"/>
                <c:pt idx="0">
                  <c:v>135555.55555555556</c:v>
                </c:pt>
                <c:pt idx="1">
                  <c:v>0</c:v>
                </c:pt>
                <c:pt idx="2">
                  <c:v>13333.333333333372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BC-4485-A738-AFA6455A1B18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strRef>
              <c:f>('Ambr250 STBr EV production'!$AS$15,'Ambr250 STBr EV production'!$AS$23,'Ambr250 STBr EV production'!$AS$39)</c:f>
              <c:strCache>
                <c:ptCount val="3"/>
                <c:pt idx="0">
                  <c:v>1.21862</c:v>
                </c:pt>
                <c:pt idx="1">
                  <c:v>1.71302</c:v>
                </c:pt>
                <c:pt idx="2">
                  <c:v>/</c:v>
                </c:pt>
              </c:strCache>
            </c:strRef>
          </c:xVal>
          <c:yVal>
            <c:numRef>
              <c:f>('Ambr250 STBr EV production'!$C$15,'Ambr250 STBr EV production'!$C$23,'Ambr250 STBr EV production'!$C$39)</c:f>
              <c:numCache>
                <c:formatCode>0.00E+00</c:formatCode>
                <c:ptCount val="3"/>
                <c:pt idx="0">
                  <c:v>0</c:v>
                </c:pt>
                <c:pt idx="1">
                  <c:v>32444.444444444438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BC-4485-A738-AFA6455A1B18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('Ambr250 STBr EV production'!$AS$16,'Ambr250 STBr EV production'!$AS$24,'Ambr250 STBr EV production'!$AS$40)</c:f>
              <c:numCache>
                <c:formatCode>0.00000</c:formatCode>
                <c:ptCount val="3"/>
                <c:pt idx="0">
                  <c:v>0.12514000000000003</c:v>
                </c:pt>
                <c:pt idx="1">
                  <c:v>0.90147999999999984</c:v>
                </c:pt>
                <c:pt idx="2">
                  <c:v>0.58835999999999977</c:v>
                </c:pt>
              </c:numCache>
            </c:numRef>
          </c:xVal>
          <c:yVal>
            <c:numRef>
              <c:f>('Ambr250 STBr EV production'!$C$16,'Ambr250 STBr EV production'!$C$24,'Ambr250 STBr EV production'!$C$40)</c:f>
              <c:numCache>
                <c:formatCode>0.00E+00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56000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BC-4485-A738-AFA6455A1B18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strRef>
              <c:f>('Ambr250 STBr EV production'!$AS$17,'Ambr250 STBr EV production'!$AS$25,'Ambr250 STBr EV production'!$AS$41)</c:f>
              <c:strCache>
                <c:ptCount val="3"/>
                <c:pt idx="0">
                  <c:v>/</c:v>
                </c:pt>
                <c:pt idx="1">
                  <c:v>0.77813</c:v>
                </c:pt>
                <c:pt idx="2">
                  <c:v>0.34486</c:v>
                </c:pt>
              </c:strCache>
            </c:strRef>
          </c:xVal>
          <c:yVal>
            <c:numRef>
              <c:f>('Ambr250 STBr EV production'!$C$17,'Ambr250 STBr EV production'!$C$25,'Ambr250 STBr EV production'!$C$41)</c:f>
              <c:numCache>
                <c:formatCode>0.00E+00</c:formatCode>
                <c:ptCount val="3"/>
                <c:pt idx="0">
                  <c:v>16444.444444444438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BC-4485-A738-AFA6455A1B18}"/>
            </c:ext>
          </c:extLst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('Ambr250 STBr EV production'!$AS$18,'Ambr250 STBr EV production'!$AS$26,'Ambr250 STBr EV production'!$AS$42)</c:f>
              <c:numCache>
                <c:formatCode>0.00000</c:formatCode>
                <c:ptCount val="3"/>
                <c:pt idx="0">
                  <c:v>0.34956000000000031</c:v>
                </c:pt>
                <c:pt idx="1">
                  <c:v>0.93579999999999997</c:v>
                </c:pt>
                <c:pt idx="2">
                  <c:v>0.32800999999999991</c:v>
                </c:pt>
              </c:numCache>
            </c:numRef>
          </c:xVal>
          <c:yVal>
            <c:numRef>
              <c:f>('Ambr250 STBr EV production'!$C$18,'Ambr250 STBr EV production'!$C$26,'Ambr250 STBr EV production'!$C$42)</c:f>
              <c:numCache>
                <c:formatCode>0.00E+00</c:formatCode>
                <c:ptCount val="3"/>
                <c:pt idx="0">
                  <c:v>26222.222222222248</c:v>
                </c:pt>
                <c:pt idx="1">
                  <c:v>6666.6666666666279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0BC-4485-A738-AFA6455A1B18}"/>
            </c:ext>
          </c:extLst>
        </c:ser>
        <c:ser>
          <c:idx val="5"/>
          <c:order val="5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('Ambr250 STBr EV production'!$AS$19,'Ambr250 STBr EV production'!$AS$27,'Ambr250 STBr EV production'!$AS$43)</c:f>
              <c:numCache>
                <c:formatCode>0.00000</c:formatCode>
                <c:ptCount val="3"/>
                <c:pt idx="0">
                  <c:v>0.61120000000000019</c:v>
                </c:pt>
                <c:pt idx="1">
                  <c:v>0.99648000000000003</c:v>
                </c:pt>
                <c:pt idx="2">
                  <c:v>0.27732000000000046</c:v>
                </c:pt>
              </c:numCache>
            </c:numRef>
          </c:xVal>
          <c:yVal>
            <c:numRef>
              <c:f>('Ambr250 STBr EV production'!$C$19,'Ambr250 STBr EV production'!$C$27,'Ambr250 STBr EV production'!$C$43)</c:f>
              <c:numCache>
                <c:formatCode>0.00E+00</c:formatCode>
                <c:ptCount val="3"/>
                <c:pt idx="0">
                  <c:v>0</c:v>
                </c:pt>
                <c:pt idx="1">
                  <c:v>46666.666666666628</c:v>
                </c:pt>
                <c:pt idx="2">
                  <c:v>114666.66666666663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0BC-4485-A738-AFA6455A1B18}"/>
            </c:ext>
          </c:extLst>
        </c:ser>
        <c:ser>
          <c:idx val="6"/>
          <c:order val="6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('Ambr250 STBr EV production'!$AS$20,'Ambr250 STBr EV production'!$AS$28,'Ambr250 STBr EV production'!$AS$44)</c:f>
              <c:numCache>
                <c:formatCode>0.00000</c:formatCode>
                <c:ptCount val="3"/>
                <c:pt idx="0">
                  <c:v>0.87457999999999991</c:v>
                </c:pt>
                <c:pt idx="1">
                  <c:v>1.4022599999999996</c:v>
                </c:pt>
                <c:pt idx="2">
                  <c:v>1.0036899999999997</c:v>
                </c:pt>
              </c:numCache>
            </c:numRef>
          </c:xVal>
          <c:yVal>
            <c:numRef>
              <c:f>('Ambr250 STBr EV production'!$C$20,'Ambr250 STBr EV production'!$C$28,'Ambr250 STBr EV production'!$C$44)</c:f>
              <c:numCache>
                <c:formatCode>0.00E+00</c:formatCode>
                <c:ptCount val="3"/>
                <c:pt idx="0">
                  <c:v>30666.666666666628</c:v>
                </c:pt>
                <c:pt idx="1">
                  <c:v>65333.333333333314</c:v>
                </c:pt>
                <c:pt idx="2">
                  <c:v>24000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0BC-4485-A738-AFA6455A1B18}"/>
            </c:ext>
          </c:extLst>
        </c:ser>
        <c:ser>
          <c:idx val="7"/>
          <c:order val="7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('Ambr250 STBr EV production'!$AS$21,'Ambr250 STBr EV production'!$AS$29,'Ambr250 STBr EV production'!$AS$45)</c:f>
              <c:numCache>
                <c:formatCode>0.00000</c:formatCode>
                <c:ptCount val="3"/>
                <c:pt idx="0">
                  <c:v>0.85732999999999926</c:v>
                </c:pt>
                <c:pt idx="1">
                  <c:v>1.4285199999999998</c:v>
                </c:pt>
                <c:pt idx="2">
                  <c:v>0.40056999999999965</c:v>
                </c:pt>
              </c:numCache>
            </c:numRef>
          </c:xVal>
          <c:yVal>
            <c:numRef>
              <c:f>('Ambr250 STBr EV production'!$C$21,'Ambr250 STBr EV production'!$C$29,'Ambr250 STBr EV production'!$C$45)</c:f>
              <c:numCache>
                <c:formatCode>0.00E+00</c:formatCode>
                <c:ptCount val="3"/>
                <c:pt idx="0">
                  <c:v>61777.777777777694</c:v>
                </c:pt>
                <c:pt idx="1">
                  <c:v>55555.555555555562</c:v>
                </c:pt>
                <c:pt idx="2">
                  <c:v>78222.222222222248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0BC-4485-A738-AFA6455A1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3664303"/>
        <c:axId val="1783650159"/>
      </c:scatterChart>
      <c:valAx>
        <c:axId val="17836643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3650159"/>
        <c:crosses val="autoZero"/>
        <c:crossBetween val="midCat"/>
      </c:valAx>
      <c:valAx>
        <c:axId val="17836501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366430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lac/gluc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3.8542650918635173E-2"/>
                  <c:y val="-2.4496937882764654E-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('0.5L SpF production'!$AJ$13,'0.5L SpF production'!$AJ$17,'0.5L SpF production'!$AJ$27)</c:f>
              <c:numCache>
                <c:formatCode>0.00</c:formatCode>
                <c:ptCount val="3"/>
                <c:pt idx="0">
                  <c:v>1.1291602833100196</c:v>
                </c:pt>
                <c:pt idx="1">
                  <c:v>2.4682219853904375</c:v>
                </c:pt>
                <c:pt idx="2" formatCode="General">
                  <c:v>0.99269521969848284</c:v>
                </c:pt>
              </c:numCache>
            </c:numRef>
          </c:xVal>
          <c:yVal>
            <c:numRef>
              <c:f>('0.5L SpF production'!$AN$13,'0.5L SpF production'!$AN$17,'0.5L SpF production'!$AN$27)</c:f>
              <c:numCache>
                <c:formatCode>0.00</c:formatCode>
                <c:ptCount val="3"/>
                <c:pt idx="0">
                  <c:v>2.7225799999999998</c:v>
                </c:pt>
                <c:pt idx="1">
                  <c:v>4.85663</c:v>
                </c:pt>
                <c:pt idx="2" formatCode="General">
                  <c:v>1.9017900000000001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59-4965-8D1D-91EFB18E6F10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('0.5L SpF production'!$AJ$14,'0.5L SpF production'!$AJ$18,'0.5L SpF production'!$AJ$28)</c:f>
              <c:numCache>
                <c:formatCode>0.00</c:formatCode>
                <c:ptCount val="3"/>
                <c:pt idx="0">
                  <c:v>1.9337962654588239</c:v>
                </c:pt>
                <c:pt idx="1">
                  <c:v>3.6620762006261227</c:v>
                </c:pt>
                <c:pt idx="2" formatCode="General">
                  <c:v>0.78642953884411426</c:v>
                </c:pt>
              </c:numCache>
            </c:numRef>
          </c:xVal>
          <c:yVal>
            <c:numRef>
              <c:f>('0.5L SpF production'!$AN$14,'0.5L SpF production'!$AN$18,'0.5L SpF production'!$AN$28)</c:f>
              <c:numCache>
                <c:formatCode>0.00</c:formatCode>
                <c:ptCount val="3"/>
                <c:pt idx="0">
                  <c:v>3.70912</c:v>
                </c:pt>
                <c:pt idx="1">
                  <c:v>5.5670099999999998</c:v>
                </c:pt>
                <c:pt idx="2" formatCode="General">
                  <c:v>2.0391700000000004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59-4965-8D1D-91EFB18E6F10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8.1878827646544181E-2"/>
                  <c:y val="0.2769491834354039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('0.5L SpF production'!$AJ$15,'0.5L SpF production'!$AJ$19,'0.5L SpF production'!$AJ$29)</c:f>
              <c:numCache>
                <c:formatCode>0.00</c:formatCode>
                <c:ptCount val="3"/>
                <c:pt idx="0">
                  <c:v>2.0446446413108621</c:v>
                </c:pt>
                <c:pt idx="1">
                  <c:v>3.3122127489509072</c:v>
                </c:pt>
                <c:pt idx="2" formatCode="General">
                  <c:v>1.1178090099691378</c:v>
                </c:pt>
              </c:numCache>
            </c:numRef>
          </c:xVal>
          <c:yVal>
            <c:numRef>
              <c:f>('0.5L SpF production'!$AN$15,'0.5L SpF production'!$AN$19,'0.5L SpF production'!$AN$29)</c:f>
              <c:numCache>
                <c:formatCode>0.00</c:formatCode>
                <c:ptCount val="3"/>
                <c:pt idx="0">
                  <c:v>3.32457</c:v>
                </c:pt>
                <c:pt idx="1">
                  <c:v>5.4106199999999998</c:v>
                </c:pt>
                <c:pt idx="2" formatCode="General">
                  <c:v>1.9869600000000003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259-4965-8D1D-91EFB18E6F10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6.768766404199475E-2"/>
                  <c:y val="0.1314373724117818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('0.5L SpF production'!$AJ$16,'0.5L SpF production'!$AJ$20,'0.5L SpF production'!$AJ$30)</c:f>
              <c:numCache>
                <c:formatCode>0.00</c:formatCode>
                <c:ptCount val="3"/>
                <c:pt idx="0">
                  <c:v>2.5904493883079098</c:v>
                </c:pt>
                <c:pt idx="1">
                  <c:v>4.5126723506294528</c:v>
                </c:pt>
                <c:pt idx="2" formatCode="General">
                  <c:v>0.71987610737360974</c:v>
                </c:pt>
              </c:numCache>
            </c:numRef>
          </c:xVal>
          <c:yVal>
            <c:numRef>
              <c:f>('0.5L SpF production'!$AN$16,'0.5L SpF production'!$AN$20,'0.5L SpF production'!$AN$30)</c:f>
              <c:numCache>
                <c:formatCode>0.00</c:formatCode>
                <c:ptCount val="3"/>
                <c:pt idx="0">
                  <c:v>3.4327100000000002</c:v>
                </c:pt>
                <c:pt idx="1">
                  <c:v>5.1706700000000003</c:v>
                </c:pt>
                <c:pt idx="2" formatCode="General">
                  <c:v>2.4327399999999999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259-4965-8D1D-91EFB18E6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4102079"/>
        <c:axId val="1384102495"/>
      </c:scatterChart>
      <c:valAx>
        <c:axId val="13841020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84102495"/>
        <c:crosses val="autoZero"/>
        <c:crossBetween val="midCat"/>
      </c:valAx>
      <c:valAx>
        <c:axId val="1384102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841020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NH4/glutamine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27026334208223973"/>
                  <c:y val="7.5499416739574221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('0.5L SpF production'!$AP$13,'0.5L SpF production'!$AP$17,'0.5L SpF production'!$AP$27)</c:f>
              <c:numCache>
                <c:formatCode>0.00</c:formatCode>
                <c:ptCount val="3"/>
                <c:pt idx="0">
                  <c:v>0.75911000000000017</c:v>
                </c:pt>
                <c:pt idx="1">
                  <c:v>1.5265300000000002</c:v>
                </c:pt>
                <c:pt idx="2" formatCode="General">
                  <c:v>0.2505799999999998</c:v>
                </c:pt>
              </c:numCache>
            </c:numRef>
          </c:xVal>
          <c:yVal>
            <c:numRef>
              <c:f>('0.5L SpF production'!$AL$13,'0.5L SpF production'!$AL$17,'0.5L SpF production'!$AL$27)</c:f>
              <c:numCache>
                <c:formatCode>0.00</c:formatCode>
                <c:ptCount val="3"/>
                <c:pt idx="0">
                  <c:v>0.72486500000000009</c:v>
                </c:pt>
                <c:pt idx="1">
                  <c:v>1.3877350000000002</c:v>
                </c:pt>
                <c:pt idx="2" formatCode="General">
                  <c:v>0.6043400000000001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B5-4634-875C-6137A615F7D0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('0.5L SpF production'!$AP$14,'0.5L SpF production'!$AP$18,'0.5L SpF production'!$AP$28)</c:f>
              <c:numCache>
                <c:formatCode>0.00</c:formatCode>
                <c:ptCount val="3"/>
                <c:pt idx="0">
                  <c:v>0.5625</c:v>
                </c:pt>
                <c:pt idx="1">
                  <c:v>1.1771700000000003</c:v>
                </c:pt>
                <c:pt idx="2" formatCode="General">
                  <c:v>1.0765500000000001</c:v>
                </c:pt>
              </c:numCache>
            </c:numRef>
          </c:xVal>
          <c:yVal>
            <c:numRef>
              <c:f>('0.5L SpF production'!$AL$14,'0.5L SpF production'!$AL$18,'0.5L SpF production'!$AL$28)</c:f>
              <c:numCache>
                <c:formatCode>0.00</c:formatCode>
                <c:ptCount val="3"/>
                <c:pt idx="0">
                  <c:v>0.65026500000000009</c:v>
                </c:pt>
                <c:pt idx="1">
                  <c:v>1.2457750000000001</c:v>
                </c:pt>
                <c:pt idx="2" formatCode="General">
                  <c:v>0.88644999999999996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B5-4634-875C-6137A615F7D0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6.5834864391951006E-2"/>
                  <c:y val="-5.549759405074367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('0.5L SpF production'!$AP$15,'0.5L SpF production'!$AP$19,'0.5L SpF production'!$AP$29)</c:f>
              <c:numCache>
                <c:formatCode>0.00</c:formatCode>
                <c:ptCount val="3"/>
                <c:pt idx="0">
                  <c:v>0.54444000000000026</c:v>
                </c:pt>
                <c:pt idx="1">
                  <c:v>1.2803400000000003</c:v>
                </c:pt>
                <c:pt idx="2" formatCode="General">
                  <c:v>0.7146899999999996</c:v>
                </c:pt>
              </c:numCache>
            </c:numRef>
          </c:xVal>
          <c:yVal>
            <c:numRef>
              <c:f>('0.5L SpF production'!$AL$15,'0.5L SpF production'!$AL$19,'0.5L SpF production'!$AL$29)</c:f>
              <c:numCache>
                <c:formatCode>0.00</c:formatCode>
                <c:ptCount val="3"/>
                <c:pt idx="0">
                  <c:v>0.61401499999999998</c:v>
                </c:pt>
                <c:pt idx="1">
                  <c:v>1.3446150000000001</c:v>
                </c:pt>
                <c:pt idx="2" formatCode="General">
                  <c:v>0.76935999999999982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2B5-4634-875C-6137A615F7D0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1.9536526684164481E-2"/>
                  <c:y val="-6.569480898221055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('0.5L SpF production'!$AP$16,'0.5L SpF production'!$AP$20,'0.5L SpF production'!$AP$30)</c:f>
              <c:numCache>
                <c:formatCode>0.00</c:formatCode>
                <c:ptCount val="3"/>
                <c:pt idx="0">
                  <c:v>0.4321299999999999</c:v>
                </c:pt>
                <c:pt idx="1">
                  <c:v>1.4031799999999999</c:v>
                </c:pt>
                <c:pt idx="2" formatCode="General">
                  <c:v>0.76325000000000021</c:v>
                </c:pt>
              </c:numCache>
            </c:numRef>
          </c:xVal>
          <c:yVal>
            <c:numRef>
              <c:f>('0.5L SpF production'!$AL$16,'0.5L SpF production'!$AL$20,'0.5L SpF production'!$AL$30)</c:f>
              <c:numCache>
                <c:formatCode>0.00</c:formatCode>
                <c:ptCount val="3"/>
                <c:pt idx="0">
                  <c:v>1.2629049999999999</c:v>
                </c:pt>
                <c:pt idx="1">
                  <c:v>2.022675</c:v>
                </c:pt>
                <c:pt idx="2" formatCode="General">
                  <c:v>0.85657000000000005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2B5-4634-875C-6137A615F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2830655"/>
        <c:axId val="1382833567"/>
      </c:scatterChart>
      <c:valAx>
        <c:axId val="13828306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82833567"/>
        <c:crosses val="autoZero"/>
        <c:crossBetween val="midCat"/>
      </c:valAx>
      <c:valAx>
        <c:axId val="1382833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8283065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cell = f(glucose)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('0.5L SpF production'!$AJ$13,'0.5L SpF production'!$AJ$17,'0.5L SpF production'!$AJ$27)</c:f>
              <c:numCache>
                <c:formatCode>0.00</c:formatCode>
                <c:ptCount val="3"/>
                <c:pt idx="0">
                  <c:v>1.1291602833100196</c:v>
                </c:pt>
                <c:pt idx="1">
                  <c:v>2.4682219853904375</c:v>
                </c:pt>
                <c:pt idx="2" formatCode="General">
                  <c:v>0.99269521969848284</c:v>
                </c:pt>
              </c:numCache>
            </c:numRef>
          </c:xVal>
          <c:yVal>
            <c:numRef>
              <c:f>('0.5L SpF production'!$C$13,'0.5L SpF production'!$C$17,'0.5L SpF production'!$C$27)</c:f>
              <c:numCache>
                <c:formatCode>0.00E+00</c:formatCode>
                <c:ptCount val="3"/>
                <c:pt idx="0">
                  <c:v>0</c:v>
                </c:pt>
                <c:pt idx="1">
                  <c:v>28000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EF-41AA-8B42-EC3B82E8F44D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7.396981627296588E-2"/>
                  <c:y val="-5.143737241178188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('0.5L SpF production'!$AJ$14,'0.5L SpF production'!$AJ$18,'0.5L SpF production'!$AJ$28)</c:f>
              <c:numCache>
                <c:formatCode>0.00</c:formatCode>
                <c:ptCount val="3"/>
                <c:pt idx="0">
                  <c:v>1.9337962654588239</c:v>
                </c:pt>
                <c:pt idx="1">
                  <c:v>3.6620762006261227</c:v>
                </c:pt>
                <c:pt idx="2" formatCode="General">
                  <c:v>0.78642953884411426</c:v>
                </c:pt>
              </c:numCache>
            </c:numRef>
          </c:xVal>
          <c:yVal>
            <c:numRef>
              <c:f>('0.5L SpF production'!$C$14,'0.5L SpF production'!$C$18,'0.5L SpF production'!$C$28)</c:f>
              <c:numCache>
                <c:formatCode>0.00E+00</c:formatCode>
                <c:ptCount val="3"/>
                <c:pt idx="0">
                  <c:v>34666.666666666628</c:v>
                </c:pt>
                <c:pt idx="1">
                  <c:v>103000</c:v>
                </c:pt>
                <c:pt idx="2">
                  <c:v>4000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EF-41AA-8B42-EC3B82E8F44D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('0.5L SpF production'!$AJ$15,'0.5L SpF production'!$AJ$19,'0.5L SpF production'!$AJ$29)</c:f>
              <c:numCache>
                <c:formatCode>0.00</c:formatCode>
                <c:ptCount val="3"/>
                <c:pt idx="0">
                  <c:v>2.0446446413108621</c:v>
                </c:pt>
                <c:pt idx="1">
                  <c:v>3.3122127489509072</c:v>
                </c:pt>
                <c:pt idx="2" formatCode="General">
                  <c:v>1.1178090099691378</c:v>
                </c:pt>
              </c:numCache>
            </c:numRef>
          </c:xVal>
          <c:yVal>
            <c:numRef>
              <c:f>('0.5L SpF production'!$C$15,'0.5L SpF production'!$C$19,'0.5L SpF production'!$C$29)</c:f>
              <c:numCache>
                <c:formatCode>0.00E+00</c:formatCode>
                <c:ptCount val="3"/>
                <c:pt idx="0">
                  <c:v>86000</c:v>
                </c:pt>
                <c:pt idx="1">
                  <c:v>163333.33333333331</c:v>
                </c:pt>
                <c:pt idx="2">
                  <c:v>57333.333333333372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7EF-41AA-8B42-EC3B82E8F44D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('0.5L SpF production'!$AJ$16,'0.5L SpF production'!$AJ$20,'0.5L SpF production'!$AJ$30)</c:f>
              <c:numCache>
                <c:formatCode>0.00</c:formatCode>
                <c:ptCount val="3"/>
                <c:pt idx="0">
                  <c:v>2.5904493883079098</c:v>
                </c:pt>
                <c:pt idx="1">
                  <c:v>4.5126723506294528</c:v>
                </c:pt>
                <c:pt idx="2" formatCode="General">
                  <c:v>0.71987610737360974</c:v>
                </c:pt>
              </c:numCache>
            </c:numRef>
          </c:xVal>
          <c:yVal>
            <c:numRef>
              <c:f>('0.5L SpF production'!$C$16,'0.5L SpF production'!$C$20,'0.5L SpF production'!$C$30)</c:f>
              <c:numCache>
                <c:formatCode>0.00E+00</c:formatCode>
                <c:ptCount val="3"/>
                <c:pt idx="0">
                  <c:v>137333.33333333331</c:v>
                </c:pt>
                <c:pt idx="1">
                  <c:v>166666.66666666663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7EF-41AA-8B42-EC3B82E8F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0738047"/>
        <c:axId val="1540735551"/>
      </c:scatterChart>
      <c:valAx>
        <c:axId val="15407380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40735551"/>
        <c:crosses val="autoZero"/>
        <c:crossBetween val="midCat"/>
      </c:valAx>
      <c:valAx>
        <c:axId val="15407355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407380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13" Type="http://schemas.openxmlformats.org/officeDocument/2006/relationships/chart" Target="../charts/chart37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2" Type="http://schemas.openxmlformats.org/officeDocument/2006/relationships/chart" Target="../charts/chart26.xml"/><Relationship Id="rId16" Type="http://schemas.openxmlformats.org/officeDocument/2006/relationships/chart" Target="../charts/chart40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5" Type="http://schemas.openxmlformats.org/officeDocument/2006/relationships/chart" Target="../charts/chart29.xml"/><Relationship Id="rId15" Type="http://schemas.openxmlformats.org/officeDocument/2006/relationships/chart" Target="../charts/chart3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Relationship Id="rId14" Type="http://schemas.openxmlformats.org/officeDocument/2006/relationships/chart" Target="../charts/chart38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662940</xdr:colOff>
      <xdr:row>0</xdr:row>
      <xdr:rowOff>163830</xdr:rowOff>
    </xdr:from>
    <xdr:to>
      <xdr:col>10</xdr:col>
      <xdr:colOff>480060</xdr:colOff>
      <xdr:row>15</xdr:row>
      <xdr:rowOff>163830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678180</xdr:colOff>
      <xdr:row>17</xdr:row>
      <xdr:rowOff>3810</xdr:rowOff>
    </xdr:from>
    <xdr:to>
      <xdr:col>10</xdr:col>
      <xdr:colOff>495300</xdr:colOff>
      <xdr:row>32</xdr:row>
      <xdr:rowOff>3810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92262</xdr:colOff>
      <xdr:row>0</xdr:row>
      <xdr:rowOff>142991</xdr:rowOff>
    </xdr:from>
    <xdr:to>
      <xdr:col>44</xdr:col>
      <xdr:colOff>357513</xdr:colOff>
      <xdr:row>13</xdr:row>
      <xdr:rowOff>139774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44</xdr:col>
      <xdr:colOff>320469</xdr:colOff>
      <xdr:row>0</xdr:row>
      <xdr:rowOff>179803</xdr:rowOff>
    </xdr:from>
    <xdr:to>
      <xdr:col>52</xdr:col>
      <xdr:colOff>57329</xdr:colOff>
      <xdr:row>13</xdr:row>
      <xdr:rowOff>934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45</xdr:col>
      <xdr:colOff>272640</xdr:colOff>
      <xdr:row>15</xdr:row>
      <xdr:rowOff>21614</xdr:rowOff>
    </xdr:from>
    <xdr:to>
      <xdr:col>52</xdr:col>
      <xdr:colOff>583379</xdr:colOff>
      <xdr:row>34</xdr:row>
      <xdr:rowOff>87537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37</xdr:col>
      <xdr:colOff>3750</xdr:colOff>
      <xdr:row>14</xdr:row>
      <xdr:rowOff>75420</xdr:rowOff>
    </xdr:from>
    <xdr:to>
      <xdr:col>45</xdr:col>
      <xdr:colOff>85640</xdr:colOff>
      <xdr:row>36</xdr:row>
      <xdr:rowOff>31423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37</xdr:col>
      <xdr:colOff>574689</xdr:colOff>
      <xdr:row>37</xdr:row>
      <xdr:rowOff>110820</xdr:rowOff>
    </xdr:from>
    <xdr:to>
      <xdr:col>45</xdr:col>
      <xdr:colOff>293901</xdr:colOff>
      <xdr:row>60</xdr:row>
      <xdr:rowOff>147801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726938</xdr:colOff>
      <xdr:row>0</xdr:row>
      <xdr:rowOff>0</xdr:rowOff>
    </xdr:from>
    <xdr:to>
      <xdr:col>51</xdr:col>
      <xdr:colOff>36287</xdr:colOff>
      <xdr:row>10</xdr:row>
      <xdr:rowOff>111935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51</xdr:col>
      <xdr:colOff>156755</xdr:colOff>
      <xdr:row>0</xdr:row>
      <xdr:rowOff>0</xdr:rowOff>
    </xdr:from>
    <xdr:to>
      <xdr:col>54</xdr:col>
      <xdr:colOff>680539</xdr:colOff>
      <xdr:row>10</xdr:row>
      <xdr:rowOff>108312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46</xdr:col>
      <xdr:colOff>822215</xdr:colOff>
      <xdr:row>12</xdr:row>
      <xdr:rowOff>54305</xdr:rowOff>
    </xdr:from>
    <xdr:to>
      <xdr:col>50</xdr:col>
      <xdr:colOff>990600</xdr:colOff>
      <xdr:row>27</xdr:row>
      <xdr:rowOff>31970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51</xdr:col>
      <xdr:colOff>280377</xdr:colOff>
      <xdr:row>12</xdr:row>
      <xdr:rowOff>77345</xdr:rowOff>
    </xdr:from>
    <xdr:to>
      <xdr:col>54</xdr:col>
      <xdr:colOff>879938</xdr:colOff>
      <xdr:row>27</xdr:row>
      <xdr:rowOff>55785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758198</xdr:colOff>
      <xdr:row>1</xdr:row>
      <xdr:rowOff>218051</xdr:rowOff>
    </xdr:from>
    <xdr:to>
      <xdr:col>50</xdr:col>
      <xdr:colOff>580531</xdr:colOff>
      <xdr:row>14</xdr:row>
      <xdr:rowOff>16209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44</xdr:col>
      <xdr:colOff>25085</xdr:colOff>
      <xdr:row>14</xdr:row>
      <xdr:rowOff>179565</xdr:rowOff>
    </xdr:from>
    <xdr:to>
      <xdr:col>50</xdr:col>
      <xdr:colOff>643286</xdr:colOff>
      <xdr:row>30</xdr:row>
      <xdr:rowOff>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51</xdr:col>
      <xdr:colOff>59691</xdr:colOff>
      <xdr:row>0</xdr:row>
      <xdr:rowOff>19538</xdr:rowOff>
    </xdr:from>
    <xdr:to>
      <xdr:col>56</xdr:col>
      <xdr:colOff>677301</xdr:colOff>
      <xdr:row>8</xdr:row>
      <xdr:rowOff>140579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50</xdr:col>
      <xdr:colOff>776947</xdr:colOff>
      <xdr:row>9</xdr:row>
      <xdr:rowOff>185613</xdr:rowOff>
    </xdr:from>
    <xdr:to>
      <xdr:col>56</xdr:col>
      <xdr:colOff>599929</xdr:colOff>
      <xdr:row>29</xdr:row>
      <xdr:rowOff>136769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701040</xdr:colOff>
      <xdr:row>2</xdr:row>
      <xdr:rowOff>114301</xdr:rowOff>
    </xdr:from>
    <xdr:to>
      <xdr:col>12</xdr:col>
      <xdr:colOff>518160</xdr:colOff>
      <xdr:row>23</xdr:row>
      <xdr:rowOff>114300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587705</xdr:colOff>
      <xdr:row>27</xdr:row>
      <xdr:rowOff>87086</xdr:rowOff>
    </xdr:from>
    <xdr:to>
      <xdr:col>15</xdr:col>
      <xdr:colOff>119743</xdr:colOff>
      <xdr:row>51</xdr:row>
      <xdr:rowOff>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359533</xdr:colOff>
      <xdr:row>18</xdr:row>
      <xdr:rowOff>6994</xdr:rowOff>
    </xdr:from>
    <xdr:to>
      <xdr:col>50</xdr:col>
      <xdr:colOff>329583</xdr:colOff>
      <xdr:row>33</xdr:row>
      <xdr:rowOff>60783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50</xdr:col>
      <xdr:colOff>369661</xdr:colOff>
      <xdr:row>18</xdr:row>
      <xdr:rowOff>7257</xdr:rowOff>
    </xdr:from>
    <xdr:to>
      <xdr:col>56</xdr:col>
      <xdr:colOff>213179</xdr:colOff>
      <xdr:row>32</xdr:row>
      <xdr:rowOff>165100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39</xdr:col>
      <xdr:colOff>376585</xdr:colOff>
      <xdr:row>5</xdr:row>
      <xdr:rowOff>17129</xdr:rowOff>
    </xdr:from>
    <xdr:to>
      <xdr:col>45</xdr:col>
      <xdr:colOff>216893</xdr:colOff>
      <xdr:row>17</xdr:row>
      <xdr:rowOff>17057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39</xdr:col>
      <xdr:colOff>328984</xdr:colOff>
      <xdr:row>17</xdr:row>
      <xdr:rowOff>91488</xdr:rowOff>
    </xdr:from>
    <xdr:to>
      <xdr:col>45</xdr:col>
      <xdr:colOff>129020</xdr:colOff>
      <xdr:row>32</xdr:row>
      <xdr:rowOff>142593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45</xdr:col>
      <xdr:colOff>461534</xdr:colOff>
      <xdr:row>4</xdr:row>
      <xdr:rowOff>145092</xdr:rowOff>
    </xdr:from>
    <xdr:to>
      <xdr:col>51</xdr:col>
      <xdr:colOff>305745</xdr:colOff>
      <xdr:row>16</xdr:row>
      <xdr:rowOff>114835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52</xdr:col>
      <xdr:colOff>150914</xdr:colOff>
      <xdr:row>4</xdr:row>
      <xdr:rowOff>30979</xdr:rowOff>
    </xdr:from>
    <xdr:to>
      <xdr:col>57</xdr:col>
      <xdr:colOff>780535</xdr:colOff>
      <xdr:row>16</xdr:row>
      <xdr:rowOff>98374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506970</xdr:colOff>
      <xdr:row>4</xdr:row>
      <xdr:rowOff>71484</xdr:rowOff>
    </xdr:from>
    <xdr:to>
      <xdr:col>47</xdr:col>
      <xdr:colOff>348851</xdr:colOff>
      <xdr:row>17</xdr:row>
      <xdr:rowOff>27306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47</xdr:col>
      <xdr:colOff>515771</xdr:colOff>
      <xdr:row>4</xdr:row>
      <xdr:rowOff>67947</xdr:rowOff>
    </xdr:from>
    <xdr:to>
      <xdr:col>53</xdr:col>
      <xdr:colOff>308173</xdr:colOff>
      <xdr:row>17</xdr:row>
      <xdr:rowOff>31023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40</xdr:col>
      <xdr:colOff>557349</xdr:colOff>
      <xdr:row>18</xdr:row>
      <xdr:rowOff>49254</xdr:rowOff>
    </xdr:from>
    <xdr:to>
      <xdr:col>47</xdr:col>
      <xdr:colOff>371945</xdr:colOff>
      <xdr:row>33</xdr:row>
      <xdr:rowOff>6184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47</xdr:col>
      <xdr:colOff>503603</xdr:colOff>
      <xdr:row>18</xdr:row>
      <xdr:rowOff>15539</xdr:rowOff>
    </xdr:from>
    <xdr:to>
      <xdr:col>53</xdr:col>
      <xdr:colOff>276794</xdr:colOff>
      <xdr:row>33</xdr:row>
      <xdr:rowOff>62113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53</xdr:col>
      <xdr:colOff>474980</xdr:colOff>
      <xdr:row>4</xdr:row>
      <xdr:rowOff>10523</xdr:rowOff>
    </xdr:from>
    <xdr:to>
      <xdr:col>59</xdr:col>
      <xdr:colOff>235496</xdr:colOff>
      <xdr:row>16</xdr:row>
      <xdr:rowOff>70758</xdr:rowOff>
    </xdr:to>
    <xdr:graphicFrame macro="">
      <xdr:nvGraphicFramePr>
        <xdr:cNvPr id="12" name="Graphique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53</xdr:col>
      <xdr:colOff>328031</xdr:colOff>
      <xdr:row>17</xdr:row>
      <xdr:rowOff>155665</xdr:rowOff>
    </xdr:from>
    <xdr:to>
      <xdr:col>59</xdr:col>
      <xdr:colOff>88547</xdr:colOff>
      <xdr:row>32</xdr:row>
      <xdr:rowOff>141152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678180</xdr:colOff>
          <xdr:row>26</xdr:row>
          <xdr:rowOff>22860</xdr:rowOff>
        </xdr:from>
        <xdr:to>
          <xdr:col>19</xdr:col>
          <xdr:colOff>144780</xdr:colOff>
          <xdr:row>40</xdr:row>
          <xdr:rowOff>68580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9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251460</xdr:colOff>
          <xdr:row>1</xdr:row>
          <xdr:rowOff>106680</xdr:rowOff>
        </xdr:from>
        <xdr:to>
          <xdr:col>17</xdr:col>
          <xdr:colOff>716280</xdr:colOff>
          <xdr:row>18</xdr:row>
          <xdr:rowOff>22860</xdr:rowOff>
        </xdr:to>
        <xdr:sp macro="" textlink="">
          <xdr:nvSpPr>
            <xdr:cNvPr id="12291" name="Object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9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213360</xdr:colOff>
          <xdr:row>9</xdr:row>
          <xdr:rowOff>22860</xdr:rowOff>
        </xdr:from>
        <xdr:to>
          <xdr:col>15</xdr:col>
          <xdr:colOff>457200</xdr:colOff>
          <xdr:row>24</xdr:row>
          <xdr:rowOff>99060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A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247811</xdr:colOff>
      <xdr:row>42</xdr:row>
      <xdr:rowOff>24973</xdr:rowOff>
    </xdr:from>
    <xdr:to>
      <xdr:col>30</xdr:col>
      <xdr:colOff>598714</xdr:colOff>
      <xdr:row>51</xdr:row>
      <xdr:rowOff>16006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435429</xdr:colOff>
      <xdr:row>6</xdr:row>
      <xdr:rowOff>13448</xdr:rowOff>
    </xdr:from>
    <xdr:to>
      <xdr:col>30</xdr:col>
      <xdr:colOff>522514</xdr:colOff>
      <xdr:row>14</xdr:row>
      <xdr:rowOff>62753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402772</xdr:colOff>
      <xdr:row>18</xdr:row>
      <xdr:rowOff>11526</xdr:rowOff>
    </xdr:from>
    <xdr:to>
      <xdr:col>30</xdr:col>
      <xdr:colOff>555172</xdr:colOff>
      <xdr:row>26</xdr:row>
      <xdr:rowOff>69796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394447</xdr:colOff>
      <xdr:row>30</xdr:row>
      <xdr:rowOff>67235</xdr:rowOff>
    </xdr:from>
    <xdr:to>
      <xdr:col>30</xdr:col>
      <xdr:colOff>609599</xdr:colOff>
      <xdr:row>37</xdr:row>
      <xdr:rowOff>80682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173532</xdr:colOff>
      <xdr:row>54</xdr:row>
      <xdr:rowOff>66595</xdr:rowOff>
    </xdr:from>
    <xdr:to>
      <xdr:col>30</xdr:col>
      <xdr:colOff>762000</xdr:colOff>
      <xdr:row>62</xdr:row>
      <xdr:rowOff>65314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97969</xdr:colOff>
      <xdr:row>66</xdr:row>
      <xdr:rowOff>38098</xdr:rowOff>
    </xdr:from>
    <xdr:to>
      <xdr:col>30</xdr:col>
      <xdr:colOff>729342</xdr:colOff>
      <xdr:row>74</xdr:row>
      <xdr:rowOff>97971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108857</xdr:colOff>
      <xdr:row>6</xdr:row>
      <xdr:rowOff>53787</xdr:rowOff>
    </xdr:from>
    <xdr:to>
      <xdr:col>13</xdr:col>
      <xdr:colOff>707571</xdr:colOff>
      <xdr:row>14</xdr:row>
      <xdr:rowOff>141513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283029</xdr:colOff>
      <xdr:row>17</xdr:row>
      <xdr:rowOff>146957</xdr:rowOff>
    </xdr:from>
    <xdr:to>
      <xdr:col>13</xdr:col>
      <xdr:colOff>555171</xdr:colOff>
      <xdr:row>27</xdr:row>
      <xdr:rowOff>21772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97971</xdr:colOff>
      <xdr:row>6</xdr:row>
      <xdr:rowOff>44823</xdr:rowOff>
    </xdr:from>
    <xdr:to>
      <xdr:col>22</xdr:col>
      <xdr:colOff>696685</xdr:colOff>
      <xdr:row>14</xdr:row>
      <xdr:rowOff>54430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17</xdr:col>
      <xdr:colOff>108857</xdr:colOff>
      <xdr:row>18</xdr:row>
      <xdr:rowOff>16329</xdr:rowOff>
    </xdr:from>
    <xdr:to>
      <xdr:col>22</xdr:col>
      <xdr:colOff>707571</xdr:colOff>
      <xdr:row>26</xdr:row>
      <xdr:rowOff>141514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17</xdr:col>
      <xdr:colOff>87086</xdr:colOff>
      <xdr:row>30</xdr:row>
      <xdr:rowOff>16328</xdr:rowOff>
    </xdr:from>
    <xdr:to>
      <xdr:col>22</xdr:col>
      <xdr:colOff>685800</xdr:colOff>
      <xdr:row>38</xdr:row>
      <xdr:rowOff>119743</xdr:rowOff>
    </xdr:to>
    <xdr:graphicFrame macro="">
      <xdr:nvGraphicFramePr>
        <xdr:cNvPr id="12" name="Graphique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76200</xdr:colOff>
      <xdr:row>42</xdr:row>
      <xdr:rowOff>16328</xdr:rowOff>
    </xdr:from>
    <xdr:to>
      <xdr:col>22</xdr:col>
      <xdr:colOff>674914</xdr:colOff>
      <xdr:row>50</xdr:row>
      <xdr:rowOff>130628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125506</xdr:colOff>
      <xdr:row>65</xdr:row>
      <xdr:rowOff>179293</xdr:rowOff>
    </xdr:from>
    <xdr:to>
      <xdr:col>13</xdr:col>
      <xdr:colOff>672353</xdr:colOff>
      <xdr:row>74</xdr:row>
      <xdr:rowOff>165846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89647</xdr:colOff>
      <xdr:row>78</xdr:row>
      <xdr:rowOff>13448</xdr:rowOff>
    </xdr:from>
    <xdr:to>
      <xdr:col>13</xdr:col>
      <xdr:colOff>717176</xdr:colOff>
      <xdr:row>86</xdr:row>
      <xdr:rowOff>98612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80682</xdr:colOff>
      <xdr:row>54</xdr:row>
      <xdr:rowOff>53786</xdr:rowOff>
    </xdr:from>
    <xdr:to>
      <xdr:col>13</xdr:col>
      <xdr:colOff>708211</xdr:colOff>
      <xdr:row>62</xdr:row>
      <xdr:rowOff>143436</xdr:rowOff>
    </xdr:to>
    <xdr:graphicFrame macro="">
      <xdr:nvGraphicFramePr>
        <xdr:cNvPr id="16" name="Graphique 15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8</xdr:col>
      <xdr:colOff>63501</xdr:colOff>
      <xdr:row>29</xdr:row>
      <xdr:rowOff>158750</xdr:rowOff>
    </xdr:from>
    <xdr:to>
      <xdr:col>13</xdr:col>
      <xdr:colOff>666751</xdr:colOff>
      <xdr:row>38</xdr:row>
      <xdr:rowOff>74084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8.xml"/><Relationship Id="rId4" Type="http://schemas.openxmlformats.org/officeDocument/2006/relationships/image" Target="../media/image1.emf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23"/>
  <sheetViews>
    <sheetView tabSelected="1" zoomScale="84" zoomScaleNormal="85" workbookViewId="0">
      <pane xSplit="1" topLeftCell="CA1" activePane="topRight" state="frozen"/>
      <selection pane="topRight" activeCell="AG9" sqref="AG9"/>
    </sheetView>
  </sheetViews>
  <sheetFormatPr baseColWidth="10" defaultColWidth="11.5546875" defaultRowHeight="14.4" x14ac:dyDescent="0.3"/>
  <cols>
    <col min="1" max="1" width="29.109375" style="329" customWidth="1"/>
    <col min="2" max="3" width="12.33203125" style="329" customWidth="1"/>
    <col min="4" max="4" width="10.33203125" style="329" customWidth="1"/>
    <col min="5" max="5" width="10" style="329" customWidth="1"/>
    <col min="6" max="6" width="17.109375" style="329" customWidth="1"/>
    <col min="7" max="7" width="15.44140625" style="521" customWidth="1"/>
    <col min="8" max="8" width="15" style="521" customWidth="1"/>
    <col min="9" max="9" width="15" style="329" customWidth="1"/>
    <col min="10" max="10" width="15" style="525" customWidth="1"/>
    <col min="11" max="11" width="15" style="521" customWidth="1"/>
    <col min="12" max="13" width="22.6640625" style="524" customWidth="1"/>
    <col min="14" max="15" width="17.21875" style="524" customWidth="1"/>
    <col min="16" max="16" width="20" style="415" customWidth="1"/>
    <col min="17" max="17" width="15" style="329" customWidth="1"/>
    <col min="18" max="19" width="17" style="329" customWidth="1"/>
    <col min="20" max="22" width="15" style="329" customWidth="1"/>
    <col min="23" max="23" width="15" style="58" customWidth="1"/>
    <col min="24" max="24" width="23.77734375" style="415" customWidth="1"/>
    <col min="25" max="26" width="17.109375" style="329" customWidth="1"/>
    <col min="27" max="27" width="19.77734375" style="329" customWidth="1"/>
    <col min="28" max="28" width="12.33203125" style="329" customWidth="1"/>
    <col min="29" max="30" width="11.88671875" style="329" customWidth="1"/>
    <col min="31" max="31" width="15" style="329" customWidth="1"/>
    <col min="32" max="32" width="15" style="523" customWidth="1"/>
    <col min="33" max="33" width="15" style="522" customWidth="1"/>
    <col min="34" max="34" width="13.5546875" style="329" customWidth="1"/>
    <col min="35" max="35" width="14.109375" style="329" customWidth="1"/>
    <col min="36" max="38" width="14" style="329" customWidth="1"/>
    <col min="39" max="39" width="10.109375" style="329" customWidth="1"/>
    <col min="40" max="40" width="12" style="329" customWidth="1"/>
    <col min="41" max="41" width="17.6640625" style="380" customWidth="1"/>
    <col min="42" max="42" width="13.44140625" style="329" customWidth="1"/>
    <col min="43" max="44" width="14" style="329" customWidth="1"/>
    <col min="45" max="46" width="14" style="521" customWidth="1"/>
    <col min="47" max="47" width="14.109375" style="329" bestFit="1" customWidth="1"/>
    <col min="48" max="48" width="15.77734375" style="329" customWidth="1"/>
    <col min="49" max="51" width="14" style="329" customWidth="1"/>
    <col min="52" max="52" width="14" style="520" customWidth="1"/>
    <col min="53" max="54" width="14" style="517" customWidth="1"/>
    <col min="55" max="56" width="13.44140625" style="380" customWidth="1"/>
    <col min="57" max="57" width="13.44140625" style="519" customWidth="1"/>
    <col min="58" max="63" width="13.44140625" style="518" customWidth="1"/>
    <col min="64" max="64" width="11.6640625" style="516" customWidth="1"/>
    <col min="65" max="65" width="11.6640625" style="1" bestFit="1" customWidth="1"/>
    <col min="66" max="66" width="11.77734375" style="39" bestFit="1" customWidth="1"/>
    <col min="67" max="67" width="14.5546875" style="517" bestFit="1" customWidth="1"/>
    <col min="68" max="68" width="12.77734375" style="516" bestFit="1" customWidth="1"/>
    <col min="69" max="69" width="12.77734375" style="1" bestFit="1" customWidth="1"/>
    <col min="70" max="73" width="16.109375" style="514" customWidth="1"/>
    <col min="74" max="74" width="13" style="74" customWidth="1"/>
    <col min="75" max="75" width="11.6640625" style="515" bestFit="1" customWidth="1"/>
    <col min="76" max="76" width="11.6640625" style="59" bestFit="1" customWidth="1"/>
    <col min="77" max="78" width="11.6640625" style="58" bestFit="1" customWidth="1"/>
    <col min="79" max="79" width="11.77734375" style="58" bestFit="1" customWidth="1"/>
    <col min="80" max="80" width="12.88671875" style="515" bestFit="1" customWidth="1"/>
    <col min="81" max="82" width="12.77734375" style="848" customWidth="1"/>
    <col min="83" max="84" width="11.6640625" style="515" bestFit="1" customWidth="1"/>
    <col min="85" max="85" width="12" style="515" customWidth="1"/>
    <col min="86" max="86" width="15" style="515" customWidth="1"/>
    <col min="87" max="16384" width="11.5546875" style="329"/>
  </cols>
  <sheetData>
    <row r="1" spans="1:86" ht="23.4" x14ac:dyDescent="0.3">
      <c r="B1" s="858" t="s">
        <v>463</v>
      </c>
      <c r="C1" s="858"/>
      <c r="D1" s="858"/>
      <c r="E1" s="858"/>
      <c r="F1" s="858"/>
      <c r="G1" s="858"/>
      <c r="H1" s="858"/>
      <c r="I1" s="858"/>
      <c r="J1" s="858"/>
      <c r="K1" s="858"/>
      <c r="L1" s="858"/>
      <c r="M1" s="858"/>
      <c r="N1" s="858"/>
      <c r="O1" s="858"/>
      <c r="P1" s="858"/>
      <c r="Q1" s="858"/>
      <c r="R1" s="858"/>
      <c r="S1" s="858"/>
      <c r="T1" s="858"/>
      <c r="U1" s="858"/>
      <c r="V1" s="858"/>
      <c r="W1" s="858"/>
      <c r="X1" s="858"/>
      <c r="Y1" s="858"/>
      <c r="Z1" s="858"/>
      <c r="AA1" s="858"/>
      <c r="AB1" s="858"/>
      <c r="AC1" s="858"/>
      <c r="AD1" s="858"/>
      <c r="AE1" s="858"/>
      <c r="AF1" s="858"/>
      <c r="AG1" s="857" t="s">
        <v>465</v>
      </c>
      <c r="AH1" s="857"/>
      <c r="AI1" s="857"/>
      <c r="AJ1" s="857"/>
      <c r="AK1" s="857"/>
      <c r="AL1" s="857"/>
      <c r="AM1" s="857"/>
      <c r="AN1" s="857"/>
      <c r="AO1" s="856" t="s">
        <v>376</v>
      </c>
      <c r="AP1" s="856"/>
      <c r="AQ1" s="856"/>
      <c r="AR1" s="807"/>
      <c r="AS1" s="855" t="s">
        <v>375</v>
      </c>
      <c r="AT1" s="855"/>
      <c r="AU1" s="855"/>
      <c r="AV1" s="855"/>
      <c r="AW1" s="855"/>
      <c r="AX1" s="855"/>
      <c r="AY1" s="855"/>
      <c r="AZ1" s="855"/>
      <c r="BA1" s="855"/>
      <c r="BB1" s="855"/>
      <c r="BC1" s="855"/>
      <c r="BD1" s="855"/>
      <c r="BE1" s="855"/>
      <c r="BF1" s="855"/>
      <c r="BG1" s="855"/>
      <c r="BH1" s="806"/>
      <c r="BI1" s="806"/>
      <c r="BJ1" s="806"/>
      <c r="BK1" s="806"/>
      <c r="BL1" s="805" t="s">
        <v>374</v>
      </c>
      <c r="BM1" s="805"/>
      <c r="BN1" s="804"/>
      <c r="BO1" s="804"/>
      <c r="BP1" s="805"/>
      <c r="BQ1" s="805"/>
      <c r="BR1" s="804"/>
      <c r="BS1" s="804"/>
      <c r="BT1" s="804"/>
      <c r="BU1" s="804"/>
      <c r="BV1" s="859" t="s">
        <v>373</v>
      </c>
      <c r="BW1" s="859"/>
      <c r="BX1" s="859"/>
      <c r="BY1" s="859"/>
      <c r="BZ1" s="859"/>
      <c r="CA1" s="859"/>
      <c r="CB1" s="859"/>
      <c r="CC1" s="859"/>
      <c r="CD1" s="859"/>
      <c r="CE1" s="859"/>
      <c r="CF1" s="859"/>
      <c r="CG1" s="859"/>
      <c r="CH1" s="859"/>
    </row>
    <row r="2" spans="1:86" s="752" customFormat="1" ht="72" x14ac:dyDescent="0.3">
      <c r="A2" s="803" t="s">
        <v>372</v>
      </c>
      <c r="B2" s="795" t="s">
        <v>405</v>
      </c>
      <c r="C2" s="795" t="s">
        <v>404</v>
      </c>
      <c r="D2" s="795" t="s">
        <v>371</v>
      </c>
      <c r="E2" s="795" t="s">
        <v>370</v>
      </c>
      <c r="F2" s="795" t="s">
        <v>369</v>
      </c>
      <c r="G2" s="801" t="s">
        <v>368</v>
      </c>
      <c r="H2" s="801" t="s">
        <v>367</v>
      </c>
      <c r="I2" s="797" t="s">
        <v>366</v>
      </c>
      <c r="J2" s="802" t="s">
        <v>403</v>
      </c>
      <c r="K2" s="801" t="s">
        <v>365</v>
      </c>
      <c r="L2" s="800" t="s">
        <v>364</v>
      </c>
      <c r="M2" s="798" t="s">
        <v>363</v>
      </c>
      <c r="N2" s="795" t="s">
        <v>358</v>
      </c>
      <c r="O2" s="795" t="s">
        <v>357</v>
      </c>
      <c r="P2" s="799" t="s">
        <v>362</v>
      </c>
      <c r="Q2" s="795" t="s">
        <v>361</v>
      </c>
      <c r="R2" s="795" t="s">
        <v>360</v>
      </c>
      <c r="S2" s="798" t="s">
        <v>359</v>
      </c>
      <c r="T2" s="795" t="s">
        <v>402</v>
      </c>
      <c r="U2" s="795" t="s">
        <v>358</v>
      </c>
      <c r="V2" s="795" t="s">
        <v>357</v>
      </c>
      <c r="W2" s="797" t="s">
        <v>356</v>
      </c>
      <c r="X2" s="796" t="s">
        <v>464</v>
      </c>
      <c r="Y2" s="795" t="s">
        <v>401</v>
      </c>
      <c r="Z2" s="795" t="s">
        <v>400</v>
      </c>
      <c r="AA2" s="795" t="s">
        <v>355</v>
      </c>
      <c r="AB2" s="795" t="s">
        <v>354</v>
      </c>
      <c r="AC2" s="795" t="s">
        <v>353</v>
      </c>
      <c r="AD2" s="795" t="s">
        <v>352</v>
      </c>
      <c r="AE2" s="794" t="s">
        <v>399</v>
      </c>
      <c r="AF2" s="794" t="s">
        <v>398</v>
      </c>
      <c r="AG2" s="793" t="s">
        <v>397</v>
      </c>
      <c r="AH2" s="792" t="s">
        <v>351</v>
      </c>
      <c r="AI2" s="791" t="s">
        <v>396</v>
      </c>
      <c r="AJ2" s="792" t="s">
        <v>350</v>
      </c>
      <c r="AK2" s="791" t="s">
        <v>395</v>
      </c>
      <c r="AL2" s="791" t="s">
        <v>349</v>
      </c>
      <c r="AM2" s="791" t="s">
        <v>348</v>
      </c>
      <c r="AN2" s="791" t="s">
        <v>347</v>
      </c>
      <c r="AO2" s="574" t="s">
        <v>467</v>
      </c>
      <c r="AP2" s="552" t="s">
        <v>346</v>
      </c>
      <c r="AQ2" s="552" t="s">
        <v>345</v>
      </c>
      <c r="AR2" s="790" t="s">
        <v>394</v>
      </c>
      <c r="AS2" s="789" t="s">
        <v>344</v>
      </c>
      <c r="AT2" s="789" t="s">
        <v>343</v>
      </c>
      <c r="AU2" s="788" t="s">
        <v>342</v>
      </c>
      <c r="AV2" s="787" t="s">
        <v>341</v>
      </c>
      <c r="AW2" s="787" t="s">
        <v>340</v>
      </c>
      <c r="AX2" s="786" t="s">
        <v>339</v>
      </c>
      <c r="AY2" s="786" t="s">
        <v>338</v>
      </c>
      <c r="AZ2" s="785" t="s">
        <v>337</v>
      </c>
      <c r="BA2" s="784" t="s">
        <v>336</v>
      </c>
      <c r="BB2" s="784" t="s">
        <v>335</v>
      </c>
      <c r="BC2" s="783" t="s">
        <v>334</v>
      </c>
      <c r="BD2" s="783" t="s">
        <v>333</v>
      </c>
      <c r="BE2" s="782" t="s">
        <v>332</v>
      </c>
      <c r="BF2" s="781" t="s">
        <v>331</v>
      </c>
      <c r="BG2" s="781" t="s">
        <v>330</v>
      </c>
      <c r="BH2" s="780" t="s">
        <v>329</v>
      </c>
      <c r="BI2" s="780" t="s">
        <v>328</v>
      </c>
      <c r="BJ2" s="780" t="s">
        <v>327</v>
      </c>
      <c r="BK2" s="780" t="s">
        <v>326</v>
      </c>
      <c r="BL2" s="779" t="s">
        <v>325</v>
      </c>
      <c r="BM2" s="779" t="s">
        <v>324</v>
      </c>
      <c r="BN2" s="778" t="s">
        <v>323</v>
      </c>
      <c r="BO2" s="778" t="s">
        <v>322</v>
      </c>
      <c r="BP2" s="777" t="s">
        <v>321</v>
      </c>
      <c r="BQ2" s="777" t="s">
        <v>320</v>
      </c>
      <c r="BR2" s="776" t="s">
        <v>319</v>
      </c>
      <c r="BS2" s="776" t="s">
        <v>318</v>
      </c>
      <c r="BT2" s="776" t="s">
        <v>317</v>
      </c>
      <c r="BU2" s="776" t="s">
        <v>393</v>
      </c>
      <c r="BV2" s="775" t="s">
        <v>316</v>
      </c>
      <c r="BW2" s="773" t="s">
        <v>315</v>
      </c>
      <c r="BX2" s="774" t="s">
        <v>314</v>
      </c>
      <c r="BY2" s="773" t="s">
        <v>313</v>
      </c>
      <c r="BZ2" s="773" t="s">
        <v>468</v>
      </c>
      <c r="CA2" s="773" t="s">
        <v>312</v>
      </c>
      <c r="CB2" s="849" t="s">
        <v>311</v>
      </c>
      <c r="CC2" s="850" t="s">
        <v>310</v>
      </c>
      <c r="CD2" s="850" t="s">
        <v>309</v>
      </c>
      <c r="CE2" s="849" t="s">
        <v>308</v>
      </c>
      <c r="CF2" s="849" t="s">
        <v>469</v>
      </c>
      <c r="CG2" s="849" t="s">
        <v>307</v>
      </c>
      <c r="CH2" s="849" t="s">
        <v>466</v>
      </c>
    </row>
    <row r="3" spans="1:86" s="752" customFormat="1" ht="15.6" x14ac:dyDescent="0.3">
      <c r="A3" s="754"/>
      <c r="G3" s="761"/>
      <c r="H3" s="761"/>
      <c r="I3" s="753"/>
      <c r="J3" s="772"/>
      <c r="K3" s="761"/>
      <c r="L3" s="771"/>
      <c r="M3" s="771"/>
      <c r="N3" s="771"/>
      <c r="O3" s="771"/>
      <c r="P3" s="770"/>
      <c r="W3" s="753"/>
      <c r="X3" s="755"/>
      <c r="AE3" s="755"/>
      <c r="AF3" s="755"/>
      <c r="AG3" s="770"/>
      <c r="AH3" s="329"/>
      <c r="AJ3" s="329"/>
      <c r="AO3" s="757"/>
      <c r="AS3" s="761"/>
      <c r="AT3" s="761"/>
      <c r="AX3" s="755"/>
      <c r="AY3" s="755"/>
      <c r="AZ3" s="769"/>
      <c r="BA3" s="768"/>
      <c r="BB3" s="768"/>
      <c r="BC3" s="757"/>
      <c r="BD3" s="757"/>
      <c r="BE3" s="767"/>
      <c r="BF3" s="766"/>
      <c r="BG3" s="766"/>
      <c r="BH3" s="766"/>
      <c r="BI3" s="766"/>
      <c r="BJ3" s="766"/>
      <c r="BK3" s="766"/>
      <c r="BL3" s="765"/>
      <c r="BM3" s="761"/>
      <c r="BN3" s="764"/>
      <c r="BO3" s="763"/>
      <c r="BP3" s="762"/>
      <c r="BQ3" s="761"/>
      <c r="BR3" s="756"/>
      <c r="BS3" s="756"/>
      <c r="BT3" s="756"/>
      <c r="BU3" s="756"/>
      <c r="BV3" s="760"/>
      <c r="BW3" s="758"/>
      <c r="BX3" s="759"/>
      <c r="BY3" s="753"/>
      <c r="BZ3" s="753"/>
      <c r="CA3" s="753"/>
      <c r="CB3" s="758"/>
      <c r="CC3" s="845"/>
      <c r="CD3" s="845"/>
      <c r="CE3" s="758"/>
      <c r="CF3" s="758"/>
      <c r="CG3" s="758"/>
      <c r="CH3" s="758"/>
    </row>
    <row r="4" spans="1:86" s="748" customFormat="1" ht="23.4" x14ac:dyDescent="0.3">
      <c r="A4" s="751" t="s">
        <v>306</v>
      </c>
      <c r="G4" s="548">
        <f t="shared" ref="G4:L4" si="0">AVERAGE(G5:G9)</f>
        <v>20513.066666666669</v>
      </c>
      <c r="H4" s="548">
        <f t="shared" si="0"/>
        <v>102565.33333333333</v>
      </c>
      <c r="I4" s="548">
        <f t="shared" si="0"/>
        <v>76903860</v>
      </c>
      <c r="J4" s="551">
        <f t="shared" si="0"/>
        <v>450</v>
      </c>
      <c r="K4" s="548">
        <f t="shared" si="0"/>
        <v>87277.18095238095</v>
      </c>
      <c r="L4" s="548">
        <f t="shared" si="0"/>
        <v>727309.84126984118</v>
      </c>
      <c r="M4" s="548"/>
      <c r="N4" s="548"/>
      <c r="O4" s="548"/>
      <c r="P4" s="548">
        <f>AVERAGE(P5:P9)</f>
        <v>333447912.85714281</v>
      </c>
      <c r="Q4" s="548">
        <f>AVERAGE(Q5:Q9)</f>
        <v>95728.51962962962</v>
      </c>
      <c r="R4" s="548">
        <f>AVERAGE(R5:R9)</f>
        <v>797737.66358024685</v>
      </c>
      <c r="S4" s="548"/>
      <c r="T4" s="548"/>
      <c r="U4" s="749">
        <f>AVERAGE(U5:U9)</f>
        <v>14.228631053465977</v>
      </c>
      <c r="V4" s="749">
        <f>AVERAGE(V5:V9)</f>
        <v>16.164810436510287</v>
      </c>
      <c r="W4" s="548">
        <f>AVERAGE(W5:W9)</f>
        <v>329288670.66666669</v>
      </c>
      <c r="X4" s="548">
        <f>AVERAGE(X5:X9)</f>
        <v>312615750.26455027</v>
      </c>
      <c r="Y4" s="548"/>
      <c r="Z4" s="548"/>
      <c r="AA4" s="548"/>
      <c r="AB4" s="548"/>
      <c r="AC4" s="548"/>
      <c r="AD4" s="548"/>
      <c r="AE4" s="749">
        <f>AVERAGE(AE5:AE9)</f>
        <v>96.88</v>
      </c>
      <c r="AF4" s="749">
        <f>AVERAGE(AF5:AF9)</f>
        <v>94.09999999999998</v>
      </c>
      <c r="AG4" s="549">
        <f>AVERAGE(AG5:AG9)</f>
        <v>433.2</v>
      </c>
      <c r="AH4" s="548"/>
      <c r="AI4" s="548"/>
      <c r="AJ4" s="548"/>
      <c r="AK4" s="548"/>
      <c r="AL4" s="548"/>
      <c r="AM4" s="548"/>
      <c r="AN4" s="548"/>
      <c r="AO4" s="749">
        <f t="shared" ref="AO4:CH4" si="1">AVERAGE(AO5:AO9)</f>
        <v>421.46666666666658</v>
      </c>
      <c r="AP4" s="749">
        <f t="shared" si="1"/>
        <v>133.33333333333334</v>
      </c>
      <c r="AQ4" s="749">
        <f t="shared" si="1"/>
        <v>260</v>
      </c>
      <c r="AR4" s="749">
        <f t="shared" si="1"/>
        <v>1856.8888888888887</v>
      </c>
      <c r="AS4" s="548">
        <f t="shared" si="1"/>
        <v>2700000000</v>
      </c>
      <c r="AT4" s="548">
        <f t="shared" si="1"/>
        <v>2500000000</v>
      </c>
      <c r="AU4" s="749">
        <f t="shared" si="1"/>
        <v>0.64102564102564108</v>
      </c>
      <c r="AV4" s="749">
        <f t="shared" si="1"/>
        <v>125.2</v>
      </c>
      <c r="AW4" s="749">
        <f t="shared" si="1"/>
        <v>70.2</v>
      </c>
      <c r="AX4" s="548">
        <f t="shared" si="1"/>
        <v>3850000000000</v>
      </c>
      <c r="AY4" s="548">
        <f t="shared" si="1"/>
        <v>3800000000000</v>
      </c>
      <c r="AZ4" s="750">
        <f t="shared" si="1"/>
        <v>1.115</v>
      </c>
      <c r="BA4" s="549">
        <f t="shared" si="1"/>
        <v>89.9</v>
      </c>
      <c r="BB4" s="549">
        <f t="shared" si="1"/>
        <v>74.7</v>
      </c>
      <c r="BC4" s="548">
        <f t="shared" si="1"/>
        <v>569333333333.33325</v>
      </c>
      <c r="BD4" s="548">
        <f t="shared" si="1"/>
        <v>475333333333.33331</v>
      </c>
      <c r="BE4" s="750">
        <f t="shared" si="1"/>
        <v>0.81951356254645802</v>
      </c>
      <c r="BF4" s="549">
        <f t="shared" si="1"/>
        <v>94.539999999999992</v>
      </c>
      <c r="BG4" s="549">
        <f t="shared" si="1"/>
        <v>72.539999999999992</v>
      </c>
      <c r="BH4" s="548">
        <f t="shared" si="1"/>
        <v>2700000000</v>
      </c>
      <c r="BI4" s="548">
        <f t="shared" si="1"/>
        <v>2500000000</v>
      </c>
      <c r="BJ4" s="549">
        <f t="shared" si="1"/>
        <v>3842.4329827472952</v>
      </c>
      <c r="BK4" s="549">
        <f t="shared" si="1"/>
        <v>3618.672349322504</v>
      </c>
      <c r="BL4" s="548">
        <f t="shared" si="1"/>
        <v>1323643410.8527131</v>
      </c>
      <c r="BM4" s="548">
        <f t="shared" si="1"/>
        <v>1296899224.8062015</v>
      </c>
      <c r="BN4" s="549">
        <f t="shared" si="1"/>
        <v>1879.4143053079176</v>
      </c>
      <c r="BO4" s="549">
        <f t="shared" si="1"/>
        <v>1823.1740854816558</v>
      </c>
      <c r="BP4" s="548">
        <f t="shared" si="1"/>
        <v>344855136.97458929</v>
      </c>
      <c r="BQ4" s="548">
        <f t="shared" si="1"/>
        <v>280861528.02798045</v>
      </c>
      <c r="BR4" s="549">
        <f t="shared" si="1"/>
        <v>463.85931871892973</v>
      </c>
      <c r="BS4" s="549">
        <f t="shared" si="1"/>
        <v>377.09519654145362</v>
      </c>
      <c r="BT4" s="548">
        <f t="shared" si="1"/>
        <v>377095.1965414536</v>
      </c>
      <c r="BU4" s="548"/>
      <c r="BV4" s="549">
        <f t="shared" si="1"/>
        <v>7199.1929160011405</v>
      </c>
      <c r="BW4" s="548">
        <f t="shared" si="1"/>
        <v>709570983.62980831</v>
      </c>
      <c r="BX4" s="548">
        <f t="shared" si="1"/>
        <v>623928665.36147833</v>
      </c>
      <c r="BY4" s="749">
        <f t="shared" si="1"/>
        <v>1030.1516487389617</v>
      </c>
      <c r="BZ4" s="549">
        <f t="shared" si="1"/>
        <v>2.4342497944791432</v>
      </c>
      <c r="CA4" s="548">
        <f t="shared" si="1"/>
        <v>3.3782240112956849E-6</v>
      </c>
      <c r="CB4" s="550">
        <f t="shared" si="1"/>
        <v>303.80889445312232</v>
      </c>
      <c r="CC4" s="548">
        <f t="shared" si="1"/>
        <v>1840127784.7139382</v>
      </c>
      <c r="CD4" s="548">
        <f t="shared" si="1"/>
        <v>1518443715.7193332</v>
      </c>
      <c r="CE4" s="549">
        <f t="shared" si="1"/>
        <v>80.411468335936704</v>
      </c>
      <c r="CF4" s="549">
        <f t="shared" si="1"/>
        <v>0.18351213282233547</v>
      </c>
      <c r="CG4" s="548">
        <f t="shared" si="1"/>
        <v>2.4701602245997221E-7</v>
      </c>
      <c r="CH4" s="548">
        <f t="shared" si="1"/>
        <v>80.411468335936704</v>
      </c>
    </row>
    <row r="5" spans="1:86" s="464" customFormat="1" ht="43.2" x14ac:dyDescent="0.3">
      <c r="A5" s="744" t="s">
        <v>305</v>
      </c>
      <c r="B5" s="747">
        <v>44804</v>
      </c>
      <c r="C5" s="747" t="s">
        <v>304</v>
      </c>
      <c r="D5" s="464">
        <v>14</v>
      </c>
      <c r="E5" s="464">
        <v>18.760000000000002</v>
      </c>
      <c r="F5" s="464" t="s">
        <v>289</v>
      </c>
      <c r="G5" s="731">
        <f>1.9*3300000/300</f>
        <v>20900</v>
      </c>
      <c r="H5" s="731">
        <f>(G5*300*10)/(0.2*10*300)</f>
        <v>104500</v>
      </c>
      <c r="I5" s="731">
        <f>10*300*G5</f>
        <v>62700000</v>
      </c>
      <c r="J5" s="734">
        <f>10*300*0.12</f>
        <v>360</v>
      </c>
      <c r="K5" s="731">
        <f>1125000*10.1/175</f>
        <v>64928.571428571428</v>
      </c>
      <c r="L5" s="746">
        <f>K5*10*300/J5</f>
        <v>541071.42857142864</v>
      </c>
      <c r="M5" s="738">
        <f>(1/0.12*100)*(K5/100000)</f>
        <v>541.07142857142856</v>
      </c>
      <c r="N5" s="731" t="s">
        <v>79</v>
      </c>
      <c r="O5" s="731" t="s">
        <v>79</v>
      </c>
      <c r="P5" s="731">
        <f>10*300*K5</f>
        <v>194785714.28571427</v>
      </c>
      <c r="Q5" s="731">
        <f>2255000*10.2/300</f>
        <v>76670</v>
      </c>
      <c r="R5" s="731">
        <f>Q5*10*300/J5</f>
        <v>638916.66666666663</v>
      </c>
      <c r="S5" s="738">
        <f>(1/0.12*100)*(Q5/100000)</f>
        <v>638.91666666666674</v>
      </c>
      <c r="T5" s="731" t="s">
        <v>79</v>
      </c>
      <c r="U5" s="731" t="s">
        <v>79</v>
      </c>
      <c r="V5" s="731" t="s">
        <v>79</v>
      </c>
      <c r="W5" s="731">
        <f>10*300*Q5</f>
        <v>230010000</v>
      </c>
      <c r="X5" s="731">
        <f>AO5*L5</f>
        <v>183423214.2857143</v>
      </c>
      <c r="Y5" s="464" t="s">
        <v>257</v>
      </c>
      <c r="Z5" s="464" t="s">
        <v>256</v>
      </c>
      <c r="AA5" s="733" t="s">
        <v>259</v>
      </c>
      <c r="AB5" s="733" t="s">
        <v>79</v>
      </c>
      <c r="AC5" s="733" t="s">
        <v>79</v>
      </c>
      <c r="AD5" s="733" t="s">
        <v>79</v>
      </c>
      <c r="AE5" s="464">
        <v>96.4</v>
      </c>
      <c r="AF5" s="464">
        <v>96.4</v>
      </c>
      <c r="AG5" s="745">
        <v>339</v>
      </c>
      <c r="AH5" s="464" t="s">
        <v>242</v>
      </c>
      <c r="AI5" s="733" t="s">
        <v>255</v>
      </c>
      <c r="AJ5" s="733" t="s">
        <v>303</v>
      </c>
      <c r="AK5" s="733" t="s">
        <v>302</v>
      </c>
      <c r="AL5" s="733" t="s">
        <v>238</v>
      </c>
      <c r="AM5" s="733" t="s">
        <v>237</v>
      </c>
      <c r="AN5" s="733" t="s">
        <v>301</v>
      </c>
      <c r="AO5" s="744">
        <f>AG5</f>
        <v>339</v>
      </c>
      <c r="AP5" s="464">
        <v>110</v>
      </c>
      <c r="AQ5" s="464">
        <v>100</v>
      </c>
      <c r="AR5" s="743">
        <f>AO5/AQ5*1000</f>
        <v>3390</v>
      </c>
      <c r="AS5" s="732" t="s">
        <v>79</v>
      </c>
      <c r="AT5" s="732" t="s">
        <v>79</v>
      </c>
      <c r="AU5" s="732" t="s">
        <v>79</v>
      </c>
      <c r="AV5" s="732" t="s">
        <v>79</v>
      </c>
      <c r="AW5" s="732" t="s">
        <v>79</v>
      </c>
      <c r="AX5" s="732" t="s">
        <v>79</v>
      </c>
      <c r="AY5" s="732" t="s">
        <v>79</v>
      </c>
      <c r="AZ5" s="742" t="s">
        <v>79</v>
      </c>
      <c r="BA5" s="741" t="s">
        <v>79</v>
      </c>
      <c r="BB5" s="741" t="s">
        <v>79</v>
      </c>
      <c r="BC5" s="731">
        <v>460000000000</v>
      </c>
      <c r="BD5" s="731">
        <v>440000000000</v>
      </c>
      <c r="BE5" s="740">
        <f>BD5/BC5</f>
        <v>0.95652173913043481</v>
      </c>
      <c r="BF5" s="738">
        <v>90.4</v>
      </c>
      <c r="BG5" s="738">
        <v>66.3</v>
      </c>
      <c r="BH5" s="738" t="s">
        <v>79</v>
      </c>
      <c r="BI5" s="738" t="s">
        <v>79</v>
      </c>
      <c r="BJ5" s="738" t="s">
        <v>79</v>
      </c>
      <c r="BK5" s="738" t="s">
        <v>79</v>
      </c>
      <c r="BL5" s="671" t="s">
        <v>79</v>
      </c>
      <c r="BM5" s="671" t="s">
        <v>79</v>
      </c>
      <c r="BN5" s="739" t="s">
        <v>79</v>
      </c>
      <c r="BO5" s="739" t="s">
        <v>79</v>
      </c>
      <c r="BP5" s="671">
        <f>(BC5*AQ5/1000)/AO5</f>
        <v>135693215.33923304</v>
      </c>
      <c r="BQ5" s="671">
        <f>(BD5*AQ5/1000)/AO5</f>
        <v>129793510.32448378</v>
      </c>
      <c r="BR5" s="739">
        <f>BP5/L5</f>
        <v>250.78614056095873</v>
      </c>
      <c r="BS5" s="739">
        <f>BQ5/L5</f>
        <v>239.88239531917793</v>
      </c>
      <c r="BT5" s="671">
        <f>BQ5/M5</f>
        <v>239882.39531917794</v>
      </c>
      <c r="BU5" s="671">
        <f>BQ5*AO5</f>
        <v>44000000000</v>
      </c>
      <c r="BV5" s="738" t="s">
        <v>79</v>
      </c>
      <c r="BW5" s="671" t="s">
        <v>79</v>
      </c>
      <c r="BX5" s="671" t="s">
        <v>79</v>
      </c>
      <c r="BY5" s="671" t="s">
        <v>79</v>
      </c>
      <c r="BZ5" s="671" t="s">
        <v>79</v>
      </c>
      <c r="CA5" s="671" t="s">
        <v>79</v>
      </c>
      <c r="CB5" s="464">
        <v>268.27999999999997</v>
      </c>
      <c r="CC5" s="731">
        <f>BC5/CB5</f>
        <v>1714626509.6168184</v>
      </c>
      <c r="CD5" s="731">
        <f>BD5/CB5</f>
        <v>1640077530.9378264</v>
      </c>
      <c r="CE5" s="737">
        <f>CB5*AQ5/1000</f>
        <v>26.827999999999996</v>
      </c>
      <c r="CF5" s="736">
        <f>CE5/AO5</f>
        <v>7.9138643067846598E-2</v>
      </c>
      <c r="CG5" s="735">
        <f>CF5/L5</f>
        <v>1.4626283867324782E-7</v>
      </c>
      <c r="CH5" s="735">
        <f>CF5*AO5</f>
        <v>26.827999999999996</v>
      </c>
    </row>
    <row r="6" spans="1:86" s="715" customFormat="1" ht="43.2" x14ac:dyDescent="0.3">
      <c r="A6" s="730" t="s">
        <v>261</v>
      </c>
      <c r="B6" s="729">
        <v>44995</v>
      </c>
      <c r="C6" s="729" t="s">
        <v>260</v>
      </c>
      <c r="D6" s="715">
        <v>11</v>
      </c>
      <c r="E6" s="715">
        <v>18.89</v>
      </c>
      <c r="F6" s="715" t="s">
        <v>297</v>
      </c>
      <c r="G6" s="717">
        <f>1.18*4040000/225</f>
        <v>21187.555555555555</v>
      </c>
      <c r="H6" s="717">
        <f>(19*225*G6)/(19*225*0.2)</f>
        <v>105937.77777777778</v>
      </c>
      <c r="I6" s="717">
        <f>19*225*G6</f>
        <v>90576800</v>
      </c>
      <c r="J6" s="728">
        <f>19*225*0.12</f>
        <v>513</v>
      </c>
      <c r="K6" s="717">
        <f>1750000*12/225</f>
        <v>93333.333333333328</v>
      </c>
      <c r="L6" s="727">
        <f>K6*19*225/J6</f>
        <v>777777.77777777775</v>
      </c>
      <c r="M6" s="720">
        <f>(1/0.12*100)*(K6/100000)</f>
        <v>777.77777777777771</v>
      </c>
      <c r="N6" s="717" t="s">
        <v>79</v>
      </c>
      <c r="O6" s="717" t="s">
        <v>79</v>
      </c>
      <c r="P6" s="717">
        <f>19*225*K6</f>
        <v>399000000</v>
      </c>
      <c r="Q6" s="717" t="s">
        <v>79</v>
      </c>
      <c r="R6" s="717" t="s">
        <v>79</v>
      </c>
      <c r="S6" s="720"/>
      <c r="T6" s="717" t="s">
        <v>79</v>
      </c>
      <c r="U6" s="717" t="s">
        <v>79</v>
      </c>
      <c r="V6" s="717" t="s">
        <v>79</v>
      </c>
      <c r="W6" s="717" t="s">
        <v>79</v>
      </c>
      <c r="X6" s="717">
        <f>L6*AO6</f>
        <v>378777777.77777779</v>
      </c>
      <c r="Y6" s="715" t="s">
        <v>257</v>
      </c>
      <c r="Z6" s="715" t="s">
        <v>256</v>
      </c>
      <c r="AA6" s="718" t="s">
        <v>259</v>
      </c>
      <c r="AB6" s="718" t="s">
        <v>79</v>
      </c>
      <c r="AC6" s="715" t="s">
        <v>79</v>
      </c>
      <c r="AD6" s="715" t="s">
        <v>79</v>
      </c>
      <c r="AE6" s="715">
        <v>94</v>
      </c>
      <c r="AF6" s="715" t="s">
        <v>79</v>
      </c>
      <c r="AG6" s="726">
        <v>487</v>
      </c>
      <c r="AH6" s="715" t="s">
        <v>242</v>
      </c>
      <c r="AI6" s="718" t="s">
        <v>258</v>
      </c>
      <c r="AJ6" s="718" t="s">
        <v>254</v>
      </c>
      <c r="AK6" s="718" t="s">
        <v>300</v>
      </c>
      <c r="AL6" s="715" t="s">
        <v>238</v>
      </c>
      <c r="AM6" s="718" t="s">
        <v>237</v>
      </c>
      <c r="AN6" s="718" t="s">
        <v>236</v>
      </c>
      <c r="AO6" s="725">
        <v>487</v>
      </c>
      <c r="AP6" s="715" t="s">
        <v>79</v>
      </c>
      <c r="AQ6" s="715">
        <v>300</v>
      </c>
      <c r="AR6" s="724">
        <f>AO6/AQ6*1000</f>
        <v>1623.3333333333333</v>
      </c>
      <c r="AS6" s="717" t="s">
        <v>79</v>
      </c>
      <c r="AT6" s="717" t="s">
        <v>79</v>
      </c>
      <c r="AU6" s="715" t="s">
        <v>79</v>
      </c>
      <c r="AV6" s="715" t="s">
        <v>79</v>
      </c>
      <c r="AW6" s="715" t="s">
        <v>79</v>
      </c>
      <c r="AX6" s="715" t="s">
        <v>79</v>
      </c>
      <c r="AY6" s="715" t="s">
        <v>79</v>
      </c>
      <c r="AZ6" s="723" t="s">
        <v>79</v>
      </c>
      <c r="BA6" s="720" t="s">
        <v>79</v>
      </c>
      <c r="BB6" s="720" t="s">
        <v>79</v>
      </c>
      <c r="BC6" s="717">
        <f>AVERAGE(900000000000,1000000000000,1000000000000)</f>
        <v>966666666666.66663</v>
      </c>
      <c r="BD6" s="717">
        <f>AVERAGE(750000000000,850000000000,850000000000)</f>
        <v>816666666666.66663</v>
      </c>
      <c r="BE6" s="723">
        <f>BD6/BC6</f>
        <v>0.84482758620689657</v>
      </c>
      <c r="BF6" s="720">
        <v>94.4</v>
      </c>
      <c r="BG6" s="720">
        <f>AVERAGE(70.8,72.8)</f>
        <v>71.8</v>
      </c>
      <c r="BH6" s="720" t="s">
        <v>79</v>
      </c>
      <c r="BI6" s="720" t="s">
        <v>79</v>
      </c>
      <c r="BJ6" s="720" t="s">
        <v>79</v>
      </c>
      <c r="BK6" s="720" t="s">
        <v>79</v>
      </c>
      <c r="BL6" s="716" t="s">
        <v>79</v>
      </c>
      <c r="BM6" s="716" t="s">
        <v>79</v>
      </c>
      <c r="BN6" s="722" t="s">
        <v>79</v>
      </c>
      <c r="BO6" s="722" t="s">
        <v>79</v>
      </c>
      <c r="BP6" s="716">
        <f>(BC6*AQ6/1000)/AO6</f>
        <v>595482546.20123208</v>
      </c>
      <c r="BQ6" s="716">
        <f>(BD6*AQ6/1000)/AO6</f>
        <v>503080082.13552362</v>
      </c>
      <c r="BR6" s="722">
        <f>BP6/L6</f>
        <v>765.62041654444124</v>
      </c>
      <c r="BS6" s="722">
        <f>BQ6/L6</f>
        <v>646.81724845995893</v>
      </c>
      <c r="BT6" s="716">
        <f>BQ6/M6</f>
        <v>646817.24845995894</v>
      </c>
      <c r="BU6" s="716">
        <f t="shared" ref="BU6:BU9" si="2">BQ6*AO6</f>
        <v>245000000000</v>
      </c>
      <c r="BV6" s="720" t="s">
        <v>79</v>
      </c>
      <c r="BW6" s="716" t="s">
        <v>79</v>
      </c>
      <c r="BX6" s="716" t="s">
        <v>79</v>
      </c>
      <c r="BY6" s="716" t="s">
        <v>79</v>
      </c>
      <c r="BZ6" s="716" t="s">
        <v>79</v>
      </c>
      <c r="CA6" s="716" t="s">
        <v>79</v>
      </c>
      <c r="CB6" s="715">
        <v>448</v>
      </c>
      <c r="CC6" s="717">
        <f>BC6/CB6</f>
        <v>2157738095.2380953</v>
      </c>
      <c r="CD6" s="717">
        <f>BD6/CB6</f>
        <v>1822916666.6666665</v>
      </c>
      <c r="CE6" s="721">
        <f>CB6*AQ6/1000</f>
        <v>134.4</v>
      </c>
      <c r="CF6" s="720">
        <f>CE6/AO6</f>
        <v>0.27597535934291584</v>
      </c>
      <c r="CG6" s="719">
        <f>CF6/L6</f>
        <v>3.5482546201232037E-7</v>
      </c>
      <c r="CH6" s="719">
        <f t="shared" ref="CH6:CH9" si="3">CF6*AO6</f>
        <v>134.4</v>
      </c>
    </row>
    <row r="7" spans="1:86" s="699" customFormat="1" ht="43.2" x14ac:dyDescent="0.3">
      <c r="A7" s="714" t="s">
        <v>299</v>
      </c>
      <c r="B7" s="713">
        <v>45062</v>
      </c>
      <c r="C7" s="713" t="s">
        <v>298</v>
      </c>
      <c r="D7" s="699">
        <v>12</v>
      </c>
      <c r="E7" s="699">
        <v>19.54</v>
      </c>
      <c r="F7" s="699" t="s">
        <v>297</v>
      </c>
      <c r="G7" s="701">
        <f>1.5*3005000/225</f>
        <v>20033.333333333332</v>
      </c>
      <c r="H7" s="701">
        <f>(19*225*G7)/(19*225*0.2)</f>
        <v>100166.66666666667</v>
      </c>
      <c r="I7" s="701">
        <f>19*225*G7</f>
        <v>85642500</v>
      </c>
      <c r="J7" s="712">
        <f>19*225*0.12</f>
        <v>513</v>
      </c>
      <c r="K7" s="701">
        <f>849000*3.15/25</f>
        <v>106974</v>
      </c>
      <c r="L7" s="711">
        <f>K7*19*225/J7</f>
        <v>891450</v>
      </c>
      <c r="M7" s="704">
        <f>(1/0.12*100)*(K7/100000)</f>
        <v>891.44999999999993</v>
      </c>
      <c r="N7" s="701" t="s">
        <v>79</v>
      </c>
      <c r="O7" s="701" t="s">
        <v>79</v>
      </c>
      <c r="P7" s="701">
        <f>19*225*K7</f>
        <v>457313850</v>
      </c>
      <c r="Q7" s="701" t="s">
        <v>79</v>
      </c>
      <c r="R7" s="701" t="s">
        <v>79</v>
      </c>
      <c r="S7" s="704"/>
      <c r="T7" s="701" t="s">
        <v>79</v>
      </c>
      <c r="U7" s="701" t="s">
        <v>79</v>
      </c>
      <c r="V7" s="701" t="s">
        <v>79</v>
      </c>
      <c r="W7" s="701" t="s">
        <v>79</v>
      </c>
      <c r="X7" s="701">
        <f>AO7*L7</f>
        <v>436810500</v>
      </c>
      <c r="Y7" s="699" t="s">
        <v>257</v>
      </c>
      <c r="Z7" s="699" t="s">
        <v>256</v>
      </c>
      <c r="AA7" s="702" t="s">
        <v>259</v>
      </c>
      <c r="AB7" s="702" t="s">
        <v>79</v>
      </c>
      <c r="AC7" s="702" t="s">
        <v>79</v>
      </c>
      <c r="AD7" s="702" t="s">
        <v>79</v>
      </c>
      <c r="AE7" s="699">
        <v>98.7</v>
      </c>
      <c r="AF7" s="699" t="s">
        <v>79</v>
      </c>
      <c r="AG7" s="710">
        <v>490</v>
      </c>
      <c r="AH7" s="699" t="s">
        <v>242</v>
      </c>
      <c r="AI7" s="702" t="s">
        <v>258</v>
      </c>
      <c r="AJ7" s="702" t="s">
        <v>254</v>
      </c>
      <c r="AK7" s="702" t="s">
        <v>296</v>
      </c>
      <c r="AL7" s="699" t="s">
        <v>238</v>
      </c>
      <c r="AM7" s="702" t="s">
        <v>237</v>
      </c>
      <c r="AN7" s="702" t="s">
        <v>236</v>
      </c>
      <c r="AO7" s="709">
        <v>490</v>
      </c>
      <c r="AP7" s="699" t="s">
        <v>79</v>
      </c>
      <c r="AQ7" s="699">
        <v>300</v>
      </c>
      <c r="AR7" s="708">
        <f>AO7/AQ7*1000</f>
        <v>1633.3333333333333</v>
      </c>
      <c r="AS7" s="701" t="s">
        <v>79</v>
      </c>
      <c r="AT7" s="701" t="s">
        <v>79</v>
      </c>
      <c r="AU7" s="699" t="s">
        <v>79</v>
      </c>
      <c r="AV7" s="699" t="s">
        <v>79</v>
      </c>
      <c r="AW7" s="699" t="s">
        <v>79</v>
      </c>
      <c r="AX7" s="699" t="s">
        <v>79</v>
      </c>
      <c r="AY7" s="699" t="s">
        <v>79</v>
      </c>
      <c r="AZ7" s="707" t="s">
        <v>79</v>
      </c>
      <c r="BA7" s="704" t="s">
        <v>79</v>
      </c>
      <c r="BB7" s="704" t="s">
        <v>79</v>
      </c>
      <c r="BC7" s="700">
        <v>560000000000</v>
      </c>
      <c r="BD7" s="700">
        <v>520000000000</v>
      </c>
      <c r="BE7" s="707">
        <f>BD7/BC7</f>
        <v>0.9285714285714286</v>
      </c>
      <c r="BF7" s="704">
        <v>101.2</v>
      </c>
      <c r="BG7" s="704">
        <v>80.2</v>
      </c>
      <c r="BH7" s="704" t="s">
        <v>79</v>
      </c>
      <c r="BI7" s="704" t="s">
        <v>79</v>
      </c>
      <c r="BJ7" s="704" t="s">
        <v>79</v>
      </c>
      <c r="BK7" s="704" t="s">
        <v>79</v>
      </c>
      <c r="BL7" s="700" t="s">
        <v>79</v>
      </c>
      <c r="BM7" s="700" t="s">
        <v>79</v>
      </c>
      <c r="BN7" s="706" t="s">
        <v>79</v>
      </c>
      <c r="BO7" s="706" t="s">
        <v>79</v>
      </c>
      <c r="BP7" s="700">
        <f>(BC7*AQ7/1000)/AO7</f>
        <v>342857142.85714287</v>
      </c>
      <c r="BQ7" s="700">
        <f>(BD7*AQ7/1000)/AO7</f>
        <v>318367346.93877554</v>
      </c>
      <c r="BR7" s="706">
        <f>BP7/L7</f>
        <v>384.60613927549821</v>
      </c>
      <c r="BS7" s="706">
        <f>BQ7/L7</f>
        <v>357.13427218439119</v>
      </c>
      <c r="BT7" s="700">
        <f>BQ7/M7</f>
        <v>357134.27218439121</v>
      </c>
      <c r="BU7" s="700">
        <f t="shared" si="2"/>
        <v>156000000000</v>
      </c>
      <c r="BV7" s="704" t="s">
        <v>79</v>
      </c>
      <c r="BW7" s="700" t="s">
        <v>79</v>
      </c>
      <c r="BX7" s="700" t="s">
        <v>79</v>
      </c>
      <c r="BY7" s="700" t="s">
        <v>79</v>
      </c>
      <c r="BZ7" s="700" t="s">
        <v>79</v>
      </c>
      <c r="CA7" s="700" t="s">
        <v>79</v>
      </c>
      <c r="CB7" s="699">
        <v>318</v>
      </c>
      <c r="CC7" s="701">
        <f>BC7/CB7</f>
        <v>1761006289.308176</v>
      </c>
      <c r="CD7" s="701">
        <f>BD7/CB7</f>
        <v>1635220125.7861636</v>
      </c>
      <c r="CE7" s="705">
        <f>CB7*AQ7/1000</f>
        <v>95.4</v>
      </c>
      <c r="CF7" s="704">
        <f>CE7/AO7</f>
        <v>0.19469387755102041</v>
      </c>
      <c r="CG7" s="703">
        <f>CF7/L7</f>
        <v>2.1840134337430076E-7</v>
      </c>
      <c r="CH7" s="703">
        <f t="shared" si="3"/>
        <v>95.4</v>
      </c>
    </row>
    <row r="8" spans="1:86" s="683" customFormat="1" ht="43.2" x14ac:dyDescent="0.3">
      <c r="A8" s="698" t="s">
        <v>295</v>
      </c>
      <c r="B8" s="697">
        <v>45272</v>
      </c>
      <c r="C8" s="683" t="s">
        <v>288</v>
      </c>
      <c r="D8" s="683">
        <v>16</v>
      </c>
      <c r="E8" s="683">
        <v>28.74</v>
      </c>
      <c r="F8" s="683" t="s">
        <v>292</v>
      </c>
      <c r="G8" s="685">
        <f>1.4*3320000/225</f>
        <v>20657.777777777777</v>
      </c>
      <c r="H8" s="685">
        <f>(16*225*G8)/(16*225*0.2)</f>
        <v>103288.88888888889</v>
      </c>
      <c r="I8" s="685">
        <f>16*225*G8</f>
        <v>74368000</v>
      </c>
      <c r="J8" s="696">
        <f>16*0.12*225</f>
        <v>432</v>
      </c>
      <c r="K8" s="685">
        <f>3230000*46.2/(6*300)</f>
        <v>82903.333333333328</v>
      </c>
      <c r="L8" s="695">
        <f>K8*16*225/J8</f>
        <v>690861.11111111112</v>
      </c>
      <c r="M8" s="686">
        <f>(1/0.12*100)*(K8/100000)</f>
        <v>690.86111111111109</v>
      </c>
      <c r="N8" s="685" t="s">
        <v>79</v>
      </c>
      <c r="O8" s="685" t="s">
        <v>79</v>
      </c>
      <c r="P8" s="685">
        <f>16*225*K8</f>
        <v>298452000</v>
      </c>
      <c r="Q8" s="685">
        <f>2260000*10.1/225</f>
        <v>101448.88888888889</v>
      </c>
      <c r="R8" s="685">
        <f>Q8*16*225/J8</f>
        <v>845407.40740740742</v>
      </c>
      <c r="S8" s="686">
        <f>(1/0.12*100)*(Q8/100000)</f>
        <v>845.4074074074075</v>
      </c>
      <c r="T8" s="685" t="s">
        <v>79</v>
      </c>
      <c r="U8" s="690">
        <v>12.342175066313001</v>
      </c>
      <c r="V8" s="686">
        <f>U8/R8*1000000</f>
        <v>14.599085551145668</v>
      </c>
      <c r="W8" s="685">
        <f>16*225*Q8</f>
        <v>365216000</v>
      </c>
      <c r="X8" s="685">
        <f>AO8*L8</f>
        <v>277265592.5925926</v>
      </c>
      <c r="Y8" s="683" t="s">
        <v>257</v>
      </c>
      <c r="Z8" s="683" t="s">
        <v>256</v>
      </c>
      <c r="AA8" s="694" t="s">
        <v>291</v>
      </c>
      <c r="AB8" s="683" t="s">
        <v>79</v>
      </c>
      <c r="AC8" s="683" t="s">
        <v>79</v>
      </c>
      <c r="AD8" s="683" t="s">
        <v>79</v>
      </c>
      <c r="AE8" s="683">
        <v>97.2</v>
      </c>
      <c r="AF8" s="683">
        <v>91.8</v>
      </c>
      <c r="AG8" s="684">
        <v>430</v>
      </c>
      <c r="AH8" s="683" t="s">
        <v>242</v>
      </c>
      <c r="AI8" s="694" t="s">
        <v>250</v>
      </c>
      <c r="AJ8" s="683" t="s">
        <v>240</v>
      </c>
      <c r="AK8" s="683" t="s">
        <v>294</v>
      </c>
      <c r="AL8" s="683" t="s">
        <v>238</v>
      </c>
      <c r="AM8" s="694" t="s">
        <v>237</v>
      </c>
      <c r="AN8" s="683" t="s">
        <v>236</v>
      </c>
      <c r="AO8" s="693">
        <f>140/150*AG8</f>
        <v>401.33333333333331</v>
      </c>
      <c r="AP8" s="683">
        <v>150</v>
      </c>
      <c r="AQ8" s="683">
        <v>300</v>
      </c>
      <c r="AR8" s="692">
        <f>AO8/AQ8*1000</f>
        <v>1337.7777777777778</v>
      </c>
      <c r="AS8" s="685">
        <v>3900000000</v>
      </c>
      <c r="AT8" s="685">
        <v>2500000000</v>
      </c>
      <c r="AU8" s="691">
        <f>AT8/AS8</f>
        <v>0.64102564102564108</v>
      </c>
      <c r="AV8" s="683">
        <v>74.400000000000006</v>
      </c>
      <c r="AW8" s="683">
        <v>70.2</v>
      </c>
      <c r="AX8" s="685">
        <v>5200000000000</v>
      </c>
      <c r="AY8" s="685">
        <v>3900000000000</v>
      </c>
      <c r="AZ8" s="691">
        <f>AY8/AX8</f>
        <v>0.75</v>
      </c>
      <c r="BA8" s="686">
        <v>90.3</v>
      </c>
      <c r="BB8" s="686">
        <v>75.400000000000006</v>
      </c>
      <c r="BC8" s="685">
        <v>520000000000</v>
      </c>
      <c r="BD8" s="685">
        <v>390000000000</v>
      </c>
      <c r="BE8" s="691">
        <f>BD8/BC8</f>
        <v>0.75</v>
      </c>
      <c r="BF8" s="686">
        <v>96.5</v>
      </c>
      <c r="BG8" s="686">
        <v>75.7</v>
      </c>
      <c r="BH8" s="685">
        <f>AS8</f>
        <v>3900000000</v>
      </c>
      <c r="BI8" s="685">
        <f>AT8</f>
        <v>2500000000</v>
      </c>
      <c r="BJ8" s="690">
        <f>AS8/L8</f>
        <v>5645.1288649431062</v>
      </c>
      <c r="BK8" s="690">
        <f>AT8/L8</f>
        <v>3618.672349322504</v>
      </c>
      <c r="BL8" s="688">
        <f>(AX8*AP8/1000)/AG8</f>
        <v>1813953488.372093</v>
      </c>
      <c r="BM8" s="688">
        <f>(AY8*AP8/1000)/AG8</f>
        <v>1360465116.2790697</v>
      </c>
      <c r="BN8" s="686">
        <f>BL8/L8</f>
        <v>2625.6413325316771</v>
      </c>
      <c r="BO8" s="686">
        <f>BM8/L8</f>
        <v>1969.2309993987578</v>
      </c>
      <c r="BP8" s="688">
        <f>(BC8*AQ8/1000)/AO8</f>
        <v>388704318.93687707</v>
      </c>
      <c r="BQ8" s="688">
        <f>(BD8*AQ8/1000)/AO8</f>
        <v>291528239.20265782</v>
      </c>
      <c r="BR8" s="686">
        <f>BP8/L8</f>
        <v>562.63742839964516</v>
      </c>
      <c r="BS8" s="686">
        <f>BQ8/L8</f>
        <v>421.97807129973387</v>
      </c>
      <c r="BT8" s="688">
        <f>BQ8/M8</f>
        <v>421978.07129973389</v>
      </c>
      <c r="BU8" s="688">
        <f t="shared" si="2"/>
        <v>117000000000</v>
      </c>
      <c r="BV8" s="686">
        <v>4452.9280997604601</v>
      </c>
      <c r="BW8" s="685">
        <f>AX8/BV8</f>
        <v>1167770932.6318851</v>
      </c>
      <c r="BX8" s="685">
        <f>AY8/BV8</f>
        <v>875828199.47391379</v>
      </c>
      <c r="BY8" s="686">
        <f>BV8*AP8/1000</f>
        <v>667.93921496406892</v>
      </c>
      <c r="BZ8" s="686">
        <f>BY8/AG8</f>
        <v>1.5533470115443464</v>
      </c>
      <c r="CA8" s="689">
        <f>BZ8/L8</f>
        <v>2.2484215518313085E-6</v>
      </c>
      <c r="CB8" s="683">
        <v>236.75784871709874</v>
      </c>
      <c r="CC8" s="688">
        <f>BC8/CB8</f>
        <v>2196336902.1034927</v>
      </c>
      <c r="CD8" s="688">
        <f>BD8/CB8</f>
        <v>1647252676.5776196</v>
      </c>
      <c r="CE8" s="687">
        <f>CB8*AQ8/1000</f>
        <v>71.027354615129624</v>
      </c>
      <c r="CF8" s="686">
        <f>CE8/AO8</f>
        <v>0.17697845834334625</v>
      </c>
      <c r="CG8" s="685">
        <f>CF8/L8</f>
        <v>2.5617082145311669E-7</v>
      </c>
      <c r="CH8" s="819">
        <f t="shared" si="3"/>
        <v>71.027354615129624</v>
      </c>
    </row>
    <row r="9" spans="1:86" s="664" customFormat="1" ht="43.2" x14ac:dyDescent="0.3">
      <c r="A9" s="678" t="s">
        <v>293</v>
      </c>
      <c r="B9" s="682">
        <v>45279</v>
      </c>
      <c r="C9" s="664" t="s">
        <v>288</v>
      </c>
      <c r="D9" s="664">
        <v>18</v>
      </c>
      <c r="E9" s="664">
        <v>33.4</v>
      </c>
      <c r="F9" s="664" t="s">
        <v>292</v>
      </c>
      <c r="G9" s="666">
        <f>1.4*3180000/225</f>
        <v>19786.666666666668</v>
      </c>
      <c r="H9" s="666">
        <f>(16*225*G9)/(16*225*0.2)</f>
        <v>98933.333333333328</v>
      </c>
      <c r="I9" s="666">
        <f>16*225*G9</f>
        <v>71232000</v>
      </c>
      <c r="J9" s="681">
        <f>16*225*0.12</f>
        <v>432</v>
      </c>
      <c r="K9" s="666">
        <f>4270000*46.5/(10*225)</f>
        <v>88246.666666666672</v>
      </c>
      <c r="L9" s="680">
        <f>K9*16*225/J9</f>
        <v>735388.88888888888</v>
      </c>
      <c r="M9" s="667">
        <f>(1/0.12*100)*(K9/100000)</f>
        <v>735.38888888888903</v>
      </c>
      <c r="N9" s="666" t="s">
        <v>79</v>
      </c>
      <c r="O9" s="666" t="s">
        <v>79</v>
      </c>
      <c r="P9" s="666">
        <f>16*225*K9</f>
        <v>317688000</v>
      </c>
      <c r="Q9" s="666">
        <v>109066.67</v>
      </c>
      <c r="R9" s="666">
        <f>Q9*16*225/J9</f>
        <v>908888.91666666663</v>
      </c>
      <c r="S9" s="667">
        <f>(1/0.12*100)*(Q9/100000)</f>
        <v>908.88891666666666</v>
      </c>
      <c r="T9" s="666" t="s">
        <v>79</v>
      </c>
      <c r="U9" s="672">
        <v>16.115087040618953</v>
      </c>
      <c r="V9" s="667">
        <f>U9/R9*1000000</f>
        <v>17.730535321874907</v>
      </c>
      <c r="W9" s="674">
        <f>16*225*Q9</f>
        <v>392640012</v>
      </c>
      <c r="X9" s="666">
        <f>AO9*L9</f>
        <v>286801666.66666669</v>
      </c>
      <c r="Y9" s="679" t="s">
        <v>257</v>
      </c>
      <c r="Z9" s="679" t="s">
        <v>256</v>
      </c>
      <c r="AA9" s="679" t="s">
        <v>291</v>
      </c>
      <c r="AB9" s="664" t="s">
        <v>79</v>
      </c>
      <c r="AC9" s="664" t="s">
        <v>79</v>
      </c>
      <c r="AD9" s="664" t="s">
        <v>79</v>
      </c>
      <c r="AE9" s="664">
        <v>98.1</v>
      </c>
      <c r="AF9" s="664">
        <v>94.1</v>
      </c>
      <c r="AG9" s="665">
        <v>420</v>
      </c>
      <c r="AH9" s="664" t="s">
        <v>242</v>
      </c>
      <c r="AI9" s="679" t="s">
        <v>250</v>
      </c>
      <c r="AJ9" s="679" t="s">
        <v>240</v>
      </c>
      <c r="AK9" s="664" t="s">
        <v>290</v>
      </c>
      <c r="AL9" s="664" t="s">
        <v>238</v>
      </c>
      <c r="AM9" s="679" t="s">
        <v>237</v>
      </c>
      <c r="AN9" s="679" t="s">
        <v>236</v>
      </c>
      <c r="AO9" s="678">
        <f>130/140*AG9</f>
        <v>390</v>
      </c>
      <c r="AP9" s="664">
        <v>140</v>
      </c>
      <c r="AQ9" s="664">
        <v>300</v>
      </c>
      <c r="AR9" s="677">
        <f>AO9/AQ9*1000</f>
        <v>1300</v>
      </c>
      <c r="AS9" s="666">
        <v>1500000000</v>
      </c>
      <c r="AT9" s="666" t="s">
        <v>79</v>
      </c>
      <c r="AU9" s="664" t="s">
        <v>79</v>
      </c>
      <c r="AV9" s="664">
        <v>176</v>
      </c>
      <c r="AW9" s="664" t="s">
        <v>79</v>
      </c>
      <c r="AX9" s="666">
        <v>2500000000000</v>
      </c>
      <c r="AY9" s="666">
        <v>3700000000000</v>
      </c>
      <c r="AZ9" s="676">
        <f>AY9/AX9</f>
        <v>1.48</v>
      </c>
      <c r="BA9" s="667">
        <v>89.5</v>
      </c>
      <c r="BB9" s="667">
        <v>74</v>
      </c>
      <c r="BC9" s="666">
        <v>340000000000</v>
      </c>
      <c r="BD9" s="666">
        <v>210000000000</v>
      </c>
      <c r="BE9" s="676">
        <f>BD9/BC9</f>
        <v>0.61764705882352944</v>
      </c>
      <c r="BF9" s="675">
        <v>90.2</v>
      </c>
      <c r="BG9" s="675">
        <v>68.7</v>
      </c>
      <c r="BH9" s="674">
        <f>AS9</f>
        <v>1500000000</v>
      </c>
      <c r="BI9" s="667" t="str">
        <f>AT9</f>
        <v>/</v>
      </c>
      <c r="BJ9" s="673">
        <f>AS9/L9</f>
        <v>2039.7371005514844</v>
      </c>
      <c r="BK9" s="672" t="s">
        <v>79</v>
      </c>
      <c r="BL9" s="669">
        <f>(AX9*AP9/1000)/AG9</f>
        <v>833333333.33333337</v>
      </c>
      <c r="BM9" s="669">
        <f>(AY9*AP9/1000)/AG9</f>
        <v>1233333333.3333333</v>
      </c>
      <c r="BN9" s="667">
        <f>BL9/L9</f>
        <v>1133.1872780841582</v>
      </c>
      <c r="BO9" s="667">
        <f>BM9/L9</f>
        <v>1677.1171715645539</v>
      </c>
      <c r="BP9" s="669">
        <f>(BC9*AQ9/1000)/AO9</f>
        <v>261538461.53846154</v>
      </c>
      <c r="BQ9" s="669">
        <f>(BD9*AQ9/1000)/AO9</f>
        <v>161538461.53846154</v>
      </c>
      <c r="BR9" s="667">
        <f>BP9/L9</f>
        <v>355.64646881410499</v>
      </c>
      <c r="BS9" s="667">
        <f>BQ9/L9</f>
        <v>219.66399544400602</v>
      </c>
      <c r="BT9" s="669">
        <f>BQ9/M9</f>
        <v>219663.99544400597</v>
      </c>
      <c r="BU9" s="669">
        <f t="shared" si="2"/>
        <v>63000000000</v>
      </c>
      <c r="BV9" s="667">
        <v>9945.4577322418208</v>
      </c>
      <c r="BW9" s="666">
        <f>AX9/BV9</f>
        <v>251371034.62773162</v>
      </c>
      <c r="BX9" s="666">
        <f>AY9/BV9</f>
        <v>372029131.24904281</v>
      </c>
      <c r="BY9" s="667">
        <f>BV9*AP9/1000</f>
        <v>1392.3640825138548</v>
      </c>
      <c r="BZ9" s="667">
        <f>BY9/AG9</f>
        <v>3.3151525774139401</v>
      </c>
      <c r="CA9" s="670">
        <f>BZ9/L9</f>
        <v>4.5080264707600608E-6</v>
      </c>
      <c r="CB9" s="664">
        <v>248.00662354851272</v>
      </c>
      <c r="CC9" s="669">
        <f>BC9/CB9</f>
        <v>1370931127.3031077</v>
      </c>
      <c r="CD9" s="669">
        <f>BD9/CB9</f>
        <v>846751578.62839007</v>
      </c>
      <c r="CE9" s="668">
        <f>CB9*AQ9/1000</f>
        <v>74.401987064553822</v>
      </c>
      <c r="CF9" s="667">
        <f>CE9/AO9</f>
        <v>0.19077432580654827</v>
      </c>
      <c r="CG9" s="666">
        <f>CF9/L9</f>
        <v>2.5941964678687536E-7</v>
      </c>
      <c r="CH9" s="820">
        <f t="shared" si="3"/>
        <v>74.401987064553822</v>
      </c>
    </row>
    <row r="10" spans="1:86" s="415" customFormat="1" ht="15.6" x14ac:dyDescent="0.3">
      <c r="G10" s="631"/>
      <c r="H10" s="631"/>
      <c r="J10" s="525"/>
      <c r="K10" s="631"/>
      <c r="L10" s="524"/>
      <c r="M10" s="524"/>
      <c r="N10" s="524"/>
      <c r="O10" s="524"/>
      <c r="W10" s="547"/>
      <c r="AG10" s="547"/>
      <c r="AO10" s="380"/>
      <c r="AS10" s="631"/>
      <c r="AT10" s="631"/>
      <c r="AZ10" s="634"/>
      <c r="BA10" s="632"/>
      <c r="BB10" s="632"/>
      <c r="BC10" s="547"/>
      <c r="BD10" s="547"/>
      <c r="BE10" s="633"/>
      <c r="BF10" s="629"/>
      <c r="BG10" s="629"/>
      <c r="BH10" s="629"/>
      <c r="BI10" s="629"/>
      <c r="BJ10" s="629"/>
      <c r="BK10" s="629"/>
      <c r="BL10" s="631"/>
      <c r="BM10" s="631"/>
      <c r="BN10" s="632"/>
      <c r="BO10" s="632"/>
      <c r="BP10" s="631"/>
      <c r="BQ10" s="631"/>
      <c r="BR10" s="518"/>
      <c r="BS10" s="518"/>
      <c r="BT10" s="518"/>
      <c r="BU10" s="518"/>
      <c r="BV10" s="629"/>
      <c r="BX10" s="630"/>
      <c r="BY10" s="547"/>
      <c r="BZ10" s="547"/>
      <c r="CA10" s="547"/>
      <c r="CC10" s="846"/>
      <c r="CD10" s="846"/>
      <c r="CE10" s="847"/>
      <c r="CF10" s="847"/>
      <c r="CG10" s="847"/>
      <c r="CH10" s="847"/>
    </row>
    <row r="11" spans="1:86" s="538" customFormat="1" ht="23.4" x14ac:dyDescent="0.3">
      <c r="A11" s="545" t="s">
        <v>377</v>
      </c>
      <c r="G11" s="544"/>
      <c r="H11" s="539">
        <f>AVERAGE(H13:H15)</f>
        <v>313527.96696799557</v>
      </c>
      <c r="I11" s="539">
        <f>AVERAGE(I13:I15)</f>
        <v>141087585.135598</v>
      </c>
      <c r="J11" s="539">
        <f>AVERAGE(J13:J15)</f>
        <v>433.33333333333331</v>
      </c>
      <c r="K11" s="539" t="e">
        <f>AVERAGE(K13:K15)</f>
        <v>#DIV/0!</v>
      </c>
      <c r="L11" s="539">
        <f>AVERAGE(L13:L15)</f>
        <v>400888.88888888882</v>
      </c>
      <c r="M11" s="539"/>
      <c r="N11" s="541">
        <f>AVERAGE(N13:N15)</f>
        <v>4.7710953285318789</v>
      </c>
      <c r="O11" s="541">
        <f>AVERAGE(O13:O15)</f>
        <v>11.724151250170815</v>
      </c>
      <c r="P11" s="539" t="e">
        <f>AVERAGE(P13:P15)</f>
        <v>#DIV/0!</v>
      </c>
      <c r="Q11" s="539" t="e">
        <f>AVERAGE(Q13:Q15)</f>
        <v>#DIV/0!</v>
      </c>
      <c r="R11" s="539">
        <f>AVERAGE(R13:R15)</f>
        <v>407111.11111111107</v>
      </c>
      <c r="S11" s="539"/>
      <c r="T11" s="539">
        <f>AVERAGE(T13:T15)</f>
        <v>59666.666666666664</v>
      </c>
      <c r="U11" s="541">
        <f>AVERAGE(U13:U15)</f>
        <v>20.836872274827325</v>
      </c>
      <c r="V11" s="541">
        <f>AVERAGE(V13:V15)</f>
        <v>51.467676664124589</v>
      </c>
      <c r="W11" s="539" t="e">
        <f>AVERAGE(W13:W15)</f>
        <v>#DIV/0!</v>
      </c>
      <c r="X11" s="539">
        <f>AVERAGE(X13:X15)</f>
        <v>170413333.33333334</v>
      </c>
      <c r="Y11" s="539"/>
      <c r="Z11" s="539"/>
      <c r="AA11" s="539"/>
      <c r="AB11" s="539"/>
      <c r="AC11" s="539"/>
      <c r="AD11" s="539"/>
      <c r="AE11" s="543">
        <f t="shared" ref="AE11:BT11" si="4">AVERAGE(AE13:AE15)</f>
        <v>96.121733078382647</v>
      </c>
      <c r="AF11" s="543">
        <f t="shared" si="4"/>
        <v>90.554410986840011</v>
      </c>
      <c r="AG11" s="543">
        <f t="shared" si="4"/>
        <v>425</v>
      </c>
      <c r="AH11" s="539" t="e">
        <f t="shared" si="4"/>
        <v>#DIV/0!</v>
      </c>
      <c r="AI11" s="539" t="e">
        <f t="shared" si="4"/>
        <v>#DIV/0!</v>
      </c>
      <c r="AJ11" s="539" t="e">
        <f t="shared" si="4"/>
        <v>#DIV/0!</v>
      </c>
      <c r="AK11" s="539" t="e">
        <f t="shared" si="4"/>
        <v>#DIV/0!</v>
      </c>
      <c r="AL11" s="539" t="e">
        <f t="shared" si="4"/>
        <v>#DIV/0!</v>
      </c>
      <c r="AM11" s="539" t="e">
        <f t="shared" si="4"/>
        <v>#DIV/0!</v>
      </c>
      <c r="AN11" s="539" t="e">
        <f t="shared" si="4"/>
        <v>#DIV/0!</v>
      </c>
      <c r="AO11" s="539">
        <f t="shared" si="4"/>
        <v>406.91666666666669</v>
      </c>
      <c r="AP11" s="539">
        <f t="shared" si="4"/>
        <v>150</v>
      </c>
      <c r="AQ11" s="539">
        <f t="shared" si="4"/>
        <v>300</v>
      </c>
      <c r="AR11" s="541">
        <f t="shared" si="4"/>
        <v>1356.3888888888889</v>
      </c>
      <c r="AS11" s="539" t="e">
        <f t="shared" si="4"/>
        <v>#DIV/0!</v>
      </c>
      <c r="AT11" s="539" t="e">
        <f t="shared" si="4"/>
        <v>#DIV/0!</v>
      </c>
      <c r="AU11" s="539" t="e">
        <f t="shared" si="4"/>
        <v>#DIV/0!</v>
      </c>
      <c r="AV11" s="539" t="e">
        <f t="shared" si="4"/>
        <v>#DIV/0!</v>
      </c>
      <c r="AW11" s="539" t="e">
        <f t="shared" si="4"/>
        <v>#DIV/0!</v>
      </c>
      <c r="AX11" s="539">
        <f t="shared" si="4"/>
        <v>780000000000</v>
      </c>
      <c r="AY11" s="539">
        <f t="shared" si="4"/>
        <v>1280000000000</v>
      </c>
      <c r="AZ11" s="542">
        <f t="shared" si="4"/>
        <v>1.657142857142857</v>
      </c>
      <c r="BA11" s="541">
        <f t="shared" si="4"/>
        <v>104.9</v>
      </c>
      <c r="BB11" s="541">
        <f t="shared" si="4"/>
        <v>65.75</v>
      </c>
      <c r="BC11" s="539">
        <f t="shared" si="4"/>
        <v>88333333333.333328</v>
      </c>
      <c r="BD11" s="539">
        <f t="shared" si="4"/>
        <v>113777777777.77777</v>
      </c>
      <c r="BE11" s="542">
        <f t="shared" si="4"/>
        <v>1.4330158730158731</v>
      </c>
      <c r="BF11" s="541">
        <f t="shared" si="4"/>
        <v>105.2</v>
      </c>
      <c r="BG11" s="541">
        <f t="shared" si="4"/>
        <v>68.166666666666671</v>
      </c>
      <c r="BH11" s="539" t="e">
        <f t="shared" si="4"/>
        <v>#DIV/0!</v>
      </c>
      <c r="BI11" s="539" t="e">
        <f t="shared" si="4"/>
        <v>#DIV/0!</v>
      </c>
      <c r="BJ11" s="539" t="e">
        <f t="shared" si="4"/>
        <v>#DIV/0!</v>
      </c>
      <c r="BK11" s="539" t="e">
        <f t="shared" si="4"/>
        <v>#DIV/0!</v>
      </c>
      <c r="BL11" s="539">
        <f t="shared" si="4"/>
        <v>285238095.23809522</v>
      </c>
      <c r="BM11" s="539">
        <f t="shared" si="4"/>
        <v>468571428.5714286</v>
      </c>
      <c r="BN11" s="541">
        <f t="shared" si="4"/>
        <v>706.82627801757758</v>
      </c>
      <c r="BO11" s="541">
        <f t="shared" si="4"/>
        <v>1165.0371834208747</v>
      </c>
      <c r="BP11" s="539">
        <f t="shared" si="4"/>
        <v>63006294.471811712</v>
      </c>
      <c r="BQ11" s="539">
        <f t="shared" si="4"/>
        <v>81697252.847499147</v>
      </c>
      <c r="BR11" s="541">
        <f t="shared" si="4"/>
        <v>157.3724217634784</v>
      </c>
      <c r="BS11" s="541">
        <f t="shared" si="4"/>
        <v>204.14825292577225</v>
      </c>
      <c r="BT11" s="539">
        <f t="shared" si="4"/>
        <v>815331.46618907189</v>
      </c>
      <c r="BU11" s="539"/>
      <c r="BV11" s="541">
        <f t="shared" ref="BV11:CH11" si="5">AVERAGE(BV13:BV15)</f>
        <v>6750.984137041155</v>
      </c>
      <c r="BW11" s="539">
        <f t="shared" si="5"/>
        <v>116387469.79748291</v>
      </c>
      <c r="BX11" s="539">
        <f t="shared" si="5"/>
        <v>190848952.3377718</v>
      </c>
      <c r="BY11" s="539">
        <f t="shared" si="5"/>
        <v>1047.2123164138343</v>
      </c>
      <c r="BZ11" s="539">
        <f t="shared" si="5"/>
        <v>2.4933626581281771</v>
      </c>
      <c r="CA11" s="539">
        <f t="shared" si="5"/>
        <v>6.3753601498359853E-6</v>
      </c>
      <c r="CB11" s="540">
        <f t="shared" si="5"/>
        <v>126.86107158640141</v>
      </c>
      <c r="CC11" s="539">
        <f t="shared" si="5"/>
        <v>681879927.98277795</v>
      </c>
      <c r="CD11" s="539">
        <f t="shared" si="5"/>
        <v>975924420.44280851</v>
      </c>
      <c r="CE11" s="539">
        <f t="shared" si="5"/>
        <v>38.058321475920422</v>
      </c>
      <c r="CF11" s="539">
        <f t="shared" si="5"/>
        <v>9.1239241976855734E-2</v>
      </c>
      <c r="CG11" s="539">
        <f t="shared" si="5"/>
        <v>2.3146224649994791E-7</v>
      </c>
      <c r="CH11" s="539">
        <f t="shared" si="5"/>
        <v>38.058321475920422</v>
      </c>
    </row>
    <row r="12" spans="1:86" s="36" customFormat="1" ht="56.4" customHeight="1" x14ac:dyDescent="0.3">
      <c r="A12" s="808" t="s">
        <v>253</v>
      </c>
      <c r="B12" s="537">
        <v>45318</v>
      </c>
      <c r="C12" s="537" t="s">
        <v>252</v>
      </c>
      <c r="D12" s="36">
        <v>12</v>
      </c>
      <c r="E12" s="43">
        <v>19.273479656041758</v>
      </c>
      <c r="F12" s="36" t="s">
        <v>246</v>
      </c>
      <c r="G12" s="42" t="s">
        <v>79</v>
      </c>
      <c r="H12" s="42">
        <v>310256.41025641025</v>
      </c>
      <c r="I12" s="42">
        <v>124102564.1025641</v>
      </c>
      <c r="J12" s="536">
        <v>375</v>
      </c>
      <c r="K12" s="42" t="s">
        <v>79</v>
      </c>
      <c r="L12" s="535">
        <v>337333.33333333326</v>
      </c>
      <c r="M12" s="534">
        <v>80.315677356303951</v>
      </c>
      <c r="N12" s="43">
        <v>4.5372807017543861</v>
      </c>
      <c r="O12" s="43">
        <f>N12/L12*1000000</f>
        <v>13.450436862908262</v>
      </c>
      <c r="P12" s="42" t="s">
        <v>79</v>
      </c>
      <c r="Q12" s="42" t="s">
        <v>79</v>
      </c>
      <c r="R12" s="42">
        <v>344888.88888888893</v>
      </c>
      <c r="S12" s="42"/>
      <c r="T12" s="42">
        <v>96000</v>
      </c>
      <c r="U12" s="43">
        <v>53.287280701754383</v>
      </c>
      <c r="V12" s="43">
        <f>U12/R12*1000000</f>
        <v>154.50564636462286</v>
      </c>
      <c r="W12" s="42" t="s">
        <v>79</v>
      </c>
      <c r="X12" s="42">
        <f>L12*AG12</f>
        <v>126499999.99999997</v>
      </c>
      <c r="Y12" s="36" t="s">
        <v>245</v>
      </c>
      <c r="Z12" s="36" t="s">
        <v>244</v>
      </c>
      <c r="AA12" s="528" t="s">
        <v>406</v>
      </c>
      <c r="AB12" s="528" t="s">
        <v>251</v>
      </c>
      <c r="AC12" s="43">
        <v>0.19</v>
      </c>
      <c r="AD12" s="43">
        <v>4.7</v>
      </c>
      <c r="AE12" s="533">
        <v>93.058161350844273</v>
      </c>
      <c r="AF12" s="533">
        <v>77.129084092126405</v>
      </c>
      <c r="AG12" s="36">
        <v>375</v>
      </c>
      <c r="AH12" s="36" t="s">
        <v>242</v>
      </c>
      <c r="AI12" s="528" t="s">
        <v>250</v>
      </c>
      <c r="AJ12" s="528" t="s">
        <v>240</v>
      </c>
      <c r="AK12" s="36" t="s">
        <v>249</v>
      </c>
      <c r="AL12" s="36" t="s">
        <v>238</v>
      </c>
      <c r="AM12" s="528" t="s">
        <v>237</v>
      </c>
      <c r="AN12" s="36" t="s">
        <v>236</v>
      </c>
      <c r="AO12" s="36">
        <f>125/135*AG12</f>
        <v>347.22222222222223</v>
      </c>
      <c r="AP12" s="36">
        <v>135</v>
      </c>
      <c r="AQ12" s="36">
        <v>300</v>
      </c>
      <c r="AS12" s="42"/>
      <c r="AT12" s="42"/>
      <c r="AZ12" s="532" t="e">
        <f>AY12/AX12</f>
        <v>#DIV/0!</v>
      </c>
      <c r="BA12" s="43"/>
      <c r="BB12" s="43"/>
      <c r="BC12" s="42">
        <v>51000000000</v>
      </c>
      <c r="BD12" s="42">
        <v>62000000000</v>
      </c>
      <c r="BE12" s="531">
        <f>BD12/BC12</f>
        <v>1.2156862745098038</v>
      </c>
      <c r="BF12" s="43">
        <v>94.2</v>
      </c>
      <c r="BG12" s="43">
        <v>68.099999999999994</v>
      </c>
      <c r="BH12" s="527"/>
      <c r="BI12" s="527"/>
      <c r="BJ12" s="527"/>
      <c r="BK12" s="527"/>
      <c r="BL12" s="526" t="s">
        <v>79</v>
      </c>
      <c r="BM12" s="526" t="s">
        <v>79</v>
      </c>
      <c r="BN12" s="526" t="s">
        <v>79</v>
      </c>
      <c r="BO12" s="526" t="s">
        <v>79</v>
      </c>
      <c r="BP12" s="526">
        <f>(BC12*AQ12/1000)/AO12</f>
        <v>44064000</v>
      </c>
      <c r="BQ12" s="42">
        <f>(BD12*AQ12/1000)/AO12</f>
        <v>53568000</v>
      </c>
      <c r="BR12" s="527">
        <f>BP12/L12</f>
        <v>130.62450592885378</v>
      </c>
      <c r="BS12" s="527">
        <f>BQ12/L12</f>
        <v>158.79841897233206</v>
      </c>
      <c r="BT12" s="526">
        <f>BQ12/M12</f>
        <v>666968.16565907316</v>
      </c>
      <c r="BU12" s="816">
        <f>BQ12*AO12</f>
        <v>18600000000</v>
      </c>
      <c r="BV12" s="527" t="s">
        <v>79</v>
      </c>
      <c r="BW12" s="526" t="e">
        <f>AX12/BV12</f>
        <v>#VALUE!</v>
      </c>
      <c r="BX12" s="42" t="e">
        <f>AY12/BV12</f>
        <v>#VALUE!</v>
      </c>
      <c r="BY12" s="36" t="e">
        <f>BV12*AP12/1000</f>
        <v>#VALUE!</v>
      </c>
      <c r="BZ12" s="36" t="e">
        <f>BY12/AG12</f>
        <v>#VALUE!</v>
      </c>
      <c r="CA12" s="36" t="e">
        <f>BZ12/L12</f>
        <v>#VALUE!</v>
      </c>
      <c r="CB12" s="530">
        <v>104.73297799859851</v>
      </c>
      <c r="CC12" s="526">
        <f>BC12/CB12</f>
        <v>486952638.74462211</v>
      </c>
      <c r="CD12" s="526">
        <f>BD12/CB12</f>
        <v>591981639.2581681</v>
      </c>
      <c r="CE12" s="529">
        <f>CB12*AQ12/1000</f>
        <v>31.419893399579557</v>
      </c>
      <c r="CF12" s="529">
        <f>CE12/AO12</f>
        <v>9.0489292990789116E-2</v>
      </c>
      <c r="CG12" s="817">
        <f>CF12/L12</f>
        <v>2.682488922651852E-7</v>
      </c>
      <c r="CH12" s="818">
        <f>CF12*AO12</f>
        <v>31.419893399579554</v>
      </c>
    </row>
    <row r="13" spans="1:86" s="35" customFormat="1" ht="56.4" customHeight="1" x14ac:dyDescent="0.3">
      <c r="A13" s="663" t="s">
        <v>287</v>
      </c>
      <c r="B13" s="662">
        <v>45324</v>
      </c>
      <c r="C13" s="662" t="s">
        <v>252</v>
      </c>
      <c r="D13" s="35">
        <v>14</v>
      </c>
      <c r="E13" s="40">
        <v>24.694085294002878</v>
      </c>
      <c r="F13" s="35" t="s">
        <v>246</v>
      </c>
      <c r="G13" s="37" t="s">
        <v>79</v>
      </c>
      <c r="H13" s="37">
        <v>313619.16771752835</v>
      </c>
      <c r="I13" s="37">
        <v>141128625.47288775</v>
      </c>
      <c r="J13" s="658">
        <v>420</v>
      </c>
      <c r="K13" s="37" t="s">
        <v>79</v>
      </c>
      <c r="L13" s="661">
        <v>357333.33333333331</v>
      </c>
      <c r="M13" s="660">
        <v>85.687057146629115</v>
      </c>
      <c r="N13" s="40">
        <v>1.9900744416873426</v>
      </c>
      <c r="O13" s="40">
        <f>N13/L13*1000000</f>
        <v>5.5692381763638323</v>
      </c>
      <c r="P13" s="37" t="s">
        <v>79</v>
      </c>
      <c r="Q13" s="37" t="s">
        <v>79</v>
      </c>
      <c r="R13" s="37">
        <v>332000</v>
      </c>
      <c r="S13" s="37"/>
      <c r="T13" s="37">
        <v>43000</v>
      </c>
      <c r="U13" s="40">
        <v>13.714640198511164</v>
      </c>
      <c r="V13" s="40">
        <f>U13/R13*1000000</f>
        <v>41.309157224431218</v>
      </c>
      <c r="W13" s="37" t="s">
        <v>79</v>
      </c>
      <c r="X13" s="37">
        <f>L13*AG13</f>
        <v>150080000</v>
      </c>
      <c r="Y13" s="35" t="s">
        <v>245</v>
      </c>
      <c r="Z13" s="35" t="s">
        <v>244</v>
      </c>
      <c r="AA13" s="651" t="s">
        <v>406</v>
      </c>
      <c r="AB13" s="651" t="s">
        <v>243</v>
      </c>
      <c r="AC13" s="40">
        <v>0.24</v>
      </c>
      <c r="AD13" s="40">
        <v>8.6999999999999993</v>
      </c>
      <c r="AE13" s="659">
        <v>97.317298797409805</v>
      </c>
      <c r="AF13" s="659">
        <v>92.424242424242422</v>
      </c>
      <c r="AG13" s="35">
        <v>420</v>
      </c>
      <c r="AH13" s="35" t="s">
        <v>242</v>
      </c>
      <c r="AI13" s="651" t="s">
        <v>250</v>
      </c>
      <c r="AJ13" s="651" t="s">
        <v>240</v>
      </c>
      <c r="AK13" s="35" t="s">
        <v>286</v>
      </c>
      <c r="AL13" s="35" t="s">
        <v>238</v>
      </c>
      <c r="AM13" s="651" t="s">
        <v>237</v>
      </c>
      <c r="AN13" s="35" t="s">
        <v>236</v>
      </c>
      <c r="AO13" s="35">
        <f>150/160*AG13</f>
        <v>393.75</v>
      </c>
      <c r="AP13" s="35">
        <v>160</v>
      </c>
      <c r="AQ13" s="35">
        <v>300</v>
      </c>
      <c r="AR13" s="658">
        <f>AO13/AQ13*1000</f>
        <v>1312.5</v>
      </c>
      <c r="AS13" s="37" t="s">
        <v>79</v>
      </c>
      <c r="AT13" s="37" t="s">
        <v>79</v>
      </c>
      <c r="AU13" s="35" t="s">
        <v>79</v>
      </c>
      <c r="AV13" s="35" t="s">
        <v>79</v>
      </c>
      <c r="AW13" s="35" t="s">
        <v>79</v>
      </c>
      <c r="AX13" s="37">
        <v>560000000000</v>
      </c>
      <c r="AY13" s="37">
        <v>960000000000</v>
      </c>
      <c r="AZ13" s="657">
        <f>AY13/AX13</f>
        <v>1.7142857142857142</v>
      </c>
      <c r="BA13" s="40">
        <v>103.7</v>
      </c>
      <c r="BB13" s="40">
        <v>69.5</v>
      </c>
      <c r="BC13" s="649">
        <v>50000000000</v>
      </c>
      <c r="BD13" s="649">
        <v>72333333333.333328</v>
      </c>
      <c r="BE13" s="656">
        <f>BD13/BC13</f>
        <v>1.4466666666666665</v>
      </c>
      <c r="BF13" s="650">
        <v>101.8</v>
      </c>
      <c r="BG13" s="650">
        <v>62.8</v>
      </c>
      <c r="BH13" s="650"/>
      <c r="BI13" s="650" t="s">
        <v>79</v>
      </c>
      <c r="BJ13" s="650"/>
      <c r="BK13" s="650" t="s">
        <v>79</v>
      </c>
      <c r="BL13" s="649">
        <f>(AX13*AP13/1000)/AG13</f>
        <v>213333333.33333334</v>
      </c>
      <c r="BM13" s="37">
        <f>(AY13*AP13/1000)/AG13</f>
        <v>365714285.71428573</v>
      </c>
      <c r="BN13" s="40">
        <f>BL13/L13</f>
        <v>597.01492537313436</v>
      </c>
      <c r="BO13" s="650">
        <f>BM13/L13</f>
        <v>1023.4541577825161</v>
      </c>
      <c r="BP13" s="649">
        <f>(BC13*AQ13/1000)/AO13</f>
        <v>38095238.095238097</v>
      </c>
      <c r="BQ13" s="37">
        <f>(BD13*AQ13/1000)/AO13</f>
        <v>55111111.111111112</v>
      </c>
      <c r="BR13" s="650">
        <f>BP13/L13</f>
        <v>106.60980810234543</v>
      </c>
      <c r="BS13" s="650">
        <f>BQ13/L13</f>
        <v>154.22885572139305</v>
      </c>
      <c r="BT13" s="649">
        <f>BQ13/M13</f>
        <v>643167.27573925268</v>
      </c>
      <c r="BU13" s="821">
        <f t="shared" ref="BU13:BU15" si="6">BQ13*AO13</f>
        <v>21700000000</v>
      </c>
      <c r="BV13" s="650">
        <v>6912.9391715321999</v>
      </c>
      <c r="BW13" s="649">
        <f>AX13/BV13</f>
        <v>81007511.581485584</v>
      </c>
      <c r="BX13" s="37">
        <f>AY13/BV13</f>
        <v>138870019.85397527</v>
      </c>
      <c r="BY13" s="35">
        <f>BV13*AP13/1000</f>
        <v>1106.070267445152</v>
      </c>
      <c r="BZ13" s="35">
        <f>BY13/AG13</f>
        <v>2.6335006367741713</v>
      </c>
      <c r="CA13" s="35">
        <f>BZ13/L13</f>
        <v>7.3698711850023458E-6</v>
      </c>
      <c r="CB13" s="655">
        <v>109.66354029543599</v>
      </c>
      <c r="CC13" s="649">
        <f>BC13/CB13</f>
        <v>455940049.58529425</v>
      </c>
      <c r="CD13" s="649">
        <f>BD13/CB13</f>
        <v>659593271.73339224</v>
      </c>
      <c r="CE13" s="654">
        <f>CB13*AQ13/1000</f>
        <v>32.899062088630792</v>
      </c>
      <c r="CF13" s="653">
        <f>CE13/AO13</f>
        <v>8.355317355842741E-2</v>
      </c>
      <c r="CG13" s="652">
        <f>CF13/L13</f>
        <v>2.3382417973440507E-7</v>
      </c>
      <c r="CH13" s="822">
        <f t="shared" ref="CH13:CH15" si="7">CF13*AO13</f>
        <v>32.899062088630792</v>
      </c>
    </row>
    <row r="14" spans="1:86" s="34" customFormat="1" ht="56.4" customHeight="1" x14ac:dyDescent="0.3">
      <c r="A14" s="648" t="s">
        <v>285</v>
      </c>
      <c r="B14" s="647">
        <v>45345</v>
      </c>
      <c r="C14" s="647" t="s">
        <v>248</v>
      </c>
      <c r="D14" s="34">
        <v>15</v>
      </c>
      <c r="E14" s="41">
        <v>25.1</v>
      </c>
      <c r="F14" s="34" t="s">
        <v>246</v>
      </c>
      <c r="G14" s="38" t="s">
        <v>79</v>
      </c>
      <c r="H14" s="38">
        <v>315463.91752577317</v>
      </c>
      <c r="I14" s="38">
        <v>141958762.88659793</v>
      </c>
      <c r="J14" s="643">
        <v>440</v>
      </c>
      <c r="K14" s="38" t="s">
        <v>79</v>
      </c>
      <c r="L14" s="646">
        <v>437333.33333333331</v>
      </c>
      <c r="M14" s="645">
        <v>97.933491102005163</v>
      </c>
      <c r="N14" s="41">
        <v>7.063324538258577</v>
      </c>
      <c r="O14" s="41">
        <v>16.711335658340484</v>
      </c>
      <c r="P14" s="38" t="s">
        <v>79</v>
      </c>
      <c r="Q14" s="38" t="s">
        <v>79</v>
      </c>
      <c r="R14" s="38">
        <v>494666.66666666663</v>
      </c>
      <c r="S14" s="38"/>
      <c r="T14" s="38">
        <v>67000</v>
      </c>
      <c r="U14" s="41">
        <v>23.408970976253297</v>
      </c>
      <c r="V14" s="41">
        <v>48.768689533861036</v>
      </c>
      <c r="W14" s="38" t="s">
        <v>79</v>
      </c>
      <c r="X14" s="38">
        <f>L14*AG14</f>
        <v>183680000</v>
      </c>
      <c r="Y14" s="34" t="s">
        <v>245</v>
      </c>
      <c r="Z14" s="34" t="s">
        <v>244</v>
      </c>
      <c r="AA14" s="637" t="s">
        <v>406</v>
      </c>
      <c r="AB14" s="637" t="s">
        <v>243</v>
      </c>
      <c r="AC14" s="41">
        <v>0.24</v>
      </c>
      <c r="AD14" s="41">
        <v>8.6999999999999993</v>
      </c>
      <c r="AE14" s="644">
        <v>94.697535474234499</v>
      </c>
      <c r="AF14" s="644">
        <v>90.28</v>
      </c>
      <c r="AG14" s="34">
        <v>420</v>
      </c>
      <c r="AH14" s="34" t="s">
        <v>242</v>
      </c>
      <c r="AI14" s="637" t="s">
        <v>241</v>
      </c>
      <c r="AJ14" s="637" t="s">
        <v>240</v>
      </c>
      <c r="AK14" s="34" t="s">
        <v>284</v>
      </c>
      <c r="AL14" s="34" t="s">
        <v>238</v>
      </c>
      <c r="AM14" s="637" t="s">
        <v>237</v>
      </c>
      <c r="AN14" s="34" t="s">
        <v>236</v>
      </c>
      <c r="AO14" s="34">
        <f>140/150*AG14</f>
        <v>392</v>
      </c>
      <c r="AP14" s="34">
        <v>150</v>
      </c>
      <c r="AQ14" s="34">
        <v>300</v>
      </c>
      <c r="AR14" s="643">
        <f>AO14/AQ14*1000</f>
        <v>1306.6666666666667</v>
      </c>
      <c r="AS14" s="38" t="s">
        <v>79</v>
      </c>
      <c r="AT14" s="38" t="s">
        <v>79</v>
      </c>
      <c r="AU14" s="34" t="s">
        <v>79</v>
      </c>
      <c r="AV14" s="34" t="s">
        <v>79</v>
      </c>
      <c r="AW14" s="34" t="s">
        <v>79</v>
      </c>
      <c r="AX14" s="38">
        <v>1000000000000</v>
      </c>
      <c r="AY14" s="38">
        <v>1600000000000</v>
      </c>
      <c r="AZ14" s="823">
        <f>AY14/AX14</f>
        <v>1.6</v>
      </c>
      <c r="BA14" s="41">
        <v>106.1</v>
      </c>
      <c r="BB14" s="41">
        <v>62</v>
      </c>
      <c r="BC14" s="635">
        <v>35000000000</v>
      </c>
      <c r="BD14" s="635">
        <v>59000000000</v>
      </c>
      <c r="BE14" s="642">
        <f>BD14/BC14</f>
        <v>1.6857142857142857</v>
      </c>
      <c r="BF14" s="636">
        <v>107.7</v>
      </c>
      <c r="BG14" s="636">
        <v>66.900000000000006</v>
      </c>
      <c r="BH14" s="636"/>
      <c r="BI14" s="636" t="s">
        <v>79</v>
      </c>
      <c r="BJ14" s="636"/>
      <c r="BK14" s="636" t="s">
        <v>79</v>
      </c>
      <c r="BL14" s="635">
        <f>(AX14*AP14/1000)/AG14</f>
        <v>357142857.14285713</v>
      </c>
      <c r="BM14" s="38">
        <f>(AY14*AP14/1000)/AG14</f>
        <v>571428571.42857146</v>
      </c>
      <c r="BN14" s="41">
        <f>BL14/L14</f>
        <v>816.63763066202091</v>
      </c>
      <c r="BO14" s="636">
        <f>BM14/L14</f>
        <v>1306.6202090592335</v>
      </c>
      <c r="BP14" s="635">
        <f>(BC14*AQ14/1000)/AO14</f>
        <v>26785714.285714287</v>
      </c>
      <c r="BQ14" s="38">
        <f>(BD14*AQ14/1000)/AO14</f>
        <v>45153061.224489793</v>
      </c>
      <c r="BR14" s="636">
        <f>BP14/L14</f>
        <v>61.247822299651574</v>
      </c>
      <c r="BS14" s="636">
        <f>BQ14/L14</f>
        <v>103.24632901941264</v>
      </c>
      <c r="BT14" s="635">
        <f>BQ14/M14</f>
        <v>461058.4256356128</v>
      </c>
      <c r="BU14" s="824">
        <f t="shared" si="6"/>
        <v>17700000000</v>
      </c>
      <c r="BV14" s="636">
        <v>6589.0291025501101</v>
      </c>
      <c r="BW14" s="635">
        <f>AX14/BV14</f>
        <v>151767428.01348022</v>
      </c>
      <c r="BX14" s="38">
        <f>AY14/BV14</f>
        <v>242827884.82156834</v>
      </c>
      <c r="BY14" s="34">
        <f>BV14*AP14/1000</f>
        <v>988.35436538251656</v>
      </c>
      <c r="BZ14" s="34">
        <f>BY14/AG14</f>
        <v>2.3532246794821825</v>
      </c>
      <c r="CA14" s="34">
        <f>BZ14/L14</f>
        <v>5.3808491146696247E-6</v>
      </c>
      <c r="CB14" s="641">
        <v>43.930678570398001</v>
      </c>
      <c r="CC14" s="635">
        <f>BC14/CB14</f>
        <v>796709751.33956158</v>
      </c>
      <c r="CD14" s="635">
        <f>BD14/CB14</f>
        <v>1343025009.4009752</v>
      </c>
      <c r="CE14" s="640">
        <f>CB14*AQ14/1000</f>
        <v>13.1792035711194</v>
      </c>
      <c r="CF14" s="639">
        <f>CE14/AO14</f>
        <v>3.3620417273263772E-2</v>
      </c>
      <c r="CG14" s="638">
        <f>CF14/L14</f>
        <v>7.6875954130938507E-8</v>
      </c>
      <c r="CH14" s="825">
        <f t="shared" si="7"/>
        <v>13.179203571119398</v>
      </c>
    </row>
    <row r="15" spans="1:86" s="828" customFormat="1" ht="56.4" customHeight="1" x14ac:dyDescent="0.3">
      <c r="A15" s="826" t="s">
        <v>283</v>
      </c>
      <c r="B15" s="827">
        <v>45359</v>
      </c>
      <c r="C15" s="827" t="s">
        <v>247</v>
      </c>
      <c r="D15" s="828">
        <v>13</v>
      </c>
      <c r="E15" s="829">
        <v>20.9</v>
      </c>
      <c r="F15" s="828" t="s">
        <v>246</v>
      </c>
      <c r="G15" s="830" t="s">
        <v>79</v>
      </c>
      <c r="H15" s="830">
        <v>311500.81566068518</v>
      </c>
      <c r="I15" s="830">
        <v>140175367.04730833</v>
      </c>
      <c r="J15" s="831">
        <v>440</v>
      </c>
      <c r="K15" s="830" t="s">
        <v>79</v>
      </c>
      <c r="L15" s="832">
        <v>408000</v>
      </c>
      <c r="M15" s="833">
        <v>107.93781857480218</v>
      </c>
      <c r="N15" s="829">
        <v>5.2598870056497162</v>
      </c>
      <c r="O15" s="829">
        <v>12.891879915808127</v>
      </c>
      <c r="P15" s="830" t="s">
        <v>79</v>
      </c>
      <c r="Q15" s="830" t="s">
        <v>79</v>
      </c>
      <c r="R15" s="830">
        <v>394666.66666666663</v>
      </c>
      <c r="S15" s="830"/>
      <c r="T15" s="830">
        <v>69000</v>
      </c>
      <c r="U15" s="829">
        <v>25.387005649717509</v>
      </c>
      <c r="V15" s="829">
        <v>64.325183234081535</v>
      </c>
      <c r="W15" s="830" t="s">
        <v>79</v>
      </c>
      <c r="X15" s="830">
        <f>L15*AG15</f>
        <v>177480000</v>
      </c>
      <c r="Y15" s="828" t="s">
        <v>245</v>
      </c>
      <c r="Z15" s="828" t="s">
        <v>244</v>
      </c>
      <c r="AA15" s="834" t="s">
        <v>406</v>
      </c>
      <c r="AB15" s="834" t="s">
        <v>243</v>
      </c>
      <c r="AC15" s="829">
        <v>0.24</v>
      </c>
      <c r="AD15" s="829">
        <v>8.6999999999999993</v>
      </c>
      <c r="AE15" s="835">
        <v>96.350364963503651</v>
      </c>
      <c r="AF15" s="835">
        <v>88.958990536277611</v>
      </c>
      <c r="AG15" s="828">
        <v>435</v>
      </c>
      <c r="AH15" s="828" t="s">
        <v>242</v>
      </c>
      <c r="AI15" s="834" t="s">
        <v>241</v>
      </c>
      <c r="AJ15" s="834" t="s">
        <v>240</v>
      </c>
      <c r="AK15" s="828" t="s">
        <v>239</v>
      </c>
      <c r="AL15" s="828" t="s">
        <v>238</v>
      </c>
      <c r="AM15" s="834" t="s">
        <v>237</v>
      </c>
      <c r="AN15" s="828" t="s">
        <v>236</v>
      </c>
      <c r="AO15" s="828">
        <v>435</v>
      </c>
      <c r="AP15" s="828">
        <v>140</v>
      </c>
      <c r="AQ15" s="828">
        <v>300</v>
      </c>
      <c r="AR15" s="831">
        <f>AO15/AQ15*1000</f>
        <v>1450</v>
      </c>
      <c r="AS15" s="830" t="s">
        <v>79</v>
      </c>
      <c r="AT15" s="830" t="s">
        <v>79</v>
      </c>
      <c r="AU15" s="828" t="s">
        <v>79</v>
      </c>
      <c r="AV15" s="828" t="s">
        <v>79</v>
      </c>
      <c r="AW15" s="828" t="s">
        <v>79</v>
      </c>
      <c r="AX15" s="828" t="s">
        <v>79</v>
      </c>
      <c r="AY15" s="828" t="s">
        <v>79</v>
      </c>
      <c r="AZ15" s="828" t="s">
        <v>79</v>
      </c>
      <c r="BA15" s="828" t="s">
        <v>79</v>
      </c>
      <c r="BB15" s="828" t="s">
        <v>79</v>
      </c>
      <c r="BC15" s="836">
        <v>180000000000</v>
      </c>
      <c r="BD15" s="836">
        <v>210000000000</v>
      </c>
      <c r="BE15" s="837">
        <f>BD15/BC15</f>
        <v>1.1666666666666667</v>
      </c>
      <c r="BF15" s="838">
        <v>106.1</v>
      </c>
      <c r="BG15" s="838">
        <v>74.8</v>
      </c>
      <c r="BH15" s="838" t="s">
        <v>79</v>
      </c>
      <c r="BI15" s="838" t="s">
        <v>79</v>
      </c>
      <c r="BJ15" s="838" t="s">
        <v>79</v>
      </c>
      <c r="BK15" s="838" t="s">
        <v>79</v>
      </c>
      <c r="BL15" s="838" t="s">
        <v>79</v>
      </c>
      <c r="BM15" s="838" t="s">
        <v>79</v>
      </c>
      <c r="BN15" s="838" t="s">
        <v>79</v>
      </c>
      <c r="BO15" s="838" t="s">
        <v>79</v>
      </c>
      <c r="BP15" s="836">
        <f>(BC15*AQ15/1000)/AO15</f>
        <v>124137931.03448276</v>
      </c>
      <c r="BQ15" s="830">
        <f>(BD15*AQ15/1000)/AO15</f>
        <v>144827586.20689654</v>
      </c>
      <c r="BR15" s="838">
        <f>BP15/L15</f>
        <v>304.25963488843814</v>
      </c>
      <c r="BS15" s="838">
        <f>BQ15/L15</f>
        <v>354.96957403651112</v>
      </c>
      <c r="BT15" s="836">
        <f>BQ15/M15</f>
        <v>1341768.6971923499</v>
      </c>
      <c r="BU15" s="839">
        <f t="shared" si="6"/>
        <v>63000000000</v>
      </c>
      <c r="BV15" s="838" t="s">
        <v>79</v>
      </c>
      <c r="BW15" s="836" t="s">
        <v>79</v>
      </c>
      <c r="BX15" s="830" t="s">
        <v>79</v>
      </c>
      <c r="BY15" s="828" t="s">
        <v>79</v>
      </c>
      <c r="BZ15" s="828" t="s">
        <v>79</v>
      </c>
      <c r="CA15" s="828" t="s">
        <v>79</v>
      </c>
      <c r="CB15" s="840">
        <v>226.98899589337026</v>
      </c>
      <c r="CC15" s="836">
        <f>BC15/CB15</f>
        <v>792989983.02347803</v>
      </c>
      <c r="CD15" s="836">
        <f>BD15/CB15</f>
        <v>925154980.1940577</v>
      </c>
      <c r="CE15" s="841">
        <f>CB15*AQ15/1000</f>
        <v>68.09669876801108</v>
      </c>
      <c r="CF15" s="842">
        <f>CE15/AO15</f>
        <v>0.15654413509887605</v>
      </c>
      <c r="CG15" s="843">
        <f>CF15/L15</f>
        <v>3.8368660563450013E-7</v>
      </c>
      <c r="CH15" s="844">
        <f t="shared" si="7"/>
        <v>68.09669876801108</v>
      </c>
    </row>
    <row r="16" spans="1:86" s="415" customFormat="1" ht="15.6" x14ac:dyDescent="0.3">
      <c r="G16" s="631"/>
      <c r="H16" s="631"/>
      <c r="J16" s="525"/>
      <c r="K16" s="631"/>
      <c r="L16" s="524"/>
      <c r="M16" s="524"/>
      <c r="N16" s="524"/>
      <c r="O16" s="524"/>
      <c r="W16" s="547"/>
      <c r="AG16" s="547"/>
      <c r="AO16" s="380"/>
      <c r="AS16" s="631"/>
      <c r="AT16" s="631"/>
      <c r="AZ16" s="634"/>
      <c r="BA16" s="632"/>
      <c r="BB16" s="632"/>
      <c r="BC16" s="547"/>
      <c r="BD16" s="547"/>
      <c r="BE16" s="633"/>
      <c r="BF16" s="629"/>
      <c r="BG16" s="629"/>
      <c r="BH16" s="629"/>
      <c r="BI16" s="629"/>
      <c r="BJ16" s="629"/>
      <c r="BK16" s="629"/>
      <c r="BL16" s="631"/>
      <c r="BM16" s="631"/>
      <c r="BN16" s="632"/>
      <c r="BO16" s="632"/>
      <c r="BP16" s="631"/>
      <c r="BQ16" s="631"/>
      <c r="BR16" s="518"/>
      <c r="BS16" s="518"/>
      <c r="BT16" s="518"/>
      <c r="BU16" s="518"/>
      <c r="BV16" s="629"/>
      <c r="BX16" s="630"/>
      <c r="BY16" s="547"/>
      <c r="BZ16" s="547"/>
      <c r="CA16" s="547"/>
      <c r="CC16" s="846"/>
      <c r="CD16" s="846"/>
      <c r="CE16" s="847"/>
      <c r="CF16" s="847"/>
      <c r="CG16" s="847"/>
      <c r="CH16" s="847"/>
    </row>
    <row r="17" spans="1:86" s="540" customFormat="1" ht="23.4" x14ac:dyDescent="0.3">
      <c r="A17" s="546" t="s">
        <v>282</v>
      </c>
      <c r="G17" s="539"/>
      <c r="H17" s="539">
        <f>AVERAGE(H18:H21)</f>
        <v>310278.98740164854</v>
      </c>
      <c r="I17" s="539">
        <f>AVERAGE(I18:I21)</f>
        <v>149748888.70075738</v>
      </c>
      <c r="J17" s="539"/>
      <c r="K17" s="539"/>
      <c r="L17" s="539">
        <f>AVERAGE(L18:L21)</f>
        <v>319277.77777777775</v>
      </c>
      <c r="M17" s="539"/>
      <c r="N17" s="543">
        <f>AVERAGE(N18:N21)</f>
        <v>23.566723882536465</v>
      </c>
      <c r="O17" s="543">
        <f>AVERAGE(O18:O21)</f>
        <v>73.747308528208094</v>
      </c>
      <c r="P17" s="539"/>
      <c r="Q17" s="539"/>
      <c r="R17" s="539">
        <f>AVERAGE(R18:R21)</f>
        <v>350000</v>
      </c>
      <c r="S17" s="539"/>
      <c r="T17" s="539">
        <f>AVERAGE(T18:T21)</f>
        <v>26000</v>
      </c>
      <c r="U17" s="539">
        <f>AVERAGE(U18:U21)</f>
        <v>28.337863363642036</v>
      </c>
      <c r="V17" s="539">
        <f>AVERAGE(V18:V21)</f>
        <v>80.754006753097386</v>
      </c>
      <c r="W17" s="539"/>
      <c r="X17" s="539">
        <f>AVERAGE(X18:X21)</f>
        <v>118271111.1111111</v>
      </c>
      <c r="Y17" s="539"/>
      <c r="Z17" s="539"/>
      <c r="AA17" s="539"/>
      <c r="AB17" s="539"/>
      <c r="AC17" s="541">
        <f>AVERAGE(AC18:AC21)</f>
        <v>0.41</v>
      </c>
      <c r="AD17" s="541"/>
      <c r="AE17" s="543">
        <f t="shared" ref="AE17:AR17" si="8">AVERAGE(AE18:AE21)</f>
        <v>94.415243565712771</v>
      </c>
      <c r="AF17" s="543">
        <f t="shared" si="8"/>
        <v>89.456740804628964</v>
      </c>
      <c r="AG17" s="539">
        <f t="shared" si="8"/>
        <v>370</v>
      </c>
      <c r="AH17" s="539" t="e">
        <f t="shared" si="8"/>
        <v>#DIV/0!</v>
      </c>
      <c r="AI17" s="539" t="e">
        <f t="shared" si="8"/>
        <v>#DIV/0!</v>
      </c>
      <c r="AJ17" s="539" t="e">
        <f t="shared" si="8"/>
        <v>#DIV/0!</v>
      </c>
      <c r="AK17" s="539" t="e">
        <f t="shared" si="8"/>
        <v>#DIV/0!</v>
      </c>
      <c r="AL17" s="539">
        <f t="shared" si="8"/>
        <v>5</v>
      </c>
      <c r="AM17" s="539" t="e">
        <f t="shared" si="8"/>
        <v>#DIV/0!</v>
      </c>
      <c r="AN17" s="539" t="e">
        <f t="shared" si="8"/>
        <v>#DIV/0!</v>
      </c>
      <c r="AO17" s="539">
        <f t="shared" si="8"/>
        <v>356.66666666666663</v>
      </c>
      <c r="AP17" s="539">
        <f t="shared" si="8"/>
        <v>141.25</v>
      </c>
      <c r="AQ17" s="539">
        <f t="shared" si="8"/>
        <v>296.25</v>
      </c>
      <c r="AR17" s="539">
        <f t="shared" si="8"/>
        <v>1204.6783625730993</v>
      </c>
      <c r="AS17" s="539"/>
      <c r="AT17" s="539"/>
      <c r="AU17" s="539"/>
      <c r="AV17" s="539"/>
      <c r="AW17" s="539"/>
      <c r="AX17" s="539">
        <f t="shared" ref="AX17:BG17" si="9">AVERAGE(AX18:AX21)</f>
        <v>2750000000000</v>
      </c>
      <c r="AY17" s="539">
        <f t="shared" si="9"/>
        <v>2075000000000</v>
      </c>
      <c r="AZ17" s="542">
        <f t="shared" si="9"/>
        <v>0.75378787878787878</v>
      </c>
      <c r="BA17" s="541">
        <f t="shared" si="9"/>
        <v>93.13</v>
      </c>
      <c r="BB17" s="541">
        <f t="shared" si="9"/>
        <v>69.7</v>
      </c>
      <c r="BC17" s="539">
        <f t="shared" si="9"/>
        <v>375000000000</v>
      </c>
      <c r="BD17" s="539">
        <f t="shared" si="9"/>
        <v>312500000000</v>
      </c>
      <c r="BE17" s="542">
        <f t="shared" si="9"/>
        <v>0.84294217687074824</v>
      </c>
      <c r="BF17" s="541">
        <f t="shared" si="9"/>
        <v>90.575000000000003</v>
      </c>
      <c r="BG17" s="541">
        <f t="shared" si="9"/>
        <v>72.924999999999997</v>
      </c>
      <c r="BH17" s="541"/>
      <c r="BI17" s="541"/>
      <c r="BJ17" s="541"/>
      <c r="BK17" s="541"/>
      <c r="BL17" s="539">
        <f t="shared" ref="BL17:CH17" si="10">AVERAGE(BL18:BL21)</f>
        <v>962500000</v>
      </c>
      <c r="BM17" s="539">
        <f t="shared" si="10"/>
        <v>726250000</v>
      </c>
      <c r="BN17" s="541">
        <f t="shared" si="10"/>
        <v>3005.6652969547122</v>
      </c>
      <c r="BO17" s="541">
        <f t="shared" si="10"/>
        <v>2267.7892065537235</v>
      </c>
      <c r="BP17" s="539">
        <f t="shared" si="10"/>
        <v>309375000</v>
      </c>
      <c r="BQ17" s="539">
        <f t="shared" si="10"/>
        <v>257991071.42857143</v>
      </c>
      <c r="BR17" s="541">
        <f t="shared" si="10"/>
        <v>968.32112320205613</v>
      </c>
      <c r="BS17" s="541">
        <f t="shared" si="10"/>
        <v>806.97500630815466</v>
      </c>
      <c r="BT17" s="539">
        <f t="shared" si="10"/>
        <v>1840531.0556198333</v>
      </c>
      <c r="BU17" s="539"/>
      <c r="BV17" s="541">
        <f t="shared" si="10"/>
        <v>5276.7134489344953</v>
      </c>
      <c r="BW17" s="539">
        <f t="shared" si="10"/>
        <v>532458981.75553596</v>
      </c>
      <c r="BX17" s="539">
        <f t="shared" si="10"/>
        <v>401912524.15548092</v>
      </c>
      <c r="BY17" s="541">
        <f t="shared" si="10"/>
        <v>738.73988285082919</v>
      </c>
      <c r="BZ17" s="539">
        <f t="shared" si="10"/>
        <v>1.8468497071270731</v>
      </c>
      <c r="CA17" s="539">
        <f t="shared" si="10"/>
        <v>5.7851408645006226E-6</v>
      </c>
      <c r="CB17" s="540">
        <f t="shared" si="10"/>
        <v>198.00740053678675</v>
      </c>
      <c r="CC17" s="539">
        <f t="shared" si="10"/>
        <v>1937769954.9426727</v>
      </c>
      <c r="CD17" s="539">
        <f t="shared" si="10"/>
        <v>1605646328.5432844</v>
      </c>
      <c r="CE17" s="541">
        <f t="shared" si="10"/>
        <v>58.386902839063495</v>
      </c>
      <c r="CF17" s="539">
        <f t="shared" si="10"/>
        <v>0.1634673138030151</v>
      </c>
      <c r="CG17" s="539">
        <f t="shared" si="10"/>
        <v>5.10151580392384E-7</v>
      </c>
      <c r="CH17" s="539">
        <f t="shared" si="10"/>
        <v>58.386902839063495</v>
      </c>
    </row>
    <row r="18" spans="1:86" s="614" customFormat="1" ht="43.2" x14ac:dyDescent="0.3">
      <c r="A18" s="624" t="s">
        <v>281</v>
      </c>
      <c r="B18" s="628">
        <v>45219</v>
      </c>
      <c r="C18" s="628" t="s">
        <v>280</v>
      </c>
      <c r="D18" s="614">
        <v>15</v>
      </c>
      <c r="E18" s="614">
        <v>25.58</v>
      </c>
      <c r="F18" s="614" t="s">
        <v>269</v>
      </c>
      <c r="G18" s="618" t="s">
        <v>79</v>
      </c>
      <c r="H18" s="618">
        <v>305042.01680672274</v>
      </c>
      <c r="I18" s="618">
        <f>H18*230*2</f>
        <v>140319327.73109245</v>
      </c>
      <c r="J18" s="851">
        <f>245*2</f>
        <v>490</v>
      </c>
      <c r="K18" s="618" t="s">
        <v>79</v>
      </c>
      <c r="L18" s="627">
        <v>306000</v>
      </c>
      <c r="M18" s="626">
        <v>128.96384340828865</v>
      </c>
      <c r="N18" s="625">
        <v>21.594292803970227</v>
      </c>
      <c r="O18" s="625">
        <f>N18/L18*1000000</f>
        <v>70.569584326700081</v>
      </c>
      <c r="P18" s="618" t="s">
        <v>79</v>
      </c>
      <c r="Q18" s="618" t="s">
        <v>79</v>
      </c>
      <c r="R18" s="618">
        <v>308444.44444444438</v>
      </c>
      <c r="S18" s="618"/>
      <c r="T18" s="618">
        <v>37000</v>
      </c>
      <c r="U18" s="625">
        <v>19.658808933002483</v>
      </c>
      <c r="V18" s="625">
        <f>U18/R18*1000000</f>
        <v>63.735331555123338</v>
      </c>
      <c r="W18" s="618" t="s">
        <v>79</v>
      </c>
      <c r="X18" s="618">
        <f>L18*AG18</f>
        <v>97920000</v>
      </c>
      <c r="Y18" s="614" t="s">
        <v>245</v>
      </c>
      <c r="Z18" s="614" t="s">
        <v>256</v>
      </c>
      <c r="AA18" s="614" t="s">
        <v>406</v>
      </c>
      <c r="AB18" s="614" t="s">
        <v>268</v>
      </c>
      <c r="AC18" s="614">
        <v>0.41</v>
      </c>
      <c r="AD18" s="614">
        <v>9</v>
      </c>
      <c r="AE18" s="625">
        <v>94.271709978729305</v>
      </c>
      <c r="AF18" s="625">
        <v>86.318330729548279</v>
      </c>
      <c r="AG18" s="615">
        <v>320</v>
      </c>
      <c r="AH18" s="614" t="s">
        <v>262</v>
      </c>
      <c r="AI18" s="614" t="s">
        <v>267</v>
      </c>
      <c r="AJ18" s="614" t="s">
        <v>277</v>
      </c>
      <c r="AK18" s="614" t="s">
        <v>279</v>
      </c>
      <c r="AL18" s="614">
        <v>5</v>
      </c>
      <c r="AM18" s="614" t="s">
        <v>264</v>
      </c>
      <c r="AN18" s="614" t="s">
        <v>236</v>
      </c>
      <c r="AO18" s="624">
        <v>320</v>
      </c>
      <c r="AP18" s="614">
        <v>145</v>
      </c>
      <c r="AQ18" s="614">
        <v>300</v>
      </c>
      <c r="AR18" s="623">
        <f>AO18/AQ18*1000</f>
        <v>1066.6666666666667</v>
      </c>
      <c r="AS18" s="618" t="s">
        <v>79</v>
      </c>
      <c r="AT18" s="618" t="s">
        <v>79</v>
      </c>
      <c r="AU18" s="614" t="s">
        <v>79</v>
      </c>
      <c r="AV18" s="614" t="s">
        <v>79</v>
      </c>
      <c r="AW18" s="614" t="s">
        <v>79</v>
      </c>
      <c r="AX18" s="614" t="s">
        <v>79</v>
      </c>
      <c r="AY18" s="614" t="s">
        <v>79</v>
      </c>
      <c r="AZ18" s="622" t="s">
        <v>79</v>
      </c>
      <c r="BA18" s="616" t="s">
        <v>79</v>
      </c>
      <c r="BB18" s="616" t="s">
        <v>79</v>
      </c>
      <c r="BC18" s="618">
        <v>280000000000</v>
      </c>
      <c r="BD18" s="618">
        <v>240000000000</v>
      </c>
      <c r="BE18" s="621">
        <f>BD18/BC18</f>
        <v>0.8571428571428571</v>
      </c>
      <c r="BF18" s="620">
        <v>93.5</v>
      </c>
      <c r="BG18" s="620">
        <v>72.599999999999994</v>
      </c>
      <c r="BH18" s="620" t="s">
        <v>79</v>
      </c>
      <c r="BI18" s="620" t="s">
        <v>79</v>
      </c>
      <c r="BJ18" s="620" t="s">
        <v>79</v>
      </c>
      <c r="BK18" s="620" t="s">
        <v>79</v>
      </c>
      <c r="BL18" s="618" t="s">
        <v>79</v>
      </c>
      <c r="BM18" s="618" t="s">
        <v>79</v>
      </c>
      <c r="BN18" s="616" t="s">
        <v>79</v>
      </c>
      <c r="BO18" s="616" t="s">
        <v>79</v>
      </c>
      <c r="BP18" s="618">
        <f>(BC18*AQ18/1000)/AO18</f>
        <v>262500000</v>
      </c>
      <c r="BQ18" s="618">
        <f>(BD18*AQ18/1000)/AO18</f>
        <v>225000000</v>
      </c>
      <c r="BR18" s="619">
        <f>BP18/L18</f>
        <v>857.84313725490199</v>
      </c>
      <c r="BS18" s="619">
        <f>BQ18/L18</f>
        <v>735.29411764705878</v>
      </c>
      <c r="BT18" s="559">
        <f>BQ18/M18</f>
        <v>1744675.0504144714</v>
      </c>
      <c r="BU18" s="559">
        <f>BQ18*AO18</f>
        <v>72000000000</v>
      </c>
      <c r="BV18" s="616" t="s">
        <v>79</v>
      </c>
      <c r="BW18" s="614" t="s">
        <v>79</v>
      </c>
      <c r="BX18" s="618" t="s">
        <v>79</v>
      </c>
      <c r="BY18" s="614" t="s">
        <v>79</v>
      </c>
      <c r="BZ18" s="614" t="s">
        <v>79</v>
      </c>
      <c r="CA18" s="614" t="s">
        <v>79</v>
      </c>
      <c r="CB18" s="614">
        <v>154.112940332444</v>
      </c>
      <c r="CC18" s="559">
        <f>BC18/CB18</f>
        <v>1816849379.3966901</v>
      </c>
      <c r="CD18" s="559">
        <f>BD18/CB18</f>
        <v>1557299468.0543058</v>
      </c>
      <c r="CE18" s="617">
        <f>CB18*AQ18/1000</f>
        <v>46.233882099733201</v>
      </c>
      <c r="CF18" s="617">
        <f>CE18/AO18</f>
        <v>0.14448088156166625</v>
      </c>
      <c r="CG18" s="559">
        <f>CF18/L18</f>
        <v>4.7215974366557597E-7</v>
      </c>
      <c r="CH18" s="618">
        <f>CF18*AO18</f>
        <v>46.233882099733201</v>
      </c>
    </row>
    <row r="19" spans="1:86" s="597" customFormat="1" ht="43.2" x14ac:dyDescent="0.3">
      <c r="A19" s="606" t="s">
        <v>278</v>
      </c>
      <c r="B19" s="613">
        <v>45226</v>
      </c>
      <c r="C19" s="613" t="s">
        <v>273</v>
      </c>
      <c r="D19" s="597">
        <v>12</v>
      </c>
      <c r="E19" s="597">
        <v>18.77</v>
      </c>
      <c r="F19" s="607" t="s">
        <v>269</v>
      </c>
      <c r="G19" s="609" t="s">
        <v>79</v>
      </c>
      <c r="H19" s="601">
        <v>310534.71667996806</v>
      </c>
      <c r="I19" s="601">
        <f>H19*245*2</f>
        <v>152162011.17318434</v>
      </c>
      <c r="J19" s="852">
        <f>245*2</f>
        <v>490</v>
      </c>
      <c r="K19" s="609" t="s">
        <v>79</v>
      </c>
      <c r="L19" s="612">
        <v>332000</v>
      </c>
      <c r="M19" s="611">
        <v>150.63294902785756</v>
      </c>
      <c r="N19" s="608">
        <v>25.476190476190474</v>
      </c>
      <c r="O19" s="610">
        <f>N19/L19*1000000</f>
        <v>76.735513482501432</v>
      </c>
      <c r="P19" s="609" t="s">
        <v>79</v>
      </c>
      <c r="Q19" s="609" t="s">
        <v>79</v>
      </c>
      <c r="R19" s="601">
        <v>351555.55555555556</v>
      </c>
      <c r="S19" s="601"/>
      <c r="T19" s="601">
        <v>27000</v>
      </c>
      <c r="U19" s="608">
        <v>42.769423558897245</v>
      </c>
      <c r="V19" s="610">
        <f>U19/R19*1000000</f>
        <v>121.65765234831707</v>
      </c>
      <c r="W19" s="609" t="s">
        <v>79</v>
      </c>
      <c r="X19" s="601">
        <f>L19*AG19</f>
        <v>119520000</v>
      </c>
      <c r="Y19" s="597" t="s">
        <v>245</v>
      </c>
      <c r="Z19" s="597" t="s">
        <v>256</v>
      </c>
      <c r="AA19" s="607" t="s">
        <v>406</v>
      </c>
      <c r="AB19" s="607" t="s">
        <v>268</v>
      </c>
      <c r="AC19" s="607">
        <v>0.41</v>
      </c>
      <c r="AD19" s="607">
        <v>9</v>
      </c>
      <c r="AE19" s="608">
        <v>94.943821101004716</v>
      </c>
      <c r="AF19" s="608">
        <v>90.864845482712497</v>
      </c>
      <c r="AG19" s="598">
        <v>360</v>
      </c>
      <c r="AH19" s="607" t="s">
        <v>262</v>
      </c>
      <c r="AI19" s="607" t="s">
        <v>267</v>
      </c>
      <c r="AJ19" s="607" t="s">
        <v>277</v>
      </c>
      <c r="AK19" s="597" t="s">
        <v>276</v>
      </c>
      <c r="AL19" s="597">
        <v>5</v>
      </c>
      <c r="AM19" s="607" t="s">
        <v>264</v>
      </c>
      <c r="AN19" s="607" t="s">
        <v>275</v>
      </c>
      <c r="AO19" s="606">
        <v>360</v>
      </c>
      <c r="AP19" s="597">
        <v>140</v>
      </c>
      <c r="AQ19" s="597">
        <v>285</v>
      </c>
      <c r="AR19" s="605">
        <f>AO19/AQ19*1000</f>
        <v>1263.1578947368421</v>
      </c>
      <c r="AS19" s="601" t="s">
        <v>79</v>
      </c>
      <c r="AT19" s="601" t="s">
        <v>79</v>
      </c>
      <c r="AU19" s="597" t="s">
        <v>79</v>
      </c>
      <c r="AV19" s="597" t="s">
        <v>79</v>
      </c>
      <c r="AW19" s="597" t="s">
        <v>79</v>
      </c>
      <c r="AX19" s="597" t="s">
        <v>79</v>
      </c>
      <c r="AY19" s="597" t="s">
        <v>79</v>
      </c>
      <c r="AZ19" s="604" t="s">
        <v>79</v>
      </c>
      <c r="BA19" s="602" t="s">
        <v>79</v>
      </c>
      <c r="BB19" s="602" t="s">
        <v>79</v>
      </c>
      <c r="BC19" s="601">
        <v>450000000000</v>
      </c>
      <c r="BD19" s="601">
        <v>390000000000</v>
      </c>
      <c r="BE19" s="604">
        <f>BD19/BC19</f>
        <v>0.8666666666666667</v>
      </c>
      <c r="BF19" s="602">
        <v>85.3</v>
      </c>
      <c r="BG19" s="602">
        <v>70.8</v>
      </c>
      <c r="BH19" s="602" t="s">
        <v>79</v>
      </c>
      <c r="BI19" s="602" t="s">
        <v>79</v>
      </c>
      <c r="BJ19" s="602" t="s">
        <v>79</v>
      </c>
      <c r="BK19" s="602" t="s">
        <v>79</v>
      </c>
      <c r="BL19" s="601" t="s">
        <v>79</v>
      </c>
      <c r="BM19" s="601" t="s">
        <v>79</v>
      </c>
      <c r="BN19" s="602" t="s">
        <v>79</v>
      </c>
      <c r="BO19" s="602" t="s">
        <v>79</v>
      </c>
      <c r="BP19" s="601">
        <f>(BC19*AQ19/1000)/AO19</f>
        <v>356250000</v>
      </c>
      <c r="BQ19" s="601">
        <f>(BD19*AQ19/1000)/AO19</f>
        <v>308750000</v>
      </c>
      <c r="BR19" s="603">
        <f>BP19/L19</f>
        <v>1073.0421686746988</v>
      </c>
      <c r="BS19" s="603">
        <f>BQ19/L19</f>
        <v>929.96987951807228</v>
      </c>
      <c r="BT19" s="599">
        <f>BQ19/M19</f>
        <v>2049684.3618383969</v>
      </c>
      <c r="BU19" s="599">
        <f>BQ19*AO19</f>
        <v>111150000000</v>
      </c>
      <c r="BV19" s="602" t="s">
        <v>79</v>
      </c>
      <c r="BW19" s="597" t="s">
        <v>79</v>
      </c>
      <c r="BX19" s="601" t="s">
        <v>79</v>
      </c>
      <c r="BY19" s="597" t="s">
        <v>79</v>
      </c>
      <c r="BZ19" s="597" t="s">
        <v>79</v>
      </c>
      <c r="CA19" s="597" t="s">
        <v>79</v>
      </c>
      <c r="CB19" s="597">
        <v>270.75128585934249</v>
      </c>
      <c r="CC19" s="599">
        <f>BC19/CB19</f>
        <v>1662041968.0436113</v>
      </c>
      <c r="CD19" s="599">
        <f>BD19/CB19</f>
        <v>1440436372.3044631</v>
      </c>
      <c r="CE19" s="600">
        <f>CB19*AQ19/1000</f>
        <v>77.164116469912614</v>
      </c>
      <c r="CF19" s="600">
        <f>CE19/AO19</f>
        <v>0.21434476797197949</v>
      </c>
      <c r="CG19" s="599">
        <f>CF19/L19</f>
        <v>6.4561677099993824E-7</v>
      </c>
      <c r="CH19" s="609">
        <f t="shared" ref="CH19:CH21" si="11">CF19*AO19</f>
        <v>77.164116469912614</v>
      </c>
    </row>
    <row r="20" spans="1:86" s="575" customFormat="1" ht="46.8" customHeight="1" x14ac:dyDescent="0.3">
      <c r="A20" s="596" t="s">
        <v>274</v>
      </c>
      <c r="B20" s="595">
        <v>45240</v>
      </c>
      <c r="C20" s="575" t="s">
        <v>273</v>
      </c>
      <c r="D20" s="575">
        <v>16</v>
      </c>
      <c r="E20" s="575">
        <v>29.1</v>
      </c>
      <c r="F20" s="576" t="s">
        <v>269</v>
      </c>
      <c r="G20" s="583" t="s">
        <v>79</v>
      </c>
      <c r="H20" s="583">
        <v>315532.11888782401</v>
      </c>
      <c r="I20" s="583">
        <f>H20*245*2</f>
        <v>154610738.25503376</v>
      </c>
      <c r="J20" s="853">
        <f>245*2</f>
        <v>490</v>
      </c>
      <c r="K20" s="583" t="s">
        <v>79</v>
      </c>
      <c r="L20" s="594">
        <v>316000</v>
      </c>
      <c r="M20" s="593">
        <v>124.50180158880693</v>
      </c>
      <c r="N20" s="592">
        <v>23.195180722891568</v>
      </c>
      <c r="O20" s="592">
        <f>N20/L20*1000000</f>
        <v>73.402470642061914</v>
      </c>
      <c r="P20" s="576" t="s">
        <v>79</v>
      </c>
      <c r="Q20" s="575" t="s">
        <v>79</v>
      </c>
      <c r="R20" s="583">
        <v>368000</v>
      </c>
      <c r="S20" s="583"/>
      <c r="T20" s="583">
        <v>17500</v>
      </c>
      <c r="U20" s="591">
        <v>25.074698795180723</v>
      </c>
      <c r="V20" s="592">
        <f>U20/R20*1000000</f>
        <v>68.13776846516501</v>
      </c>
      <c r="W20" s="575" t="s">
        <v>79</v>
      </c>
      <c r="X20" s="580">
        <f>L20*AG20</f>
        <v>126400000</v>
      </c>
      <c r="Y20" s="575" t="s">
        <v>245</v>
      </c>
      <c r="Z20" s="575" t="s">
        <v>256</v>
      </c>
      <c r="AA20" s="575" t="s">
        <v>406</v>
      </c>
      <c r="AB20" s="575" t="s">
        <v>268</v>
      </c>
      <c r="AC20" s="575">
        <v>0.41</v>
      </c>
      <c r="AD20" s="575">
        <v>9</v>
      </c>
      <c r="AE20" s="591">
        <v>95.240006206202239</v>
      </c>
      <c r="AF20" s="591">
        <v>90.24146765990065</v>
      </c>
      <c r="AG20" s="590">
        <v>400</v>
      </c>
      <c r="AH20" s="575" t="s">
        <v>262</v>
      </c>
      <c r="AI20" s="575" t="s">
        <v>267</v>
      </c>
      <c r="AJ20" s="575" t="s">
        <v>266</v>
      </c>
      <c r="AK20" s="575" t="s">
        <v>272</v>
      </c>
      <c r="AL20" s="575">
        <v>5</v>
      </c>
      <c r="AM20" s="575" t="s">
        <v>264</v>
      </c>
      <c r="AN20" s="575" t="s">
        <v>263</v>
      </c>
      <c r="AO20" s="589">
        <f>140/150*400</f>
        <v>373.33333333333331</v>
      </c>
      <c r="AP20" s="575">
        <v>140</v>
      </c>
      <c r="AQ20" s="575">
        <v>300</v>
      </c>
      <c r="AR20" s="588">
        <f>AO20/AQ20*1000</f>
        <v>1244.4444444444446</v>
      </c>
      <c r="AS20" s="583" t="s">
        <v>79</v>
      </c>
      <c r="AT20" s="583" t="s">
        <v>79</v>
      </c>
      <c r="AU20" s="575" t="s">
        <v>79</v>
      </c>
      <c r="AV20" s="575" t="s">
        <v>79</v>
      </c>
      <c r="AW20" s="575" t="s">
        <v>79</v>
      </c>
      <c r="AX20" s="575">
        <v>2200000000000</v>
      </c>
      <c r="AY20" s="575">
        <v>1650000000000</v>
      </c>
      <c r="AZ20" s="587">
        <f>AY20/AX20</f>
        <v>0.75</v>
      </c>
      <c r="BA20" s="581">
        <v>94.1</v>
      </c>
      <c r="BB20" s="581">
        <v>70.7</v>
      </c>
      <c r="BC20" s="580">
        <v>490000000000</v>
      </c>
      <c r="BD20" s="580">
        <v>370000000000</v>
      </c>
      <c r="BE20" s="586">
        <f>BD20/BC20</f>
        <v>0.75510204081632648</v>
      </c>
      <c r="BF20" s="585">
        <v>97.2</v>
      </c>
      <c r="BG20" s="585">
        <v>73</v>
      </c>
      <c r="BH20" s="585" t="s">
        <v>79</v>
      </c>
      <c r="BI20" s="585" t="s">
        <v>79</v>
      </c>
      <c r="BJ20" s="585" t="s">
        <v>79</v>
      </c>
      <c r="BK20" s="585" t="s">
        <v>79</v>
      </c>
      <c r="BL20" s="583">
        <f>(AX20*AP20/1000)/AG20</f>
        <v>770000000</v>
      </c>
      <c r="BM20" s="583">
        <f>(AY20*AP20/1000)/AG20</f>
        <v>577500000</v>
      </c>
      <c r="BN20" s="581">
        <f>BL20/L20</f>
        <v>2436.7088607594937</v>
      </c>
      <c r="BO20" s="581">
        <f>BM20/L20</f>
        <v>1827.5316455696202</v>
      </c>
      <c r="BP20" s="584">
        <f>(BC20*AQ20/1000)/AO20</f>
        <v>393750000</v>
      </c>
      <c r="BQ20" s="583">
        <f>(BD20*AQ20/1000)/AO20</f>
        <v>297321428.5714286</v>
      </c>
      <c r="BR20" s="582">
        <f>BP20/L20</f>
        <v>1246.0443037974683</v>
      </c>
      <c r="BS20" s="582">
        <f>BQ20/L20</f>
        <v>940.89059674502721</v>
      </c>
      <c r="BT20" s="578">
        <f>BQ20/M20</f>
        <v>2388089.3671996361</v>
      </c>
      <c r="BU20" s="578">
        <f t="shared" ref="BU20:BU21" si="12">BQ20*AO20</f>
        <v>111000000000</v>
      </c>
      <c r="BV20" s="581">
        <v>5686.37118432429</v>
      </c>
      <c r="BW20" s="580">
        <f>AX20/BV20</f>
        <v>386889974.06021875</v>
      </c>
      <c r="BX20" s="580">
        <f>AY20/BV20</f>
        <v>290167480.54516405</v>
      </c>
      <c r="BY20" s="576">
        <f>BV20*AP20/1000</f>
        <v>796.0919658054006</v>
      </c>
      <c r="BZ20" s="577">
        <f>BY20/AG20</f>
        <v>1.9902299145135016</v>
      </c>
      <c r="CA20" s="580">
        <f>BZ20/L20</f>
        <v>6.298195932004752E-6</v>
      </c>
      <c r="CB20" s="576">
        <v>173.25261040281026</v>
      </c>
      <c r="CC20" s="578">
        <f>BC20/CB20</f>
        <v>2828240214.4519258</v>
      </c>
      <c r="CD20" s="578">
        <f>BD20/CB20</f>
        <v>2135609957.851454</v>
      </c>
      <c r="CE20" s="579">
        <f>CB20*AQ20/1000</f>
        <v>51.975783120843083</v>
      </c>
      <c r="CF20" s="579">
        <f>CE20/AO20</f>
        <v>0.13922084764511541</v>
      </c>
      <c r="CG20" s="578">
        <f>CF20/L20</f>
        <v>4.4057230267441586E-7</v>
      </c>
      <c r="CH20" s="580">
        <f t="shared" si="11"/>
        <v>51.975783120843083</v>
      </c>
    </row>
    <row r="21" spans="1:86" s="552" customFormat="1" ht="56.4" customHeight="1" x14ac:dyDescent="0.3">
      <c r="A21" s="574" t="s">
        <v>271</v>
      </c>
      <c r="B21" s="573">
        <v>45247</v>
      </c>
      <c r="C21" s="552" t="s">
        <v>270</v>
      </c>
      <c r="D21" s="552">
        <v>14</v>
      </c>
      <c r="E21" s="552">
        <v>23.81</v>
      </c>
      <c r="F21" s="552" t="s">
        <v>269</v>
      </c>
      <c r="G21" s="561" t="s">
        <v>79</v>
      </c>
      <c r="H21" s="561">
        <v>310007.09723207942</v>
      </c>
      <c r="I21" s="561">
        <f>H21*245*2</f>
        <v>151903477.64371893</v>
      </c>
      <c r="J21" s="854">
        <f>245*2</f>
        <v>490</v>
      </c>
      <c r="K21" s="561" t="s">
        <v>79</v>
      </c>
      <c r="L21" s="572">
        <v>323111.11111111112</v>
      </c>
      <c r="M21" s="571">
        <v>170.29502337304177</v>
      </c>
      <c r="N21" s="569">
        <v>24.001231527093601</v>
      </c>
      <c r="O21" s="569">
        <f>N21/L21*1000000</f>
        <v>74.281665661568923</v>
      </c>
      <c r="P21" s="553" t="s">
        <v>79</v>
      </c>
      <c r="Q21" s="552" t="s">
        <v>79</v>
      </c>
      <c r="R21" s="561">
        <v>372000</v>
      </c>
      <c r="S21" s="561"/>
      <c r="T21" s="561">
        <v>22500</v>
      </c>
      <c r="U21" s="570">
        <v>25.84852216748769</v>
      </c>
      <c r="V21" s="569">
        <f>U21/R21*1000000</f>
        <v>69.485274643784123</v>
      </c>
      <c r="W21" s="552" t="s">
        <v>79</v>
      </c>
      <c r="X21" s="557">
        <f>L21*AG21</f>
        <v>129244444.44444445</v>
      </c>
      <c r="Y21" s="552" t="s">
        <v>245</v>
      </c>
      <c r="Z21" s="552" t="s">
        <v>256</v>
      </c>
      <c r="AA21" s="552" t="s">
        <v>406</v>
      </c>
      <c r="AB21" s="552" t="s">
        <v>268</v>
      </c>
      <c r="AC21" s="552">
        <v>0.41</v>
      </c>
      <c r="AD21" s="552">
        <v>9</v>
      </c>
      <c r="AE21" s="552">
        <v>93.205436976914825</v>
      </c>
      <c r="AF21" s="552">
        <v>90.40231934635446</v>
      </c>
      <c r="AG21" s="568">
        <v>400</v>
      </c>
      <c r="AH21" s="552" t="s">
        <v>262</v>
      </c>
      <c r="AI21" s="552" t="s">
        <v>267</v>
      </c>
      <c r="AJ21" s="552" t="s">
        <v>266</v>
      </c>
      <c r="AK21" s="552" t="s">
        <v>265</v>
      </c>
      <c r="AL21" s="552">
        <v>5</v>
      </c>
      <c r="AM21" s="552" t="s">
        <v>264</v>
      </c>
      <c r="AN21" s="552" t="s">
        <v>263</v>
      </c>
      <c r="AO21" s="567">
        <v>373.33333333333331</v>
      </c>
      <c r="AP21" s="552">
        <v>140</v>
      </c>
      <c r="AQ21" s="552">
        <v>300</v>
      </c>
      <c r="AR21" s="566">
        <f>AO21/AQ21*1000</f>
        <v>1244.4444444444446</v>
      </c>
      <c r="AS21" s="561" t="s">
        <v>79</v>
      </c>
      <c r="AT21" s="561" t="s">
        <v>79</v>
      </c>
      <c r="AU21" s="552" t="s">
        <v>79</v>
      </c>
      <c r="AV21" s="552" t="s">
        <v>79</v>
      </c>
      <c r="AW21" s="552" t="s">
        <v>79</v>
      </c>
      <c r="AX21" s="561">
        <v>3300000000000</v>
      </c>
      <c r="AY21" s="561">
        <v>2500000000000</v>
      </c>
      <c r="AZ21" s="565">
        <f>AY21/AX21</f>
        <v>0.75757575757575757</v>
      </c>
      <c r="BA21" s="558">
        <v>92.16</v>
      </c>
      <c r="BB21" s="558">
        <v>68.7</v>
      </c>
      <c r="BC21" s="557">
        <v>280000000000</v>
      </c>
      <c r="BD21" s="557">
        <v>250000000000</v>
      </c>
      <c r="BE21" s="564">
        <f>BD21/BC21</f>
        <v>0.8928571428571429</v>
      </c>
      <c r="BF21" s="563">
        <v>86.3</v>
      </c>
      <c r="BG21" s="563">
        <v>75.3</v>
      </c>
      <c r="BH21" s="563" t="s">
        <v>79</v>
      </c>
      <c r="BI21" s="563" t="s">
        <v>79</v>
      </c>
      <c r="BJ21" s="563" t="s">
        <v>79</v>
      </c>
      <c r="BK21" s="563" t="s">
        <v>79</v>
      </c>
      <c r="BL21" s="561">
        <f>(AX21*AP21/1000)/AG21</f>
        <v>1155000000</v>
      </c>
      <c r="BM21" s="561">
        <f>(AY21*AP21/1000)/AG21</f>
        <v>875000000</v>
      </c>
      <c r="BN21" s="558">
        <f>BL21/L21</f>
        <v>3574.6217331499311</v>
      </c>
      <c r="BO21" s="558">
        <f>BM21/L21</f>
        <v>2708.0467675378268</v>
      </c>
      <c r="BP21" s="562">
        <f>(BC21*AQ21/1000)/AO21</f>
        <v>225000000</v>
      </c>
      <c r="BQ21" s="561">
        <f>(BD21*AQ21/1000)/AO21</f>
        <v>200892857.14285716</v>
      </c>
      <c r="BR21" s="560">
        <f>BP21/L21</f>
        <v>696.35488308115544</v>
      </c>
      <c r="BS21" s="560">
        <f>BQ21/L21</f>
        <v>621.74543132246026</v>
      </c>
      <c r="BT21" s="555">
        <f>BQ21/M21</f>
        <v>1179675.4430268286</v>
      </c>
      <c r="BU21" s="555">
        <f t="shared" si="12"/>
        <v>75000000000</v>
      </c>
      <c r="BV21" s="558">
        <v>4867.0557135446998</v>
      </c>
      <c r="BW21" s="557">
        <f>AX21/BV21</f>
        <v>678027989.45085311</v>
      </c>
      <c r="BX21" s="557">
        <f>AY21/BV21</f>
        <v>513657567.76579779</v>
      </c>
      <c r="BY21" s="553">
        <f>BV21*AP21/1000</f>
        <v>681.38779989625789</v>
      </c>
      <c r="BZ21" s="554">
        <f>BY21/AG21</f>
        <v>1.7034694997406448</v>
      </c>
      <c r="CA21" s="557">
        <f>BZ21/L21</f>
        <v>5.2720857969964932E-6</v>
      </c>
      <c r="CB21" s="553">
        <v>193.91276555255027</v>
      </c>
      <c r="CC21" s="555">
        <f>BC21/CB21</f>
        <v>1443948257.878464</v>
      </c>
      <c r="CD21" s="555">
        <f>BD21/CB21</f>
        <v>1289239515.9629145</v>
      </c>
      <c r="CE21" s="556">
        <f>CB21*AQ21/1000</f>
        <v>58.173829665765076</v>
      </c>
      <c r="CF21" s="556">
        <f>CE21/AO21</f>
        <v>0.15582275803329931</v>
      </c>
      <c r="CG21" s="555">
        <f>CF21/L21</f>
        <v>4.8225750422960589E-7</v>
      </c>
      <c r="CH21" s="557">
        <f t="shared" si="11"/>
        <v>58.173829665765076</v>
      </c>
    </row>
    <row r="22" spans="1:86" x14ac:dyDescent="0.3">
      <c r="AF22" s="329"/>
      <c r="AG22" s="547"/>
      <c r="BL22" s="521"/>
      <c r="BM22" s="521"/>
      <c r="BN22" s="517"/>
      <c r="BP22" s="521"/>
      <c r="BQ22" s="521"/>
      <c r="BR22" s="518"/>
      <c r="BS22" s="518"/>
      <c r="BT22" s="518"/>
      <c r="BU22" s="518"/>
    </row>
    <row r="23" spans="1:86" x14ac:dyDescent="0.3">
      <c r="AF23" s="329"/>
      <c r="AG23" s="547"/>
      <c r="BL23" s="521"/>
      <c r="BM23" s="521"/>
      <c r="BN23" s="517"/>
      <c r="BP23" s="521"/>
      <c r="BQ23" s="521"/>
      <c r="BR23" s="518"/>
      <c r="BS23" s="518"/>
      <c r="BT23" s="518"/>
      <c r="BU23" s="518"/>
    </row>
  </sheetData>
  <mergeCells count="5">
    <mergeCell ref="AS1:BG1"/>
    <mergeCell ref="AO1:AQ1"/>
    <mergeCell ref="AG1:AN1"/>
    <mergeCell ref="B1:AF1"/>
    <mergeCell ref="BV1:CH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40"/>
  <sheetViews>
    <sheetView topLeftCell="A13" zoomScale="66" zoomScaleNormal="66" workbookViewId="0">
      <selection activeCell="C37" sqref="C37"/>
    </sheetView>
  </sheetViews>
  <sheetFormatPr baseColWidth="10" defaultRowHeight="14.4" x14ac:dyDescent="0.3"/>
  <cols>
    <col min="1" max="1" width="25.6640625" customWidth="1"/>
    <col min="2" max="2" width="21.88671875" customWidth="1"/>
    <col min="3" max="3" width="23.33203125" bestFit="1" customWidth="1"/>
  </cols>
  <sheetData>
    <row r="2" spans="1:11" ht="31.2" x14ac:dyDescent="0.6">
      <c r="A2" s="937" t="s">
        <v>217</v>
      </c>
      <c r="B2" s="937"/>
      <c r="C2" s="937"/>
      <c r="D2" s="937"/>
      <c r="E2" s="937"/>
      <c r="F2" s="937"/>
      <c r="G2" s="937"/>
      <c r="H2" s="937"/>
      <c r="I2" s="937"/>
      <c r="J2" s="937"/>
      <c r="K2" s="937"/>
    </row>
    <row r="3" spans="1:11" x14ac:dyDescent="0.3">
      <c r="C3" s="938" t="s">
        <v>412</v>
      </c>
      <c r="D3" s="938"/>
      <c r="E3" s="938"/>
      <c r="F3" s="938"/>
      <c r="G3" s="938"/>
      <c r="H3" s="938"/>
      <c r="I3" s="938"/>
      <c r="J3" s="938"/>
    </row>
    <row r="4" spans="1:11" x14ac:dyDescent="0.3">
      <c r="A4" t="s">
        <v>407</v>
      </c>
      <c r="B4" t="s">
        <v>210</v>
      </c>
      <c r="C4" s="485">
        <v>50</v>
      </c>
      <c r="D4" s="485">
        <v>25</v>
      </c>
      <c r="E4" s="485">
        <v>12.5</v>
      </c>
      <c r="F4" s="485">
        <v>6.25</v>
      </c>
      <c r="G4" s="485">
        <v>3.125</v>
      </c>
      <c r="H4" s="485">
        <v>1.5625</v>
      </c>
      <c r="I4" s="485">
        <v>0.78125</v>
      </c>
    </row>
    <row r="5" spans="1:11" x14ac:dyDescent="0.3">
      <c r="A5" s="445" t="s">
        <v>216</v>
      </c>
      <c r="B5" s="445" t="s">
        <v>215</v>
      </c>
      <c r="C5" s="445">
        <v>2.3497500000000002</v>
      </c>
      <c r="D5" s="445">
        <v>1.3382499999999999</v>
      </c>
      <c r="E5" s="445">
        <v>0.69125000000000003</v>
      </c>
      <c r="F5" s="445">
        <v>0.35575000000000001</v>
      </c>
      <c r="G5" s="445">
        <v>0.18525000000000003</v>
      </c>
      <c r="H5" s="445">
        <v>8.5749999999999993E-2</v>
      </c>
      <c r="I5" s="445">
        <v>4.8250000000000015E-2</v>
      </c>
    </row>
    <row r="6" spans="1:11" x14ac:dyDescent="0.3">
      <c r="A6" s="445"/>
      <c r="B6" s="445" t="s">
        <v>214</v>
      </c>
      <c r="C6" s="445">
        <v>2.3426666666666662</v>
      </c>
      <c r="D6" s="445">
        <v>1.2856666666666667</v>
      </c>
      <c r="E6" s="445">
        <v>0.67666666666666675</v>
      </c>
      <c r="F6" s="445">
        <v>0.34933333333333333</v>
      </c>
      <c r="G6" s="445">
        <v>0.17966666666666659</v>
      </c>
      <c r="H6" s="445">
        <v>9.9333333333333385E-2</v>
      </c>
      <c r="I6" s="445">
        <v>3.833333333333333E-2</v>
      </c>
    </row>
    <row r="7" spans="1:11" x14ac:dyDescent="0.3">
      <c r="A7" s="445"/>
      <c r="B7" s="445" t="s">
        <v>213</v>
      </c>
      <c r="C7" s="445">
        <v>2.6023333333333332</v>
      </c>
      <c r="D7" s="445">
        <v>1.5726666666666667</v>
      </c>
      <c r="E7" s="445">
        <v>0.81833333333333347</v>
      </c>
      <c r="F7" s="445">
        <v>0.42966666666666675</v>
      </c>
      <c r="G7" s="445">
        <v>0.22066666666666668</v>
      </c>
      <c r="H7" s="445">
        <v>0.1313333333333333</v>
      </c>
      <c r="I7" s="445">
        <v>7.9666666666666663E-2</v>
      </c>
    </row>
    <row r="8" spans="1:11" x14ac:dyDescent="0.3">
      <c r="A8" s="445"/>
      <c r="B8" s="445" t="s">
        <v>212</v>
      </c>
      <c r="C8" s="445">
        <v>2.1691666666666665</v>
      </c>
      <c r="D8" s="445">
        <v>1.2128333333333334</v>
      </c>
      <c r="E8" s="445">
        <v>0.62116666666666664</v>
      </c>
      <c r="F8" s="445">
        <v>0.30416666666666664</v>
      </c>
      <c r="G8" s="445">
        <v>0.14316666666666672</v>
      </c>
      <c r="H8" s="445">
        <v>6.3166666666666704E-2</v>
      </c>
      <c r="I8" s="445">
        <v>2.9500000000000026E-2</v>
      </c>
    </row>
    <row r="9" spans="1:11" x14ac:dyDescent="0.3">
      <c r="A9" s="445"/>
      <c r="B9" s="445" t="s">
        <v>211</v>
      </c>
      <c r="C9" s="445">
        <v>2.3756666666666666</v>
      </c>
      <c r="D9" s="445">
        <v>1.3769999999999998</v>
      </c>
      <c r="E9" s="445">
        <v>0.72199999999999998</v>
      </c>
      <c r="F9" s="445">
        <v>0.38099999999999995</v>
      </c>
      <c r="G9" s="445">
        <v>0.2029999999999999</v>
      </c>
      <c r="H9" s="445">
        <v>0.10633333333333328</v>
      </c>
      <c r="I9" s="445">
        <v>6.5999999999999948E-2</v>
      </c>
    </row>
    <row r="10" spans="1:11" x14ac:dyDescent="0.3">
      <c r="A10" s="445"/>
      <c r="B10" s="483" t="s">
        <v>176</v>
      </c>
      <c r="C10" s="483">
        <f t="shared" ref="C10:I10" si="0">AVERAGE(C5:C9)</f>
        <v>2.3679166666666669</v>
      </c>
      <c r="D10" s="483">
        <f t="shared" si="0"/>
        <v>1.3572833333333332</v>
      </c>
      <c r="E10" s="483">
        <f t="shared" si="0"/>
        <v>0.70588333333333331</v>
      </c>
      <c r="F10" s="483">
        <f t="shared" si="0"/>
        <v>0.36398333333333333</v>
      </c>
      <c r="G10" s="483">
        <f t="shared" si="0"/>
        <v>0.18634999999999996</v>
      </c>
      <c r="H10" s="483">
        <f t="shared" si="0"/>
        <v>9.718333333333333E-2</v>
      </c>
      <c r="I10" s="483">
        <f t="shared" si="0"/>
        <v>5.2349999999999994E-2</v>
      </c>
    </row>
    <row r="13" spans="1:11" ht="31.2" x14ac:dyDescent="0.6">
      <c r="A13" s="937" t="s">
        <v>218</v>
      </c>
      <c r="B13" s="937"/>
      <c r="C13" s="937"/>
      <c r="D13" s="937"/>
      <c r="E13" s="937"/>
      <c r="F13" s="937"/>
      <c r="G13" s="937"/>
      <c r="H13" s="937"/>
      <c r="I13" s="937"/>
      <c r="J13" s="937"/>
      <c r="K13" s="937"/>
    </row>
    <row r="14" spans="1:11" x14ac:dyDescent="0.3">
      <c r="C14" s="938" t="s">
        <v>413</v>
      </c>
      <c r="D14" s="938"/>
      <c r="E14" s="938"/>
      <c r="F14" s="938"/>
      <c r="G14" s="938"/>
      <c r="H14" s="938"/>
      <c r="I14" s="938"/>
      <c r="J14" s="938"/>
    </row>
    <row r="15" spans="1:11" x14ac:dyDescent="0.3">
      <c r="A15" t="s">
        <v>407</v>
      </c>
      <c r="B15" s="4" t="s">
        <v>408</v>
      </c>
      <c r="C15" s="4" t="s">
        <v>409</v>
      </c>
      <c r="D15" s="490">
        <v>200000</v>
      </c>
      <c r="E15" s="488">
        <v>100000</v>
      </c>
      <c r="F15" s="488">
        <v>50000</v>
      </c>
      <c r="G15" s="488">
        <v>25000</v>
      </c>
      <c r="H15" s="488">
        <v>12500</v>
      </c>
      <c r="I15" s="488">
        <v>6250</v>
      </c>
      <c r="J15" s="488">
        <v>3125</v>
      </c>
      <c r="K15" s="488">
        <v>1562.5</v>
      </c>
    </row>
    <row r="16" spans="1:11" x14ac:dyDescent="0.3">
      <c r="B16" s="4" t="s">
        <v>208</v>
      </c>
      <c r="C16" s="4" t="s">
        <v>207</v>
      </c>
      <c r="D16" s="4">
        <v>4.0470000000000006</v>
      </c>
      <c r="E16" s="4">
        <v>2.3890000000000002</v>
      </c>
      <c r="F16" s="4">
        <v>1.377</v>
      </c>
      <c r="G16" s="4">
        <v>0.70466666666666666</v>
      </c>
      <c r="H16" s="4">
        <v>0.34033333333333332</v>
      </c>
      <c r="I16" s="4">
        <v>0.16133333333333333</v>
      </c>
      <c r="J16" s="4">
        <v>7.599999999999997E-2</v>
      </c>
      <c r="K16" s="4"/>
    </row>
    <row r="17" spans="1:11" x14ac:dyDescent="0.3">
      <c r="B17" s="4" t="s">
        <v>209</v>
      </c>
      <c r="C17" s="4" t="s">
        <v>206</v>
      </c>
      <c r="D17" s="4">
        <v>3.151125</v>
      </c>
      <c r="E17" s="4">
        <v>2.019625</v>
      </c>
      <c r="F17" s="4">
        <v>1.151125</v>
      </c>
      <c r="G17" s="4">
        <v>0.59962500000000007</v>
      </c>
      <c r="H17" s="4">
        <v>0.29062500000000002</v>
      </c>
      <c r="I17" s="4">
        <v>0.140625</v>
      </c>
      <c r="J17" s="4">
        <v>0.142625</v>
      </c>
      <c r="K17" s="4">
        <v>0.136625</v>
      </c>
    </row>
    <row r="18" spans="1:11" x14ac:dyDescent="0.3">
      <c r="B18" s="4" t="s">
        <v>209</v>
      </c>
      <c r="C18" s="4" t="s">
        <v>205</v>
      </c>
      <c r="D18" s="4">
        <v>3.2116250000000002</v>
      </c>
      <c r="E18" s="4">
        <v>2.0796249999999996</v>
      </c>
      <c r="F18" s="4">
        <v>1.1476250000000001</v>
      </c>
      <c r="G18" s="4">
        <v>0.59662499999999996</v>
      </c>
      <c r="H18" s="4">
        <v>0.29662500000000003</v>
      </c>
      <c r="I18" s="4">
        <v>0.144125</v>
      </c>
      <c r="J18" s="4">
        <v>6.7625000000000018E-2</v>
      </c>
      <c r="K18" s="4">
        <v>4.4625000000000026E-2</v>
      </c>
    </row>
    <row r="19" spans="1:11" x14ac:dyDescent="0.3">
      <c r="B19" s="4"/>
      <c r="C19" s="489" t="s">
        <v>411</v>
      </c>
      <c r="D19" s="488">
        <v>73469.387755102027</v>
      </c>
      <c r="E19" s="488">
        <v>31486.880466472296</v>
      </c>
      <c r="F19" s="488">
        <v>13494.37734277384</v>
      </c>
      <c r="G19" s="488">
        <v>5783.3045754745026</v>
      </c>
      <c r="H19" s="488">
        <v>2478.5591037747868</v>
      </c>
      <c r="I19" s="488">
        <v>1062.2396159034799</v>
      </c>
      <c r="J19" s="488">
        <v>455.24554967291994</v>
      </c>
      <c r="K19" s="4"/>
    </row>
    <row r="20" spans="1:11" x14ac:dyDescent="0.3">
      <c r="B20" s="4"/>
      <c r="C20" s="4" t="s">
        <v>410</v>
      </c>
      <c r="D20" s="4">
        <v>1.93875</v>
      </c>
      <c r="E20" s="4">
        <v>0.92575000000000007</v>
      </c>
      <c r="F20" s="4">
        <v>0.39324999999999999</v>
      </c>
      <c r="G20" s="4">
        <v>0.15825</v>
      </c>
      <c r="H20" s="4">
        <v>7.1749999999999994E-2</v>
      </c>
      <c r="I20" s="4">
        <v>3.0250000000000013E-2</v>
      </c>
      <c r="J20" s="4">
        <v>6.2500000000000056E-3</v>
      </c>
      <c r="K20" s="4"/>
    </row>
    <row r="21" spans="1:11" x14ac:dyDescent="0.3">
      <c r="B21" s="487" t="s">
        <v>209</v>
      </c>
      <c r="C21" s="487" t="s">
        <v>422</v>
      </c>
      <c r="D21" s="487"/>
      <c r="E21" s="487">
        <v>3.3956250000000003</v>
      </c>
      <c r="F21" s="487">
        <v>2.1556250000000001</v>
      </c>
      <c r="G21" s="487">
        <v>1.207125</v>
      </c>
      <c r="H21" s="487">
        <v>0.87662499999999999</v>
      </c>
      <c r="I21" s="487">
        <v>0.43412500000000004</v>
      </c>
      <c r="J21" s="487">
        <v>0.21262500000000001</v>
      </c>
      <c r="K21" s="487">
        <v>9.9625000000000019E-2</v>
      </c>
    </row>
    <row r="22" spans="1:11" x14ac:dyDescent="0.3">
      <c r="B22" s="487" t="s">
        <v>209</v>
      </c>
      <c r="C22" s="487" t="s">
        <v>423</v>
      </c>
      <c r="D22" s="487"/>
      <c r="E22" s="487">
        <v>3.413125</v>
      </c>
      <c r="F22" s="487">
        <v>2.159125</v>
      </c>
      <c r="G22" s="487">
        <v>1.2006250000000001</v>
      </c>
      <c r="H22" s="487">
        <v>0.61612500000000003</v>
      </c>
      <c r="I22" s="487">
        <v>0.30262500000000003</v>
      </c>
      <c r="J22" s="487">
        <v>0.14712500000000001</v>
      </c>
      <c r="K22" s="487">
        <v>6.9624999999999992E-2</v>
      </c>
    </row>
    <row r="23" spans="1:11" x14ac:dyDescent="0.3">
      <c r="B23" s="487" t="s">
        <v>209</v>
      </c>
      <c r="C23" s="487" t="s">
        <v>424</v>
      </c>
      <c r="D23" s="487"/>
      <c r="E23" s="487">
        <v>2.6161249999999998</v>
      </c>
      <c r="F23" s="487">
        <v>1.634125</v>
      </c>
      <c r="G23" s="487">
        <v>0.87912499999999993</v>
      </c>
      <c r="H23" s="487">
        <v>0.43012500000000004</v>
      </c>
      <c r="I23" s="487">
        <v>0.21512500000000001</v>
      </c>
      <c r="J23" s="487">
        <v>0.11712500000000001</v>
      </c>
      <c r="K23" s="487">
        <v>7.3124999999999996E-2</v>
      </c>
    </row>
    <row r="24" spans="1:11" x14ac:dyDescent="0.3">
      <c r="B24" s="487" t="s">
        <v>208</v>
      </c>
      <c r="C24" s="487" t="s">
        <v>425</v>
      </c>
      <c r="D24" s="487"/>
      <c r="E24" s="487">
        <v>2.8826666666666667</v>
      </c>
      <c r="F24" s="487">
        <v>1.7476666666666667</v>
      </c>
      <c r="G24" s="487">
        <v>0.91233333333333333</v>
      </c>
      <c r="H24" s="487">
        <v>0.44333333333333336</v>
      </c>
      <c r="I24" s="487">
        <v>0.19600000000000001</v>
      </c>
      <c r="J24" s="487">
        <v>9.4333333333333311E-2</v>
      </c>
      <c r="K24" s="487"/>
    </row>
    <row r="27" spans="1:11" ht="31.2" x14ac:dyDescent="0.6">
      <c r="A27" s="937" t="s">
        <v>414</v>
      </c>
      <c r="B27" s="937"/>
      <c r="C27" s="937"/>
      <c r="D27" s="937"/>
      <c r="E27" s="937"/>
      <c r="F27" s="937"/>
      <c r="G27" s="937"/>
      <c r="H27" s="937"/>
      <c r="I27" s="937"/>
      <c r="J27" s="937"/>
      <c r="K27" s="937"/>
    </row>
    <row r="28" spans="1:11" x14ac:dyDescent="0.3">
      <c r="C28" s="32"/>
      <c r="D28" s="32"/>
      <c r="E28" s="32"/>
      <c r="F28" s="32"/>
      <c r="G28" s="32"/>
      <c r="H28" s="32"/>
      <c r="I28" s="32"/>
      <c r="J28" s="32"/>
      <c r="K28" s="32"/>
    </row>
    <row r="29" spans="1:11" x14ac:dyDescent="0.3">
      <c r="B29" s="192"/>
      <c r="C29" s="445" t="s">
        <v>409</v>
      </c>
      <c r="D29" s="482">
        <v>200000</v>
      </c>
      <c r="E29" s="482">
        <v>100000</v>
      </c>
      <c r="F29" s="482">
        <v>50000</v>
      </c>
      <c r="G29" s="482">
        <v>25000</v>
      </c>
      <c r="H29" s="482">
        <v>12500</v>
      </c>
      <c r="I29" s="482">
        <v>6250</v>
      </c>
      <c r="J29" s="482">
        <v>3125</v>
      </c>
      <c r="K29" s="482">
        <v>1562.5</v>
      </c>
    </row>
    <row r="30" spans="1:11" x14ac:dyDescent="0.3">
      <c r="B30" s="486"/>
      <c r="C30" s="445" t="s">
        <v>207</v>
      </c>
      <c r="D30" s="445">
        <f t="shared" ref="D30:J32" si="1">(D16-0.028)/0.0452</f>
        <v>88.915929203539847</v>
      </c>
      <c r="E30" s="445">
        <f t="shared" si="1"/>
        <v>52.234513274336294</v>
      </c>
      <c r="F30" s="445">
        <f t="shared" si="1"/>
        <v>29.845132743362832</v>
      </c>
      <c r="G30" s="445">
        <f t="shared" si="1"/>
        <v>14.970501474926253</v>
      </c>
      <c r="H30" s="445">
        <f t="shared" si="1"/>
        <v>6.9100294985250734</v>
      </c>
      <c r="I30" s="445">
        <f t="shared" si="1"/>
        <v>2.9498525073746316</v>
      </c>
      <c r="J30" s="445">
        <f t="shared" si="1"/>
        <v>1.0619469026548667</v>
      </c>
      <c r="K30" s="445"/>
    </row>
    <row r="31" spans="1:11" x14ac:dyDescent="0.3">
      <c r="B31" s="486"/>
      <c r="C31" s="445" t="s">
        <v>206</v>
      </c>
      <c r="D31" s="445">
        <f t="shared" si="1"/>
        <v>69.095685840707972</v>
      </c>
      <c r="E31" s="445">
        <f t="shared" si="1"/>
        <v>44.0625</v>
      </c>
      <c r="F31" s="445">
        <f t="shared" si="1"/>
        <v>24.847898230088497</v>
      </c>
      <c r="G31" s="445">
        <f t="shared" si="1"/>
        <v>12.646570796460178</v>
      </c>
      <c r="H31" s="445">
        <f t="shared" si="1"/>
        <v>5.8102876106194694</v>
      </c>
      <c r="I31" s="445">
        <f t="shared" si="1"/>
        <v>2.4917035398230092</v>
      </c>
      <c r="J31" s="445">
        <f t="shared" si="1"/>
        <v>2.5359513274336285</v>
      </c>
      <c r="K31" s="445">
        <f>(K17-0.028)/0.0452</f>
        <v>2.4032079646017701</v>
      </c>
    </row>
    <row r="32" spans="1:11" x14ac:dyDescent="0.3">
      <c r="C32" s="445" t="s">
        <v>205</v>
      </c>
      <c r="D32" s="445">
        <f t="shared" si="1"/>
        <v>70.434181415929217</v>
      </c>
      <c r="E32" s="445">
        <f t="shared" si="1"/>
        <v>45.38993362831858</v>
      </c>
      <c r="F32" s="445">
        <f t="shared" si="1"/>
        <v>24.770464601769916</v>
      </c>
      <c r="G32" s="445">
        <f t="shared" si="1"/>
        <v>12.580199115044246</v>
      </c>
      <c r="H32" s="445">
        <f t="shared" si="1"/>
        <v>5.9430309734513278</v>
      </c>
      <c r="I32" s="445">
        <f t="shared" si="1"/>
        <v>2.5691371681415931</v>
      </c>
      <c r="J32" s="445">
        <f t="shared" si="1"/>
        <v>0.87665929203539872</v>
      </c>
      <c r="K32" s="445">
        <f>(K18-0.028)/0.0452</f>
        <v>0.36780973451327492</v>
      </c>
    </row>
    <row r="33" spans="2:11" x14ac:dyDescent="0.3">
      <c r="B33" s="485"/>
      <c r="C33" s="484"/>
      <c r="D33" s="484">
        <v>73469.387755101998</v>
      </c>
      <c r="E33" s="484">
        <v>31486.880466472296</v>
      </c>
      <c r="F33" s="484">
        <v>13494.37734277384</v>
      </c>
      <c r="G33" s="482">
        <v>5783.3045754745026</v>
      </c>
      <c r="H33" s="482">
        <v>2478.5591037747868</v>
      </c>
      <c r="I33" s="482">
        <v>1062.2396159034799</v>
      </c>
      <c r="J33" s="482">
        <v>455.24554967291994</v>
      </c>
      <c r="K33" s="445"/>
    </row>
    <row r="34" spans="2:11" x14ac:dyDescent="0.3">
      <c r="B34" s="485"/>
      <c r="C34" s="445" t="s">
        <v>204</v>
      </c>
      <c r="D34" s="445">
        <f t="shared" ref="D34:I34" si="2">(D20-0.028)/0.0452</f>
        <v>42.273230088495573</v>
      </c>
      <c r="E34" s="445">
        <f t="shared" si="2"/>
        <v>19.861725663716818</v>
      </c>
      <c r="F34" s="445">
        <f t="shared" si="2"/>
        <v>8.0807522123893794</v>
      </c>
      <c r="G34" s="445">
        <f t="shared" si="2"/>
        <v>2.8816371681415931</v>
      </c>
      <c r="H34" s="445">
        <f t="shared" si="2"/>
        <v>0.96792035398230092</v>
      </c>
      <c r="I34" s="445">
        <f t="shared" si="2"/>
        <v>4.9778761061947181E-2</v>
      </c>
      <c r="J34" s="445">
        <v>0</v>
      </c>
      <c r="K34" s="483"/>
    </row>
    <row r="35" spans="2:11" x14ac:dyDescent="0.3">
      <c r="C35" s="445"/>
      <c r="D35" s="445"/>
      <c r="E35" s="445"/>
      <c r="F35" s="445"/>
      <c r="G35" s="445"/>
      <c r="H35" s="445"/>
      <c r="I35" s="445"/>
      <c r="J35" s="445"/>
      <c r="K35" s="445"/>
    </row>
    <row r="36" spans="2:11" x14ac:dyDescent="0.3">
      <c r="B36" s="485"/>
      <c r="C36" s="445"/>
      <c r="D36" s="482">
        <v>200000</v>
      </c>
      <c r="E36" s="482">
        <v>100000</v>
      </c>
      <c r="F36" s="482">
        <v>50000</v>
      </c>
      <c r="G36" s="482">
        <v>25000</v>
      </c>
      <c r="H36" s="482">
        <v>12500</v>
      </c>
      <c r="I36" s="482">
        <v>6250</v>
      </c>
      <c r="J36" s="482">
        <v>3125</v>
      </c>
      <c r="K36" s="482">
        <v>1562.5</v>
      </c>
    </row>
    <row r="37" spans="2:11" x14ac:dyDescent="0.3">
      <c r="C37" s="445" t="s">
        <v>422</v>
      </c>
      <c r="D37" s="445" t="s">
        <v>203</v>
      </c>
      <c r="E37" s="445">
        <f t="shared" ref="E37:K39" si="3">(E21-0.028)/0.0452</f>
        <v>74.50497787610621</v>
      </c>
      <c r="F37" s="445">
        <f t="shared" si="3"/>
        <v>47.071349557522126</v>
      </c>
      <c r="G37" s="445">
        <f t="shared" si="3"/>
        <v>26.086836283185843</v>
      </c>
      <c r="H37" s="445">
        <f t="shared" si="3"/>
        <v>18.774889380530976</v>
      </c>
      <c r="I37" s="445">
        <f t="shared" si="3"/>
        <v>8.9850663716814161</v>
      </c>
      <c r="J37" s="445">
        <f t="shared" si="3"/>
        <v>4.0846238938053103</v>
      </c>
      <c r="K37" s="445">
        <f t="shared" si="3"/>
        <v>1.5846238938053103</v>
      </c>
    </row>
    <row r="38" spans="2:11" x14ac:dyDescent="0.3">
      <c r="C38" s="445" t="s">
        <v>423</v>
      </c>
      <c r="D38" s="445" t="s">
        <v>203</v>
      </c>
      <c r="E38" s="445">
        <f t="shared" si="3"/>
        <v>74.892146017699119</v>
      </c>
      <c r="F38" s="445">
        <f t="shared" si="3"/>
        <v>47.148783185840706</v>
      </c>
      <c r="G38" s="445">
        <f t="shared" si="3"/>
        <v>25.943030973451329</v>
      </c>
      <c r="H38" s="445">
        <f t="shared" si="3"/>
        <v>13.011615044247788</v>
      </c>
      <c r="I38" s="445">
        <f t="shared" si="3"/>
        <v>6.0757743362831862</v>
      </c>
      <c r="J38" s="445">
        <f t="shared" si="3"/>
        <v>2.6355088495575223</v>
      </c>
      <c r="K38" s="445">
        <f t="shared" si="3"/>
        <v>0.9209070796460177</v>
      </c>
    </row>
    <row r="39" spans="2:11" x14ac:dyDescent="0.3">
      <c r="C39" s="445" t="s">
        <v>424</v>
      </c>
      <c r="D39" s="445" t="s">
        <v>203</v>
      </c>
      <c r="E39" s="445">
        <f t="shared" si="3"/>
        <v>57.259402654867259</v>
      </c>
      <c r="F39" s="445">
        <f t="shared" si="3"/>
        <v>35.533738938053098</v>
      </c>
      <c r="G39" s="445">
        <f t="shared" si="3"/>
        <v>18.830199115044248</v>
      </c>
      <c r="H39" s="445">
        <f t="shared" si="3"/>
        <v>8.8965707964601783</v>
      </c>
      <c r="I39" s="445">
        <f t="shared" si="3"/>
        <v>4.1399336283185848</v>
      </c>
      <c r="J39" s="445">
        <f t="shared" si="3"/>
        <v>1.9717920353982303</v>
      </c>
      <c r="K39" s="445">
        <f t="shared" si="3"/>
        <v>0.99834070796460184</v>
      </c>
    </row>
    <row r="40" spans="2:11" x14ac:dyDescent="0.3">
      <c r="C40" s="445" t="s">
        <v>425</v>
      </c>
      <c r="D40" s="445" t="s">
        <v>203</v>
      </c>
      <c r="E40" s="445">
        <f t="shared" ref="E40:J40" si="4">(E24-0.028)/0.0452</f>
        <v>63.15634218289086</v>
      </c>
      <c r="F40" s="445">
        <f t="shared" si="4"/>
        <v>38.045722713864308</v>
      </c>
      <c r="G40" s="445">
        <f t="shared" si="4"/>
        <v>19.564896755162241</v>
      </c>
      <c r="H40" s="445">
        <f t="shared" si="4"/>
        <v>9.1887905604719773</v>
      </c>
      <c r="I40" s="445">
        <f t="shared" si="4"/>
        <v>3.7168141592920358</v>
      </c>
      <c r="J40" s="445">
        <f t="shared" si="4"/>
        <v>1.4675516224188787</v>
      </c>
      <c r="K40" s="445"/>
    </row>
  </sheetData>
  <mergeCells count="5">
    <mergeCell ref="A27:K27"/>
    <mergeCell ref="C3:J3"/>
    <mergeCell ref="C14:J14"/>
    <mergeCell ref="A13:K13"/>
    <mergeCell ref="A2:K2"/>
  </mergeCells>
  <pageMargins left="0.7" right="0.7" top="0.75" bottom="0.75" header="0.3" footer="0.3"/>
  <pageSetup paperSize="9" orientation="portrait" horizontalDpi="4294967293" verticalDpi="0" r:id="rId1"/>
  <drawing r:id="rId2"/>
  <legacyDrawing r:id="rId3"/>
  <oleObjects>
    <mc:AlternateContent xmlns:mc="http://schemas.openxmlformats.org/markup-compatibility/2006">
      <mc:Choice Requires="x14">
        <oleObject progId="Prism8.Document" shapeId="12290" r:id="rId4">
          <objectPr defaultSize="0" autoPict="0" r:id="rId5">
            <anchor moveWithCells="1">
              <from>
                <xdr:col>11</xdr:col>
                <xdr:colOff>678180</xdr:colOff>
                <xdr:row>26</xdr:row>
                <xdr:rowOff>22860</xdr:rowOff>
              </from>
              <to>
                <xdr:col>19</xdr:col>
                <xdr:colOff>144780</xdr:colOff>
                <xdr:row>40</xdr:row>
                <xdr:rowOff>68580</xdr:rowOff>
              </to>
            </anchor>
          </objectPr>
        </oleObject>
      </mc:Choice>
      <mc:Fallback>
        <oleObject progId="Prism8.Document" shapeId="12290" r:id="rId4"/>
      </mc:Fallback>
    </mc:AlternateContent>
    <mc:AlternateContent xmlns:mc="http://schemas.openxmlformats.org/markup-compatibility/2006">
      <mc:Choice Requires="x14">
        <oleObject progId="Prism8.Document" shapeId="12291" r:id="rId6">
          <objectPr defaultSize="0" r:id="rId7">
            <anchor moveWithCells="1">
              <from>
                <xdr:col>12</xdr:col>
                <xdr:colOff>251460</xdr:colOff>
                <xdr:row>1</xdr:row>
                <xdr:rowOff>106680</xdr:rowOff>
              </from>
              <to>
                <xdr:col>17</xdr:col>
                <xdr:colOff>716280</xdr:colOff>
                <xdr:row>18</xdr:row>
                <xdr:rowOff>22860</xdr:rowOff>
              </to>
            </anchor>
          </objectPr>
        </oleObject>
      </mc:Choice>
      <mc:Fallback>
        <oleObject progId="Prism8.Document" shapeId="12291" r:id="rId6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0"/>
  <sheetViews>
    <sheetView zoomScale="52" workbookViewId="0">
      <selection sqref="A1:R1048576"/>
    </sheetView>
  </sheetViews>
  <sheetFormatPr baseColWidth="10" defaultRowHeight="14.4" x14ac:dyDescent="0.3"/>
  <cols>
    <col min="2" max="2" width="5.77734375" customWidth="1"/>
    <col min="4" max="4" width="11.5546875" style="1"/>
    <col min="6" max="6" width="29.109375" bestFit="1" customWidth="1"/>
    <col min="7" max="7" width="11.5546875" style="39"/>
  </cols>
  <sheetData>
    <row r="1" spans="1:7" x14ac:dyDescent="0.3">
      <c r="D1" s="1" t="s">
        <v>54</v>
      </c>
      <c r="E1" t="s">
        <v>52</v>
      </c>
      <c r="F1" t="s">
        <v>81</v>
      </c>
      <c r="G1" s="39" t="s">
        <v>109</v>
      </c>
    </row>
    <row r="2" spans="1:7" s="36" customFormat="1" x14ac:dyDescent="0.3">
      <c r="A2" s="941" t="s">
        <v>1</v>
      </c>
      <c r="B2" s="36" t="s">
        <v>0</v>
      </c>
      <c r="C2" s="941">
        <v>24</v>
      </c>
      <c r="D2" s="42">
        <v>139480</v>
      </c>
      <c r="E2" s="36">
        <v>0</v>
      </c>
      <c r="F2" s="36">
        <v>0</v>
      </c>
      <c r="G2" s="43">
        <f t="shared" ref="G2:G40" si="0">D2/(D2+F2)*100</f>
        <v>100</v>
      </c>
    </row>
    <row r="3" spans="1:7" s="36" customFormat="1" x14ac:dyDescent="0.3">
      <c r="A3" s="941"/>
      <c r="B3" s="36" t="s">
        <v>3</v>
      </c>
      <c r="C3" s="941"/>
      <c r="D3" s="42">
        <v>143000</v>
      </c>
      <c r="E3" s="36">
        <v>0</v>
      </c>
      <c r="F3" s="36">
        <v>0</v>
      </c>
      <c r="G3" s="43">
        <f t="shared" si="0"/>
        <v>100</v>
      </c>
    </row>
    <row r="4" spans="1:7" s="36" customFormat="1" x14ac:dyDescent="0.3">
      <c r="A4" s="941"/>
      <c r="B4" s="36" t="s">
        <v>4</v>
      </c>
      <c r="C4" s="941"/>
      <c r="D4" s="42">
        <v>210370</v>
      </c>
      <c r="E4" s="36">
        <v>1.1154661016949177</v>
      </c>
      <c r="F4" s="36">
        <v>0</v>
      </c>
      <c r="G4" s="43">
        <f t="shared" si="0"/>
        <v>100</v>
      </c>
    </row>
    <row r="5" spans="1:7" s="36" customFormat="1" x14ac:dyDescent="0.3">
      <c r="A5" s="941" t="s">
        <v>17</v>
      </c>
      <c r="B5" s="36" t="s">
        <v>8</v>
      </c>
      <c r="C5" s="941"/>
      <c r="D5" s="42">
        <v>136308</v>
      </c>
      <c r="E5" s="36">
        <v>0.97658862876253361</v>
      </c>
      <c r="F5" s="36">
        <v>0</v>
      </c>
      <c r="G5" s="43">
        <f t="shared" si="0"/>
        <v>100</v>
      </c>
    </row>
    <row r="6" spans="1:7" s="36" customFormat="1" x14ac:dyDescent="0.3">
      <c r="A6" s="941"/>
      <c r="B6" s="36" t="s">
        <v>11</v>
      </c>
      <c r="C6" s="941"/>
      <c r="D6" s="42">
        <v>148736.00000000003</v>
      </c>
      <c r="E6" s="36">
        <v>0.67948717948716986</v>
      </c>
      <c r="F6" s="36">
        <v>0</v>
      </c>
      <c r="G6" s="43">
        <f t="shared" si="0"/>
        <v>100</v>
      </c>
    </row>
    <row r="7" spans="1:7" s="36" customFormat="1" x14ac:dyDescent="0.3">
      <c r="A7" s="941"/>
      <c r="B7" s="36" t="s">
        <v>9</v>
      </c>
      <c r="C7" s="941"/>
      <c r="D7" s="42">
        <v>156384</v>
      </c>
      <c r="E7" s="36">
        <v>3.3367965367965358</v>
      </c>
      <c r="F7" s="36">
        <f t="shared" ref="F7:F39" si="1">(E7-2.581)/0.0003936</f>
        <v>1920.214778446483</v>
      </c>
      <c r="G7" s="43">
        <f t="shared" si="0"/>
        <v>98.787009694508825</v>
      </c>
    </row>
    <row r="8" spans="1:7" s="36" customFormat="1" x14ac:dyDescent="0.3">
      <c r="A8" s="941"/>
      <c r="B8" s="36" t="s">
        <v>10</v>
      </c>
      <c r="C8" s="941"/>
      <c r="D8" s="42">
        <v>143880</v>
      </c>
      <c r="E8" s="36">
        <v>0</v>
      </c>
      <c r="F8" s="36">
        <v>0</v>
      </c>
      <c r="G8" s="43">
        <f t="shared" si="0"/>
        <v>100</v>
      </c>
    </row>
    <row r="9" spans="1:7" s="36" customFormat="1" x14ac:dyDescent="0.3">
      <c r="A9" s="941" t="s">
        <v>18</v>
      </c>
      <c r="B9" s="36" t="s">
        <v>19</v>
      </c>
      <c r="C9" s="941"/>
      <c r="D9" s="42">
        <v>170239.99999999997</v>
      </c>
      <c r="E9" s="36">
        <v>0</v>
      </c>
      <c r="F9" s="36">
        <v>0</v>
      </c>
      <c r="G9" s="43">
        <f t="shared" si="0"/>
        <v>100</v>
      </c>
    </row>
    <row r="10" spans="1:7" s="36" customFormat="1" x14ac:dyDescent="0.3">
      <c r="A10" s="941"/>
      <c r="B10" s="36" t="s">
        <v>12</v>
      </c>
      <c r="C10" s="941"/>
      <c r="D10" s="42">
        <v>178640</v>
      </c>
      <c r="E10" s="36">
        <v>0</v>
      </c>
      <c r="F10" s="36">
        <v>0</v>
      </c>
      <c r="G10" s="43">
        <f t="shared" si="0"/>
        <v>100</v>
      </c>
    </row>
    <row r="11" spans="1:7" s="36" customFormat="1" x14ac:dyDescent="0.3">
      <c r="A11" s="941"/>
      <c r="B11" s="36" t="s">
        <v>13</v>
      </c>
      <c r="C11" s="941"/>
      <c r="D11" s="42">
        <v>119600</v>
      </c>
      <c r="E11" s="36">
        <v>0</v>
      </c>
      <c r="F11" s="36">
        <v>0</v>
      </c>
      <c r="G11" s="43">
        <f t="shared" si="0"/>
        <v>100</v>
      </c>
    </row>
    <row r="12" spans="1:7" s="36" customFormat="1" x14ac:dyDescent="0.3">
      <c r="A12" s="941"/>
      <c r="B12" s="36" t="s">
        <v>14</v>
      </c>
      <c r="C12" s="941"/>
      <c r="D12" s="42">
        <v>116328</v>
      </c>
      <c r="E12" s="36">
        <v>0.14743589743590033</v>
      </c>
      <c r="F12" s="36">
        <v>0</v>
      </c>
      <c r="G12" s="43">
        <f t="shared" si="0"/>
        <v>100</v>
      </c>
    </row>
    <row r="13" spans="1:7" s="36" customFormat="1" x14ac:dyDescent="0.3">
      <c r="A13" s="941"/>
      <c r="B13" s="36" t="s">
        <v>15</v>
      </c>
      <c r="C13" s="941"/>
      <c r="D13" s="42">
        <v>92400.000000000015</v>
      </c>
      <c r="E13" s="36">
        <v>1.52619589977221</v>
      </c>
      <c r="F13" s="36">
        <v>0</v>
      </c>
      <c r="G13" s="43">
        <f t="shared" si="0"/>
        <v>100</v>
      </c>
    </row>
    <row r="14" spans="1:7" s="36" customFormat="1" x14ac:dyDescent="0.3">
      <c r="A14" s="941"/>
      <c r="B14" s="36" t="s">
        <v>16</v>
      </c>
      <c r="C14" s="941"/>
      <c r="D14" s="42">
        <v>133980</v>
      </c>
      <c r="E14" s="36">
        <v>0</v>
      </c>
      <c r="F14" s="36">
        <v>0</v>
      </c>
      <c r="G14" s="43">
        <f t="shared" si="0"/>
        <v>100</v>
      </c>
    </row>
    <row r="15" spans="1:7" s="35" customFormat="1" x14ac:dyDescent="0.3">
      <c r="A15" s="939" t="s">
        <v>1</v>
      </c>
      <c r="B15" s="35" t="s">
        <v>0</v>
      </c>
      <c r="C15" s="939">
        <v>48</v>
      </c>
      <c r="D15" s="37">
        <v>378672</v>
      </c>
      <c r="E15" s="35">
        <v>0</v>
      </c>
      <c r="F15" s="35">
        <v>0</v>
      </c>
      <c r="G15" s="40">
        <f t="shared" si="0"/>
        <v>100</v>
      </c>
    </row>
    <row r="16" spans="1:7" s="35" customFormat="1" x14ac:dyDescent="0.3">
      <c r="A16" s="939"/>
      <c r="B16" s="35" t="s">
        <v>3</v>
      </c>
      <c r="C16" s="939"/>
      <c r="D16" s="37">
        <v>259350</v>
      </c>
      <c r="E16" s="35">
        <v>0</v>
      </c>
      <c r="F16" s="35">
        <v>0</v>
      </c>
      <c r="G16" s="40">
        <f t="shared" si="0"/>
        <v>100</v>
      </c>
    </row>
    <row r="17" spans="1:7" s="35" customFormat="1" x14ac:dyDescent="0.3">
      <c r="A17" s="939"/>
      <c r="B17" s="35" t="s">
        <v>4</v>
      </c>
      <c r="C17" s="939"/>
      <c r="D17" s="37">
        <v>411450</v>
      </c>
      <c r="E17" s="35">
        <v>2.1006355932203391</v>
      </c>
      <c r="F17" s="35">
        <v>0</v>
      </c>
      <c r="G17" s="40">
        <f t="shared" si="0"/>
        <v>100</v>
      </c>
    </row>
    <row r="18" spans="1:7" s="35" customFormat="1" x14ac:dyDescent="0.3">
      <c r="A18" s="939" t="s">
        <v>17</v>
      </c>
      <c r="B18" s="35" t="s">
        <v>8</v>
      </c>
      <c r="C18" s="939"/>
      <c r="D18" s="37">
        <v>337504</v>
      </c>
      <c r="E18" s="35">
        <v>1.8461538461538463</v>
      </c>
      <c r="F18" s="35">
        <v>0</v>
      </c>
      <c r="G18" s="40">
        <f t="shared" si="0"/>
        <v>100</v>
      </c>
    </row>
    <row r="19" spans="1:7" s="35" customFormat="1" x14ac:dyDescent="0.3">
      <c r="A19" s="939"/>
      <c r="B19" s="35" t="s">
        <v>11</v>
      </c>
      <c r="C19" s="939"/>
      <c r="D19" s="37">
        <v>376320</v>
      </c>
      <c r="E19" s="35">
        <v>0.45512820512819885</v>
      </c>
      <c r="F19" s="35">
        <v>0</v>
      </c>
      <c r="G19" s="40">
        <f t="shared" si="0"/>
        <v>100</v>
      </c>
    </row>
    <row r="20" spans="1:7" s="35" customFormat="1" x14ac:dyDescent="0.3">
      <c r="A20" s="939"/>
      <c r="B20" s="35" t="s">
        <v>9</v>
      </c>
      <c r="C20" s="939"/>
      <c r="D20" s="37">
        <v>316224</v>
      </c>
      <c r="E20" s="35">
        <v>3.0251082251082235</v>
      </c>
      <c r="F20" s="35">
        <f t="shared" si="1"/>
        <v>1128.323742653007</v>
      </c>
      <c r="G20" s="40">
        <f t="shared" si="0"/>
        <v>99.644457072396293</v>
      </c>
    </row>
    <row r="21" spans="1:7" s="35" customFormat="1" x14ac:dyDescent="0.3">
      <c r="A21" s="939"/>
      <c r="B21" s="35" t="s">
        <v>10</v>
      </c>
      <c r="C21" s="939"/>
      <c r="D21" s="37">
        <v>322560</v>
      </c>
      <c r="E21" s="35">
        <v>0</v>
      </c>
      <c r="F21" s="35">
        <v>0</v>
      </c>
      <c r="G21" s="40">
        <f t="shared" si="0"/>
        <v>100</v>
      </c>
    </row>
    <row r="22" spans="1:7" s="35" customFormat="1" x14ac:dyDescent="0.3">
      <c r="A22" s="939" t="s">
        <v>18</v>
      </c>
      <c r="B22" s="35" t="s">
        <v>19</v>
      </c>
      <c r="C22" s="939"/>
      <c r="D22" s="37">
        <v>530950</v>
      </c>
      <c r="E22" s="35">
        <v>0</v>
      </c>
      <c r="F22" s="35">
        <v>0</v>
      </c>
      <c r="G22" s="40">
        <f t="shared" si="0"/>
        <v>100</v>
      </c>
    </row>
    <row r="23" spans="1:7" s="35" customFormat="1" x14ac:dyDescent="0.3">
      <c r="A23" s="939"/>
      <c r="B23" s="35" t="s">
        <v>12</v>
      </c>
      <c r="C23" s="939"/>
      <c r="D23" s="37">
        <v>329460</v>
      </c>
      <c r="E23" s="35">
        <v>0</v>
      </c>
      <c r="F23" s="35">
        <v>0</v>
      </c>
      <c r="G23" s="40">
        <f t="shared" si="0"/>
        <v>100</v>
      </c>
    </row>
    <row r="24" spans="1:7" s="35" customFormat="1" x14ac:dyDescent="0.3">
      <c r="A24" s="939"/>
      <c r="B24" s="35" t="s">
        <v>13</v>
      </c>
      <c r="C24" s="939"/>
      <c r="D24" s="37">
        <v>353120</v>
      </c>
      <c r="E24" s="35">
        <v>0</v>
      </c>
      <c r="F24" s="35">
        <v>0</v>
      </c>
      <c r="G24" s="40">
        <f t="shared" si="0"/>
        <v>100</v>
      </c>
    </row>
    <row r="25" spans="1:7" s="35" customFormat="1" x14ac:dyDescent="0.3">
      <c r="A25" s="939"/>
      <c r="B25" s="35" t="s">
        <v>14</v>
      </c>
      <c r="C25" s="939"/>
      <c r="D25" s="37">
        <v>309672</v>
      </c>
      <c r="E25" s="35">
        <v>1.1730769230769269</v>
      </c>
      <c r="F25" s="35">
        <v>0</v>
      </c>
      <c r="G25" s="40">
        <f t="shared" si="0"/>
        <v>100</v>
      </c>
    </row>
    <row r="26" spans="1:7" s="35" customFormat="1" x14ac:dyDescent="0.3">
      <c r="A26" s="939"/>
      <c r="B26" s="35" t="s">
        <v>15</v>
      </c>
      <c r="C26" s="939"/>
      <c r="D26" s="37">
        <v>336000</v>
      </c>
      <c r="E26" s="35">
        <v>1.9020501138952208</v>
      </c>
      <c r="F26" s="35">
        <v>0</v>
      </c>
      <c r="G26" s="40">
        <f t="shared" si="0"/>
        <v>100</v>
      </c>
    </row>
    <row r="27" spans="1:7" s="35" customFormat="1" x14ac:dyDescent="0.3">
      <c r="A27" s="939"/>
      <c r="B27" s="35" t="s">
        <v>16</v>
      </c>
      <c r="C27" s="939"/>
      <c r="D27" s="37">
        <v>248620</v>
      </c>
      <c r="E27" s="35">
        <v>0.72784810126581734</v>
      </c>
      <c r="F27" s="35">
        <v>0</v>
      </c>
      <c r="G27" s="40">
        <f t="shared" si="0"/>
        <v>100</v>
      </c>
    </row>
    <row r="28" spans="1:7" s="34" customFormat="1" x14ac:dyDescent="0.3">
      <c r="A28" s="940" t="s">
        <v>1</v>
      </c>
      <c r="B28" s="34" t="s">
        <v>0</v>
      </c>
      <c r="C28" s="940">
        <v>72</v>
      </c>
      <c r="D28" s="38">
        <v>646112</v>
      </c>
      <c r="E28" s="34">
        <v>0</v>
      </c>
      <c r="F28" s="34">
        <v>0</v>
      </c>
      <c r="G28" s="41">
        <f t="shared" si="0"/>
        <v>100</v>
      </c>
    </row>
    <row r="29" spans="1:7" s="34" customFormat="1" x14ac:dyDescent="0.3">
      <c r="A29" s="940"/>
      <c r="B29" s="34" t="s">
        <v>3</v>
      </c>
      <c r="C29" s="940"/>
      <c r="D29" s="38">
        <v>528450</v>
      </c>
      <c r="E29" s="34">
        <v>0.81190019193857577</v>
      </c>
      <c r="F29" s="34">
        <v>0</v>
      </c>
      <c r="G29" s="41">
        <f t="shared" si="0"/>
        <v>100</v>
      </c>
    </row>
    <row r="30" spans="1:7" s="34" customFormat="1" x14ac:dyDescent="0.3">
      <c r="A30" s="940"/>
      <c r="B30" s="34" t="s">
        <v>4</v>
      </c>
      <c r="C30" s="940"/>
      <c r="D30" s="38">
        <v>567300</v>
      </c>
      <c r="E30" s="34">
        <v>6.359110169491526</v>
      </c>
      <c r="F30" s="34">
        <f t="shared" si="1"/>
        <v>9598.8571379357873</v>
      </c>
      <c r="G30" s="41">
        <f t="shared" si="0"/>
        <v>98.336128245156019</v>
      </c>
    </row>
    <row r="31" spans="1:7" s="34" customFormat="1" x14ac:dyDescent="0.3">
      <c r="A31" s="940" t="s">
        <v>17</v>
      </c>
      <c r="B31" s="34" t="s">
        <v>8</v>
      </c>
      <c r="C31" s="940"/>
      <c r="D31" s="38">
        <v>337504</v>
      </c>
      <c r="E31" s="34">
        <v>1.5785953177257523</v>
      </c>
      <c r="F31" s="34">
        <v>0</v>
      </c>
      <c r="G31" s="41">
        <f t="shared" si="0"/>
        <v>100</v>
      </c>
    </row>
    <row r="32" spans="1:7" s="34" customFormat="1" x14ac:dyDescent="0.3">
      <c r="A32" s="940"/>
      <c r="B32" s="34" t="s">
        <v>11</v>
      </c>
      <c r="C32" s="940"/>
      <c r="D32" s="38">
        <v>376320</v>
      </c>
      <c r="E32" s="34">
        <v>1.4166666666666612</v>
      </c>
      <c r="F32" s="34">
        <v>0</v>
      </c>
      <c r="G32" s="41">
        <f t="shared" si="0"/>
        <v>100</v>
      </c>
    </row>
    <row r="33" spans="1:7" s="34" customFormat="1" x14ac:dyDescent="0.3">
      <c r="A33" s="940"/>
      <c r="B33" s="34" t="s">
        <v>9</v>
      </c>
      <c r="C33" s="940"/>
      <c r="D33" s="38">
        <v>316224</v>
      </c>
      <c r="E33" s="34">
        <v>2.5835497835497789</v>
      </c>
      <c r="F33" s="34">
        <f t="shared" si="1"/>
        <v>6.4781086122433233</v>
      </c>
      <c r="G33" s="41">
        <f t="shared" si="0"/>
        <v>99.997951459754603</v>
      </c>
    </row>
    <row r="34" spans="1:7" s="34" customFormat="1" x14ac:dyDescent="0.3">
      <c r="A34" s="940"/>
      <c r="B34" s="34" t="s">
        <v>10</v>
      </c>
      <c r="C34" s="940"/>
      <c r="D34" s="38">
        <v>322560</v>
      </c>
      <c r="E34" s="34">
        <v>0.13671715104379764</v>
      </c>
      <c r="F34" s="34">
        <v>0</v>
      </c>
      <c r="G34" s="41">
        <f t="shared" si="0"/>
        <v>100</v>
      </c>
    </row>
    <row r="35" spans="1:7" s="34" customFormat="1" x14ac:dyDescent="0.3">
      <c r="A35" s="940" t="s">
        <v>18</v>
      </c>
      <c r="B35" s="34" t="s">
        <v>19</v>
      </c>
      <c r="C35" s="940"/>
      <c r="D35" s="38">
        <v>650268</v>
      </c>
      <c r="E35" s="34">
        <v>0</v>
      </c>
      <c r="F35" s="34">
        <v>0</v>
      </c>
      <c r="G35" s="41">
        <f t="shared" si="0"/>
        <v>100</v>
      </c>
    </row>
    <row r="36" spans="1:7" s="34" customFormat="1" x14ac:dyDescent="0.3">
      <c r="A36" s="940"/>
      <c r="B36" s="34" t="s">
        <v>12</v>
      </c>
      <c r="C36" s="940"/>
      <c r="D36" s="38">
        <v>508510</v>
      </c>
      <c r="E36" s="34">
        <v>0</v>
      </c>
      <c r="F36" s="34">
        <v>0</v>
      </c>
      <c r="G36" s="41">
        <f t="shared" si="0"/>
        <v>100</v>
      </c>
    </row>
    <row r="37" spans="1:7" s="34" customFormat="1" x14ac:dyDescent="0.3">
      <c r="A37" s="940"/>
      <c r="B37" s="34" t="s">
        <v>13</v>
      </c>
      <c r="C37" s="940"/>
      <c r="D37" s="38">
        <v>621600</v>
      </c>
      <c r="E37" s="34">
        <v>0</v>
      </c>
      <c r="F37" s="34">
        <v>0</v>
      </c>
      <c r="G37" s="41">
        <f t="shared" si="0"/>
        <v>100</v>
      </c>
    </row>
    <row r="38" spans="1:7" s="34" customFormat="1" x14ac:dyDescent="0.3">
      <c r="A38" s="940"/>
      <c r="B38" s="34" t="s">
        <v>14</v>
      </c>
      <c r="C38" s="940"/>
      <c r="D38" s="38">
        <v>558800</v>
      </c>
      <c r="E38" s="34">
        <v>1.0769230769230806</v>
      </c>
      <c r="F38" s="34">
        <v>0</v>
      </c>
      <c r="G38" s="41">
        <f t="shared" si="0"/>
        <v>100</v>
      </c>
    </row>
    <row r="39" spans="1:7" s="34" customFormat="1" x14ac:dyDescent="0.3">
      <c r="A39" s="940"/>
      <c r="B39" s="34" t="s">
        <v>15</v>
      </c>
      <c r="C39" s="940"/>
      <c r="D39" s="38">
        <v>565950</v>
      </c>
      <c r="E39" s="34">
        <v>6.1731207289293888</v>
      </c>
      <c r="F39" s="34">
        <f t="shared" si="1"/>
        <v>9126.3229901661289</v>
      </c>
      <c r="G39" s="41">
        <f t="shared" si="0"/>
        <v>98.413024041276316</v>
      </c>
    </row>
    <row r="40" spans="1:7" s="34" customFormat="1" x14ac:dyDescent="0.3">
      <c r="A40" s="940"/>
      <c r="B40" s="34" t="s">
        <v>16</v>
      </c>
      <c r="C40" s="940"/>
      <c r="D40" s="38">
        <v>513600</v>
      </c>
      <c r="E40" s="34">
        <v>1.8987341772151858</v>
      </c>
      <c r="F40" s="34">
        <v>0</v>
      </c>
      <c r="G40" s="41">
        <f t="shared" si="0"/>
        <v>100</v>
      </c>
    </row>
  </sheetData>
  <mergeCells count="12">
    <mergeCell ref="A22:A27"/>
    <mergeCell ref="A31:A34"/>
    <mergeCell ref="A35:A40"/>
    <mergeCell ref="A2:A4"/>
    <mergeCell ref="C2:C14"/>
    <mergeCell ref="A15:A17"/>
    <mergeCell ref="A28:A30"/>
    <mergeCell ref="A5:A8"/>
    <mergeCell ref="A9:A14"/>
    <mergeCell ref="C15:C27"/>
    <mergeCell ref="C28:C40"/>
    <mergeCell ref="A18:A21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rism8.Document" shapeId="2052" r:id="rId3">
          <objectPr defaultSize="0" autoPict="0" r:id="rId4">
            <anchor moveWithCells="1">
              <from>
                <xdr:col>8</xdr:col>
                <xdr:colOff>213360</xdr:colOff>
                <xdr:row>9</xdr:row>
                <xdr:rowOff>22860</xdr:rowOff>
              </from>
              <to>
                <xdr:col>15</xdr:col>
                <xdr:colOff>457200</xdr:colOff>
                <xdr:row>24</xdr:row>
                <xdr:rowOff>99060</xdr:rowOff>
              </to>
            </anchor>
          </objectPr>
        </oleObject>
      </mc:Choice>
      <mc:Fallback>
        <oleObject progId="Prism8.Document" shapeId="2052" r:id="rId3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E158"/>
  <sheetViews>
    <sheetView topLeftCell="A68" zoomScale="82" zoomScaleNormal="85" workbookViewId="0">
      <selection activeCell="X3" sqref="X3"/>
    </sheetView>
  </sheetViews>
  <sheetFormatPr baseColWidth="10" defaultRowHeight="14.4" x14ac:dyDescent="0.3"/>
  <sheetData>
    <row r="2" spans="2:31" ht="36.6" x14ac:dyDescent="0.3">
      <c r="F2" s="948" t="s">
        <v>1</v>
      </c>
      <c r="G2" s="949"/>
      <c r="H2" s="949"/>
      <c r="I2" s="949"/>
      <c r="J2" s="949"/>
      <c r="K2" s="949"/>
      <c r="L2" s="949"/>
      <c r="M2" s="949"/>
      <c r="N2" s="949"/>
      <c r="O2" s="948" t="s">
        <v>201</v>
      </c>
      <c r="P2" s="949"/>
      <c r="Q2" s="949"/>
      <c r="R2" s="949"/>
      <c r="S2" s="949"/>
      <c r="T2" s="949"/>
      <c r="U2" s="949"/>
      <c r="V2" s="949"/>
      <c r="W2" s="949"/>
      <c r="X2" s="948" t="s">
        <v>472</v>
      </c>
      <c r="Y2" s="949"/>
      <c r="Z2" s="949"/>
      <c r="AA2" s="949"/>
      <c r="AB2" s="949"/>
      <c r="AC2" s="949"/>
      <c r="AD2" s="949"/>
      <c r="AE2" s="949"/>
    </row>
    <row r="3" spans="2:31" ht="36.6" x14ac:dyDescent="0.3">
      <c r="F3" s="479"/>
      <c r="G3" s="479"/>
      <c r="H3" s="950" t="s">
        <v>200</v>
      </c>
      <c r="I3" s="951"/>
      <c r="J3" s="952"/>
      <c r="K3" s="478"/>
      <c r="L3" s="478"/>
      <c r="M3" s="478"/>
      <c r="N3" s="478"/>
      <c r="O3" s="479"/>
      <c r="P3" s="479"/>
      <c r="Q3" s="950" t="s">
        <v>200</v>
      </c>
      <c r="R3" s="951"/>
      <c r="S3" s="952"/>
      <c r="T3" s="480"/>
      <c r="U3" s="480"/>
      <c r="V3" s="480"/>
      <c r="W3" s="480"/>
      <c r="X3" s="479"/>
      <c r="Y3" s="479"/>
      <c r="Z3" s="953" t="s">
        <v>200</v>
      </c>
      <c r="AA3" s="954"/>
      <c r="AB3" s="954"/>
      <c r="AC3" s="954"/>
      <c r="AD3" s="954"/>
      <c r="AE3" s="955"/>
    </row>
    <row r="4" spans="2:31" x14ac:dyDescent="0.3">
      <c r="B4" s="958" t="s">
        <v>202</v>
      </c>
      <c r="C4" s="958"/>
      <c r="D4" s="958"/>
      <c r="F4" s="477" t="s">
        <v>199</v>
      </c>
      <c r="G4" s="476" t="s">
        <v>198</v>
      </c>
      <c r="H4" s="475" t="s">
        <v>187</v>
      </c>
      <c r="I4" s="942" t="s">
        <v>197</v>
      </c>
      <c r="J4" s="943"/>
      <c r="K4" s="943"/>
      <c r="L4" s="943"/>
      <c r="M4" s="943"/>
      <c r="N4" s="944"/>
      <c r="O4" s="477" t="s">
        <v>199</v>
      </c>
      <c r="P4" s="476" t="s">
        <v>198</v>
      </c>
      <c r="Q4" s="475" t="s">
        <v>187</v>
      </c>
      <c r="R4" s="942" t="s">
        <v>197</v>
      </c>
      <c r="S4" s="943"/>
      <c r="T4" s="943"/>
      <c r="U4" s="943"/>
      <c r="V4" s="943"/>
      <c r="W4" s="944"/>
      <c r="X4" s="477" t="s">
        <v>199</v>
      </c>
      <c r="Y4" s="476" t="s">
        <v>198</v>
      </c>
      <c r="Z4" s="475" t="s">
        <v>187</v>
      </c>
      <c r="AA4" s="942" t="s">
        <v>197</v>
      </c>
      <c r="AB4" s="943"/>
      <c r="AC4" s="943"/>
      <c r="AD4" s="943"/>
      <c r="AE4" s="944"/>
    </row>
    <row r="5" spans="2:31" x14ac:dyDescent="0.3">
      <c r="B5" s="448" t="s">
        <v>56</v>
      </c>
      <c r="C5" s="314" t="s">
        <v>174</v>
      </c>
      <c r="D5" s="314" t="s">
        <v>175</v>
      </c>
      <c r="F5" s="101"/>
      <c r="G5" s="101"/>
      <c r="H5" s="194" t="s">
        <v>112</v>
      </c>
      <c r="I5" s="945"/>
      <c r="J5" s="946"/>
      <c r="K5" s="946"/>
      <c r="L5" s="946"/>
      <c r="M5" s="946"/>
      <c r="N5" s="947"/>
      <c r="O5" s="101"/>
      <c r="P5" s="101"/>
      <c r="Q5" s="194" t="s">
        <v>112</v>
      </c>
      <c r="R5" s="945"/>
      <c r="S5" s="946"/>
      <c r="T5" s="946"/>
      <c r="U5" s="946"/>
      <c r="V5" s="946"/>
      <c r="W5" s="947"/>
      <c r="X5" s="101"/>
      <c r="Y5" s="101"/>
      <c r="Z5" s="194" t="s">
        <v>112</v>
      </c>
      <c r="AA5" s="945"/>
      <c r="AB5" s="946"/>
      <c r="AC5" s="946"/>
      <c r="AD5" s="946"/>
      <c r="AE5" s="947"/>
    </row>
    <row r="6" spans="2:31" s="457" customFormat="1" x14ac:dyDescent="0.3">
      <c r="B6" s="449" t="s">
        <v>0</v>
      </c>
      <c r="C6" s="415">
        <v>3.2199999999999999E-2</v>
      </c>
      <c r="D6" s="415">
        <f>LN(2)/C6</f>
        <v>21.526309955277803</v>
      </c>
      <c r="I6" s="474"/>
      <c r="J6" s="472" t="s">
        <v>152</v>
      </c>
      <c r="K6" s="473">
        <f>AVERAGE(K17,K29,K65,K77,K89,K41)</f>
        <v>2.87E-2</v>
      </c>
      <c r="L6" s="472" t="s">
        <v>151</v>
      </c>
      <c r="M6" s="471">
        <f>LN(2)/K6</f>
        <v>24.151469705921439</v>
      </c>
      <c r="N6" s="472"/>
      <c r="O6" s="457" t="s">
        <v>176</v>
      </c>
      <c r="R6" s="474"/>
      <c r="S6" s="472" t="s">
        <v>152</v>
      </c>
      <c r="T6" s="473">
        <f>AVERAGE(T17,T29,T41,T53)</f>
        <v>2.9949999999999997E-2</v>
      </c>
      <c r="U6" s="472" t="s">
        <v>151</v>
      </c>
      <c r="V6" s="471">
        <f>LN(2)/T6</f>
        <v>23.143478482802848</v>
      </c>
      <c r="W6" s="472"/>
      <c r="X6" s="457" t="s">
        <v>176</v>
      </c>
      <c r="AA6" s="474"/>
      <c r="AB6" s="472" t="s">
        <v>152</v>
      </c>
      <c r="AC6" s="473">
        <f>AVERAGE(AB17,AB29,AB41,AB53,AB65,AB77)</f>
        <v>2.7233333333333332E-2</v>
      </c>
      <c r="AD6" s="472" t="s">
        <v>151</v>
      </c>
      <c r="AE6" s="471">
        <f>LN(2)/AC6</f>
        <v>25.452160852874371</v>
      </c>
    </row>
    <row r="7" spans="2:31" ht="14.4" customHeight="1" x14ac:dyDescent="0.3">
      <c r="B7" s="449" t="s">
        <v>3</v>
      </c>
      <c r="C7" s="415">
        <v>2.9700000000000001E-2</v>
      </c>
      <c r="D7" s="415">
        <f>LN(2)/C7</f>
        <v>23.338288907742264</v>
      </c>
      <c r="F7" s="956" t="s">
        <v>196</v>
      </c>
      <c r="G7">
        <v>0</v>
      </c>
      <c r="H7">
        <v>0</v>
      </c>
      <c r="O7" s="956" t="s">
        <v>195</v>
      </c>
      <c r="P7">
        <v>0</v>
      </c>
      <c r="Q7" s="39">
        <v>0</v>
      </c>
      <c r="X7" s="956" t="s">
        <v>194</v>
      </c>
      <c r="Y7">
        <v>0</v>
      </c>
      <c r="Z7">
        <v>0</v>
      </c>
    </row>
    <row r="8" spans="2:31" x14ac:dyDescent="0.3">
      <c r="B8" s="451" t="s">
        <v>4</v>
      </c>
      <c r="C8" s="415">
        <v>2.0199999999999999E-2</v>
      </c>
      <c r="D8" s="415">
        <f>LN(2)/C8</f>
        <v>34.314216859403231</v>
      </c>
      <c r="F8" s="956"/>
      <c r="G8" s="461">
        <v>5.5</v>
      </c>
      <c r="H8" s="461">
        <v>-1.0723963362975611E-2</v>
      </c>
      <c r="O8" s="956"/>
      <c r="P8" s="461">
        <v>3</v>
      </c>
      <c r="Q8" s="462">
        <v>-0.32672786757078004</v>
      </c>
      <c r="X8" s="956"/>
      <c r="Y8">
        <v>5.33</v>
      </c>
      <c r="Z8" s="192">
        <v>0.25594369666456829</v>
      </c>
    </row>
    <row r="9" spans="2:31" x14ac:dyDescent="0.3">
      <c r="B9" s="449" t="s">
        <v>8</v>
      </c>
      <c r="C9" s="450">
        <v>3.2399999999999998E-2</v>
      </c>
      <c r="D9" s="450">
        <v>21.393431499999998</v>
      </c>
      <c r="F9" s="956"/>
      <c r="G9" s="32">
        <v>21.75</v>
      </c>
      <c r="H9" s="32">
        <v>0.33275103581935905</v>
      </c>
      <c r="O9" s="956"/>
      <c r="P9">
        <v>19</v>
      </c>
      <c r="Q9" s="39">
        <v>0.1833210571270382</v>
      </c>
      <c r="X9" s="956"/>
      <c r="Y9" s="32">
        <v>21.75</v>
      </c>
      <c r="Z9" s="32">
        <v>0.532039020165188</v>
      </c>
    </row>
    <row r="10" spans="2:31" x14ac:dyDescent="0.3">
      <c r="B10" s="449" t="s">
        <v>11</v>
      </c>
      <c r="C10" s="450">
        <v>2.7E-2</v>
      </c>
      <c r="D10" s="450">
        <v>25.672117799999999</v>
      </c>
      <c r="F10" s="956"/>
      <c r="G10" s="467">
        <v>29.25</v>
      </c>
      <c r="H10" s="467">
        <v>0.57935118608101799</v>
      </c>
      <c r="O10" s="956"/>
      <c r="P10" s="32">
        <v>26.75</v>
      </c>
      <c r="Q10" s="211">
        <v>0.30974684504919353</v>
      </c>
      <c r="X10" s="956"/>
      <c r="Y10" s="32">
        <v>26.5</v>
      </c>
      <c r="Z10" s="32">
        <v>0.82627849316312829</v>
      </c>
    </row>
    <row r="11" spans="2:31" x14ac:dyDescent="0.3">
      <c r="B11" s="449" t="s">
        <v>9</v>
      </c>
      <c r="C11" s="450">
        <v>2.8299999999999999E-2</v>
      </c>
      <c r="D11" s="450">
        <v>24.4928332</v>
      </c>
      <c r="F11" s="956"/>
      <c r="G11" s="32">
        <v>46</v>
      </c>
      <c r="H11" s="32">
        <v>1.3315002090327521</v>
      </c>
      <c r="O11" s="956"/>
      <c r="P11" s="32">
        <v>42.25</v>
      </c>
      <c r="Q11" s="211">
        <v>0.9199241231065759</v>
      </c>
      <c r="X11" s="956"/>
      <c r="Y11" s="32">
        <v>44.5</v>
      </c>
      <c r="Z11" s="32">
        <v>1.3276053647712109</v>
      </c>
    </row>
    <row r="12" spans="2:31" x14ac:dyDescent="0.3">
      <c r="B12" s="449" t="s">
        <v>10</v>
      </c>
      <c r="C12" s="450">
        <v>3.2099999999999997E-2</v>
      </c>
      <c r="D12" s="450">
        <v>21.593370100000001</v>
      </c>
      <c r="F12" s="956"/>
      <c r="G12" s="32">
        <v>53.25</v>
      </c>
      <c r="H12" s="32">
        <v>1.3990131335276652</v>
      </c>
      <c r="O12" s="956"/>
      <c r="P12" s="32">
        <v>51</v>
      </c>
      <c r="Q12" s="211">
        <v>1.2164071761061124</v>
      </c>
      <c r="X12" s="956"/>
      <c r="Y12" s="32">
        <v>51.5</v>
      </c>
      <c r="Z12" s="32">
        <v>1.6694976688617631</v>
      </c>
    </row>
    <row r="13" spans="2:31" x14ac:dyDescent="0.3">
      <c r="B13" s="449" t="s">
        <v>19</v>
      </c>
      <c r="C13" s="450">
        <v>2.8299999999999999E-2</v>
      </c>
      <c r="D13" s="450">
        <v>24.4928332</v>
      </c>
      <c r="F13" s="956"/>
      <c r="G13" s="32">
        <v>70.25</v>
      </c>
      <c r="H13" s="32">
        <v>1.8658026773798724</v>
      </c>
      <c r="O13" s="956"/>
      <c r="P13" s="32">
        <v>66.5</v>
      </c>
      <c r="Q13" s="211">
        <v>1.5950996084928186</v>
      </c>
      <c r="X13" s="956"/>
      <c r="Y13" s="32">
        <v>69.5</v>
      </c>
      <c r="Z13" s="32">
        <v>1.8722143996184391</v>
      </c>
    </row>
    <row r="14" spans="2:31" x14ac:dyDescent="0.3">
      <c r="B14" s="449" t="s">
        <v>12</v>
      </c>
      <c r="C14" s="450">
        <v>2.1600000000000001E-2</v>
      </c>
      <c r="D14" s="450">
        <v>32.090147199999997</v>
      </c>
      <c r="F14" s="956"/>
      <c r="G14" s="192">
        <v>77</v>
      </c>
      <c r="H14" s="192">
        <v>1.9125601693737593</v>
      </c>
      <c r="O14" s="956"/>
      <c r="P14" s="192">
        <v>75</v>
      </c>
      <c r="Q14" s="465">
        <v>1.6128401183624992</v>
      </c>
      <c r="X14" s="956"/>
      <c r="Y14">
        <v>77.75</v>
      </c>
      <c r="Z14">
        <v>2.1381034543284221</v>
      </c>
    </row>
    <row r="15" spans="2:31" x14ac:dyDescent="0.3">
      <c r="B15" s="449" t="s">
        <v>13</v>
      </c>
      <c r="C15" s="450">
        <v>3.1800000000000002E-2</v>
      </c>
      <c r="D15" s="450">
        <v>21.7970811</v>
      </c>
      <c r="F15" s="956"/>
      <c r="G15" s="192">
        <v>94</v>
      </c>
      <c r="H15" s="192">
        <v>2.0531403443437908</v>
      </c>
      <c r="O15" s="956"/>
      <c r="P15">
        <v>90.5</v>
      </c>
      <c r="Q15" s="39">
        <v>2.053097566340234</v>
      </c>
      <c r="X15" s="956"/>
      <c r="Y15">
        <v>93.5</v>
      </c>
      <c r="Z15">
        <v>2.2947545138788574</v>
      </c>
    </row>
    <row r="16" spans="2:31" x14ac:dyDescent="0.3">
      <c r="B16" s="449" t="s">
        <v>14</v>
      </c>
      <c r="C16" s="450">
        <v>3.1800000000000002E-2</v>
      </c>
      <c r="D16" s="450">
        <v>21.7970811</v>
      </c>
      <c r="F16" s="956"/>
      <c r="G16" s="192">
        <v>98.75</v>
      </c>
      <c r="H16" s="192">
        <v>2.0874097113290127</v>
      </c>
      <c r="I16" s="453"/>
      <c r="J16" s="453"/>
      <c r="K16" s="454" t="s">
        <v>152</v>
      </c>
      <c r="L16" s="454" t="s">
        <v>151</v>
      </c>
      <c r="M16" s="453"/>
      <c r="N16" s="453"/>
      <c r="O16" s="956"/>
      <c r="P16">
        <v>95.5</v>
      </c>
      <c r="Q16" s="39">
        <v>2.1004689088719113</v>
      </c>
      <c r="R16" s="453"/>
      <c r="S16" s="453"/>
      <c r="T16" s="453" t="s">
        <v>152</v>
      </c>
      <c r="U16" s="453" t="s">
        <v>151</v>
      </c>
      <c r="V16" s="453"/>
      <c r="W16" s="453"/>
      <c r="X16" s="956"/>
      <c r="Y16">
        <v>100.75</v>
      </c>
      <c r="Z16">
        <v>2.2902088219259902</v>
      </c>
      <c r="AA16" s="470"/>
      <c r="AB16" s="464" t="s">
        <v>152</v>
      </c>
      <c r="AC16" s="464" t="s">
        <v>151</v>
      </c>
      <c r="AD16" s="470"/>
      <c r="AE16" s="470"/>
    </row>
    <row r="17" spans="2:31" x14ac:dyDescent="0.3">
      <c r="B17" s="449" t="s">
        <v>15</v>
      </c>
      <c r="C17" s="450">
        <v>2.0299999999999999E-2</v>
      </c>
      <c r="D17" s="450">
        <v>34.145181299999997</v>
      </c>
      <c r="F17" s="956"/>
      <c r="G17">
        <v>167.75</v>
      </c>
      <c r="H17">
        <v>2.234448997227076</v>
      </c>
      <c r="I17" s="453"/>
      <c r="J17" s="453"/>
      <c r="K17" s="454">
        <v>3.2199999999999999E-2</v>
      </c>
      <c r="L17" s="454">
        <f>LN(2)/K17</f>
        <v>21.526309955277803</v>
      </c>
      <c r="M17" s="453"/>
      <c r="N17" s="453"/>
      <c r="O17" s="956"/>
      <c r="P17">
        <v>163</v>
      </c>
      <c r="Q17" s="39">
        <v>2.1558468728822411</v>
      </c>
      <c r="R17" s="453"/>
      <c r="S17" s="453"/>
      <c r="T17" s="453">
        <v>3.2399999999999998E-2</v>
      </c>
      <c r="U17" s="464">
        <f>LN(2)/T17</f>
        <v>21.393431498763743</v>
      </c>
      <c r="V17" s="453"/>
      <c r="W17" s="453"/>
      <c r="X17" s="956"/>
      <c r="Y17">
        <v>165.5</v>
      </c>
      <c r="Z17">
        <v>2.1764548158498336</v>
      </c>
      <c r="AA17" s="470"/>
      <c r="AB17" s="464">
        <v>2.8299999999999999E-2</v>
      </c>
      <c r="AC17" s="464">
        <f>LN(2)/AB17</f>
        <v>24.492833235333755</v>
      </c>
      <c r="AD17" s="470"/>
      <c r="AE17" s="470"/>
    </row>
    <row r="18" spans="2:31" s="457" customFormat="1" x14ac:dyDescent="0.3">
      <c r="B18" s="449" t="s">
        <v>16</v>
      </c>
      <c r="C18" s="415">
        <v>2.9600000000000001E-2</v>
      </c>
      <c r="D18" s="415">
        <f>LN(2)/C18</f>
        <v>23.417134478376529</v>
      </c>
      <c r="Q18" s="458"/>
    </row>
    <row r="19" spans="2:31" ht="14.4" customHeight="1" x14ac:dyDescent="0.3">
      <c r="B19" s="451" t="s">
        <v>5</v>
      </c>
      <c r="C19" s="192">
        <v>3.4799999999999998E-2</v>
      </c>
      <c r="D19" s="192">
        <v>19.918022429883486</v>
      </c>
      <c r="F19" s="956" t="s">
        <v>193</v>
      </c>
      <c r="G19">
        <v>0</v>
      </c>
      <c r="H19">
        <v>0</v>
      </c>
      <c r="O19" s="956" t="s">
        <v>192</v>
      </c>
      <c r="P19">
        <v>0</v>
      </c>
      <c r="Q19" s="39">
        <v>0</v>
      </c>
      <c r="X19" s="956" t="s">
        <v>191</v>
      </c>
      <c r="Y19">
        <v>0</v>
      </c>
      <c r="Z19">
        <v>0</v>
      </c>
    </row>
    <row r="20" spans="2:31" x14ac:dyDescent="0.3">
      <c r="B20" s="451" t="s">
        <v>6</v>
      </c>
      <c r="C20" s="192">
        <v>3.09E-2</v>
      </c>
      <c r="D20" s="192">
        <v>22.431947590936741</v>
      </c>
      <c r="F20" s="956"/>
      <c r="G20">
        <v>4.45</v>
      </c>
      <c r="H20">
        <v>5.152926654393121E-2</v>
      </c>
      <c r="O20" s="956"/>
      <c r="P20">
        <v>7.5</v>
      </c>
      <c r="Q20" s="39">
        <v>2.4887715507779101E-2</v>
      </c>
      <c r="X20" s="956"/>
      <c r="Y20" s="461">
        <v>5.25</v>
      </c>
      <c r="Z20" s="461">
        <v>-0.22309355256416813</v>
      </c>
    </row>
    <row r="21" spans="2:31" x14ac:dyDescent="0.3">
      <c r="B21" s="451" t="s">
        <v>7</v>
      </c>
      <c r="C21" s="192">
        <v>2.4400000000000002E-2</v>
      </c>
      <c r="D21" s="192">
        <v>28.407671334423984</v>
      </c>
      <c r="F21" s="956"/>
      <c r="G21" s="32">
        <v>20.5</v>
      </c>
      <c r="H21" s="32">
        <v>0.21220393127582415</v>
      </c>
      <c r="O21" s="956"/>
      <c r="P21" s="32">
        <v>24</v>
      </c>
      <c r="Q21" s="211">
        <v>0.39700273636124545</v>
      </c>
      <c r="X21" s="956"/>
      <c r="Y21" s="32">
        <v>23.5</v>
      </c>
      <c r="Z21" s="32">
        <v>0.58020242154381096</v>
      </c>
    </row>
    <row r="22" spans="2:31" x14ac:dyDescent="0.3">
      <c r="B22" s="451"/>
      <c r="F22" s="956"/>
      <c r="G22" s="32">
        <v>27.25</v>
      </c>
      <c r="H22" s="32">
        <v>0.35767444427181588</v>
      </c>
      <c r="O22" s="956"/>
      <c r="P22" s="32">
        <v>31</v>
      </c>
      <c r="Q22" s="211">
        <v>0.78595423014615173</v>
      </c>
      <c r="X22" s="956"/>
      <c r="Y22" s="32">
        <v>29.5</v>
      </c>
      <c r="Z22" s="32">
        <v>0.8379745329263194</v>
      </c>
    </row>
    <row r="23" spans="2:31" x14ac:dyDescent="0.3">
      <c r="B23" s="452" t="s">
        <v>176</v>
      </c>
      <c r="C23" s="481">
        <f>AVERAGE(C6:C21)</f>
        <v>2.8462499999999995E-2</v>
      </c>
      <c r="D23" s="481">
        <f>AVERAGE(D6:D21)</f>
        <v>25.051729253502749</v>
      </c>
      <c r="F23" s="956"/>
      <c r="G23" s="32">
        <v>47.75</v>
      </c>
      <c r="H23" s="32">
        <v>0.95300831480931791</v>
      </c>
      <c r="O23" s="956"/>
      <c r="P23" s="32">
        <v>48.5</v>
      </c>
      <c r="Q23" s="211">
        <v>1.325269659282116</v>
      </c>
      <c r="X23" s="956"/>
      <c r="Y23" s="32">
        <v>47.25</v>
      </c>
      <c r="Z23" s="32">
        <v>1.1922847645307448</v>
      </c>
    </row>
    <row r="24" spans="2:31" x14ac:dyDescent="0.3">
      <c r="B24" s="452" t="s">
        <v>177</v>
      </c>
      <c r="C24" s="481">
        <f>STDEV(C6:C21)</f>
        <v>4.5796470024082273E-3</v>
      </c>
      <c r="D24" s="481">
        <f>STDEV(D6:D21)</f>
        <v>4.6767456868174211</v>
      </c>
      <c r="F24" s="956"/>
      <c r="G24" s="32"/>
      <c r="H24" s="32"/>
      <c r="O24" s="956"/>
      <c r="P24" s="32">
        <v>53.5</v>
      </c>
      <c r="Q24" s="211">
        <v>1.3625138324544872</v>
      </c>
      <c r="X24" s="956"/>
      <c r="Y24" s="32">
        <v>54.25</v>
      </c>
      <c r="Z24" s="32">
        <v>1.3809048638354526</v>
      </c>
    </row>
    <row r="25" spans="2:31" x14ac:dyDescent="0.3">
      <c r="B25" s="452" t="s">
        <v>178</v>
      </c>
      <c r="C25" s="481">
        <f>SQRT(16)</f>
        <v>4</v>
      </c>
      <c r="D25" s="481">
        <f>SQRT(16)</f>
        <v>4</v>
      </c>
      <c r="F25" s="956"/>
      <c r="G25" s="32">
        <v>69.75</v>
      </c>
      <c r="H25" s="32">
        <v>1.6647780074672651</v>
      </c>
      <c r="O25" s="956"/>
      <c r="P25" s="32">
        <v>71</v>
      </c>
      <c r="Q25" s="211">
        <v>1.6974487897568136</v>
      </c>
      <c r="X25" s="956"/>
      <c r="Y25" s="32">
        <v>71</v>
      </c>
      <c r="Z25" s="32">
        <v>1.6263146949905387</v>
      </c>
    </row>
    <row r="26" spans="2:31" x14ac:dyDescent="0.3">
      <c r="B26" s="452" t="s">
        <v>179</v>
      </c>
      <c r="C26" s="481">
        <f>C24/C25</f>
        <v>1.1449117506020568E-3</v>
      </c>
      <c r="D26" s="481">
        <f>D24/D25</f>
        <v>1.1691864217043553</v>
      </c>
      <c r="F26" s="956"/>
      <c r="G26">
        <v>77.75</v>
      </c>
      <c r="H26">
        <v>1.7765330218967634</v>
      </c>
      <c r="O26" s="956"/>
      <c r="P26">
        <v>78</v>
      </c>
      <c r="Q26" s="39">
        <v>1.8747209899424022</v>
      </c>
      <c r="X26" s="956"/>
      <c r="Y26" s="192">
        <v>77.25</v>
      </c>
      <c r="Z26" s="192">
        <v>1.7997276388772319</v>
      </c>
    </row>
    <row r="27" spans="2:31" x14ac:dyDescent="0.3">
      <c r="F27" s="956"/>
      <c r="O27" s="956"/>
      <c r="P27" s="192">
        <v>96</v>
      </c>
      <c r="Q27" s="465">
        <v>2.1726358482386599</v>
      </c>
      <c r="X27" s="956"/>
      <c r="Y27">
        <v>95.25</v>
      </c>
      <c r="Z27">
        <v>2.0749188296188472</v>
      </c>
    </row>
    <row r="28" spans="2:31" x14ac:dyDescent="0.3">
      <c r="F28" s="956"/>
      <c r="I28" s="453"/>
      <c r="J28" s="453"/>
      <c r="K28" s="454" t="s">
        <v>152</v>
      </c>
      <c r="L28" s="454" t="s">
        <v>151</v>
      </c>
      <c r="M28" s="453"/>
      <c r="N28" s="453"/>
      <c r="O28" s="956"/>
      <c r="P28" s="192">
        <v>102.25</v>
      </c>
      <c r="Q28" s="465">
        <v>2.1411479311158144</v>
      </c>
      <c r="R28" s="453"/>
      <c r="S28" s="453"/>
      <c r="T28" s="453" t="s">
        <v>152</v>
      </c>
      <c r="U28" s="453" t="s">
        <v>151</v>
      </c>
      <c r="V28" s="453"/>
      <c r="W28" s="453"/>
      <c r="X28" s="956"/>
      <c r="AA28" s="453"/>
      <c r="AB28" s="460" t="s">
        <v>152</v>
      </c>
      <c r="AC28" s="460" t="s">
        <v>151</v>
      </c>
      <c r="AD28" s="453"/>
      <c r="AE28" s="453"/>
    </row>
    <row r="29" spans="2:31" x14ac:dyDescent="0.3">
      <c r="F29" s="956"/>
      <c r="G29">
        <v>166.75</v>
      </c>
      <c r="H29">
        <v>1.9947003132247452</v>
      </c>
      <c r="I29" s="453"/>
      <c r="J29" s="453"/>
      <c r="K29" s="454">
        <v>2.9700000000000001E-2</v>
      </c>
      <c r="L29" s="454">
        <f>LN(2)/K29</f>
        <v>23.338288907742264</v>
      </c>
      <c r="M29" s="453"/>
      <c r="N29" s="453"/>
      <c r="O29" s="956"/>
      <c r="P29">
        <v>170</v>
      </c>
      <c r="Q29" s="39">
        <v>2.1568191627011806</v>
      </c>
      <c r="R29" s="453"/>
      <c r="S29" s="453"/>
      <c r="T29" s="453">
        <v>2.7E-2</v>
      </c>
      <c r="U29" s="464">
        <f>LN(2)/T29</f>
        <v>25.672117798516492</v>
      </c>
      <c r="V29" s="453"/>
      <c r="W29" s="453"/>
      <c r="X29" s="956"/>
      <c r="Y29">
        <v>169.25</v>
      </c>
      <c r="Z29">
        <v>1.9318112246758117</v>
      </c>
      <c r="AA29" s="453"/>
      <c r="AB29" s="460">
        <v>2.1600000000000001E-2</v>
      </c>
      <c r="AC29" s="460">
        <f>LN(2)/AB29</f>
        <v>32.090147248145612</v>
      </c>
      <c r="AD29" s="453"/>
      <c r="AE29" s="453"/>
    </row>
    <row r="30" spans="2:31" s="457" customFormat="1" x14ac:dyDescent="0.3">
      <c r="Q30" s="458"/>
    </row>
    <row r="31" spans="2:31" ht="14.4" customHeight="1" x14ac:dyDescent="0.3">
      <c r="F31" s="956" t="s">
        <v>190</v>
      </c>
      <c r="G31" s="469">
        <v>0</v>
      </c>
      <c r="H31">
        <v>0</v>
      </c>
      <c r="O31" s="956" t="s">
        <v>189</v>
      </c>
      <c r="P31">
        <v>0</v>
      </c>
      <c r="Q31" s="39">
        <v>0</v>
      </c>
      <c r="X31" s="956" t="s">
        <v>188</v>
      </c>
      <c r="Y31">
        <v>0</v>
      </c>
      <c r="Z31">
        <v>0</v>
      </c>
      <c r="AA31" s="4"/>
      <c r="AB31" s="4"/>
      <c r="AC31" s="4"/>
      <c r="AD31" s="4"/>
      <c r="AE31" s="4"/>
    </row>
    <row r="32" spans="2:31" x14ac:dyDescent="0.3">
      <c r="F32" s="956"/>
      <c r="O32" s="956"/>
      <c r="P32">
        <v>6.25</v>
      </c>
      <c r="Q32" s="39">
        <v>4.8681313968605231E-3</v>
      </c>
      <c r="X32" s="956"/>
      <c r="Y32" s="461">
        <v>6</v>
      </c>
      <c r="Z32" s="461">
        <v>-0.20265488488689415</v>
      </c>
    </row>
    <row r="33" spans="6:31" x14ac:dyDescent="0.3">
      <c r="F33" s="956"/>
      <c r="G33" s="32">
        <v>25.75</v>
      </c>
      <c r="H33" s="32">
        <v>0.74369769915784645</v>
      </c>
      <c r="O33" s="956"/>
      <c r="P33" s="32">
        <v>22.5</v>
      </c>
      <c r="Q33" s="211">
        <v>0.4471443350996529</v>
      </c>
      <c r="X33" s="956"/>
      <c r="Y33" s="32">
        <v>21.25</v>
      </c>
      <c r="Z33" s="32">
        <v>0.17898265552843995</v>
      </c>
    </row>
    <row r="34" spans="6:31" x14ac:dyDescent="0.3">
      <c r="F34" s="956"/>
      <c r="G34" s="32"/>
      <c r="H34" s="32"/>
      <c r="O34" s="956"/>
      <c r="P34" s="32">
        <v>29.25</v>
      </c>
      <c r="Q34" s="211">
        <v>0.67793201475346498</v>
      </c>
      <c r="X34" s="956"/>
      <c r="Y34" s="32">
        <v>30.25</v>
      </c>
      <c r="Z34" s="32">
        <v>0.639683110690621</v>
      </c>
    </row>
    <row r="35" spans="6:31" x14ac:dyDescent="0.3">
      <c r="F35" s="956"/>
      <c r="G35" s="32">
        <v>49</v>
      </c>
      <c r="H35" s="32">
        <v>1.4145173200636305</v>
      </c>
      <c r="O35" s="956"/>
      <c r="P35" s="32">
        <v>46.25</v>
      </c>
      <c r="Q35" s="211">
        <v>1.1512806372351936</v>
      </c>
      <c r="X35" s="956"/>
      <c r="Y35" s="32">
        <v>47.5</v>
      </c>
      <c r="Z35" s="32">
        <v>1.2616377565203349</v>
      </c>
    </row>
    <row r="36" spans="6:31" x14ac:dyDescent="0.3">
      <c r="F36" s="956"/>
      <c r="G36" s="32"/>
      <c r="H36" s="32"/>
      <c r="O36" s="956"/>
      <c r="P36" s="32">
        <v>53.25</v>
      </c>
      <c r="Q36" s="211">
        <v>1.3881925584029708</v>
      </c>
      <c r="X36" s="956"/>
      <c r="Y36" s="467">
        <v>53.5</v>
      </c>
      <c r="Z36" s="467">
        <v>1.2128334327581325</v>
      </c>
    </row>
    <row r="37" spans="6:31" x14ac:dyDescent="0.3">
      <c r="F37" s="956"/>
      <c r="G37" s="32">
        <v>74.5</v>
      </c>
      <c r="H37" s="32">
        <v>1.7357180783444301</v>
      </c>
      <c r="O37" s="956"/>
      <c r="P37" s="32">
        <v>70.25</v>
      </c>
      <c r="Q37" s="211">
        <v>1.7927589695611386</v>
      </c>
      <c r="X37" s="956"/>
      <c r="Y37" s="32">
        <v>71</v>
      </c>
      <c r="Z37" s="32">
        <v>1.8271266130653463</v>
      </c>
    </row>
    <row r="38" spans="6:31" x14ac:dyDescent="0.3">
      <c r="F38" s="956"/>
      <c r="O38" s="956"/>
      <c r="P38">
        <v>76.75</v>
      </c>
      <c r="Q38" s="39">
        <v>2.0668880756082157</v>
      </c>
      <c r="X38" s="956"/>
    </row>
    <row r="39" spans="6:31" x14ac:dyDescent="0.3">
      <c r="F39" s="956"/>
      <c r="G39">
        <v>96</v>
      </c>
      <c r="H39">
        <v>1.9028535167336418</v>
      </c>
      <c r="O39" s="956"/>
      <c r="P39">
        <v>94.5</v>
      </c>
      <c r="Q39" s="39">
        <v>2.1154720754639604</v>
      </c>
      <c r="X39" s="956"/>
    </row>
    <row r="40" spans="6:31" x14ac:dyDescent="0.3">
      <c r="F40" s="956"/>
      <c r="I40" s="453"/>
      <c r="J40" s="453"/>
      <c r="K40" s="454" t="s">
        <v>152</v>
      </c>
      <c r="L40" s="454" t="s">
        <v>151</v>
      </c>
      <c r="M40" s="453"/>
      <c r="N40" s="453"/>
      <c r="O40" s="956"/>
      <c r="Q40" s="39"/>
      <c r="R40" s="453"/>
      <c r="S40" s="453"/>
      <c r="T40" s="453" t="s">
        <v>152</v>
      </c>
      <c r="U40" s="453" t="s">
        <v>151</v>
      </c>
      <c r="W40" s="453"/>
      <c r="X40" s="956"/>
      <c r="Y40">
        <v>99.5</v>
      </c>
      <c r="Z40">
        <v>2.2199640643057088</v>
      </c>
      <c r="AA40" s="453"/>
      <c r="AB40" s="460" t="s">
        <v>152</v>
      </c>
      <c r="AC40" s="460" t="s">
        <v>151</v>
      </c>
      <c r="AD40" s="453"/>
      <c r="AE40" s="453"/>
    </row>
    <row r="41" spans="6:31" x14ac:dyDescent="0.3">
      <c r="F41" s="956"/>
      <c r="I41" s="453"/>
      <c r="J41" s="453"/>
      <c r="K41" s="454">
        <v>2.0199999999999999E-2</v>
      </c>
      <c r="L41" s="454">
        <f>LN(2)/K41</f>
        <v>34.314216859403231</v>
      </c>
      <c r="M41" s="453"/>
      <c r="N41" s="453"/>
      <c r="O41" s="956"/>
      <c r="P41">
        <v>170.25</v>
      </c>
      <c r="Q41" s="39"/>
      <c r="R41" s="453"/>
      <c r="S41" s="453"/>
      <c r="T41" s="453">
        <v>2.8299999999999999E-2</v>
      </c>
      <c r="U41" s="464">
        <f>LN(2)/T41</f>
        <v>24.492833235333755</v>
      </c>
      <c r="W41" s="453"/>
      <c r="X41" s="956"/>
      <c r="AA41" s="453"/>
      <c r="AB41" s="460">
        <v>3.1800000000000002E-2</v>
      </c>
      <c r="AC41" s="460">
        <f>LN(2)/AB41</f>
        <v>21.797081149683812</v>
      </c>
      <c r="AD41" s="453"/>
      <c r="AE41" s="453"/>
    </row>
    <row r="42" spans="6:31" s="457" customFormat="1" x14ac:dyDescent="0.3">
      <c r="Q42" s="458"/>
    </row>
    <row r="43" spans="6:31" ht="14.4" customHeight="1" x14ac:dyDescent="0.3">
      <c r="F43" s="956"/>
      <c r="O43" s="956" t="s">
        <v>186</v>
      </c>
      <c r="P43">
        <v>0</v>
      </c>
      <c r="Q43" s="39">
        <v>0</v>
      </c>
      <c r="X43" s="956" t="s">
        <v>185</v>
      </c>
      <c r="Y43">
        <v>0</v>
      </c>
      <c r="Z43">
        <v>0</v>
      </c>
    </row>
    <row r="44" spans="6:31" x14ac:dyDescent="0.3">
      <c r="F44" s="956"/>
      <c r="O44" s="956"/>
      <c r="Q44" s="39"/>
      <c r="X44" s="956"/>
    </row>
    <row r="45" spans="6:31" x14ac:dyDescent="0.3">
      <c r="F45" s="956"/>
      <c r="O45" s="956"/>
      <c r="P45" s="32">
        <v>21.5</v>
      </c>
      <c r="Q45" s="211">
        <v>0.36380943283933187</v>
      </c>
      <c r="X45" s="956"/>
      <c r="Y45" s="32">
        <v>22</v>
      </c>
      <c r="Z45" s="32">
        <v>0.15124360122309327</v>
      </c>
    </row>
    <row r="46" spans="6:31" x14ac:dyDescent="0.3">
      <c r="F46" s="956"/>
      <c r="O46" s="956"/>
      <c r="P46" s="32">
        <v>29</v>
      </c>
      <c r="Q46" s="211">
        <v>0.54562117570432456</v>
      </c>
      <c r="X46" s="956"/>
      <c r="Y46" s="304">
        <v>28</v>
      </c>
      <c r="Z46" s="466">
        <v>0.57773632904861771</v>
      </c>
    </row>
    <row r="47" spans="6:31" x14ac:dyDescent="0.3">
      <c r="F47" s="956"/>
      <c r="O47" s="956"/>
      <c r="P47" s="32">
        <v>45.75</v>
      </c>
      <c r="Q47" s="211">
        <v>1.1711189794548578</v>
      </c>
      <c r="X47" s="956"/>
      <c r="Y47" s="304">
        <v>45.75</v>
      </c>
      <c r="Z47" s="466">
        <v>1.1228495130321552</v>
      </c>
    </row>
    <row r="48" spans="6:31" x14ac:dyDescent="0.3">
      <c r="F48" s="956"/>
      <c r="O48" s="956"/>
      <c r="P48" s="32">
        <v>53</v>
      </c>
      <c r="Q48" s="211">
        <v>1.4228769821815779</v>
      </c>
      <c r="X48" s="956"/>
      <c r="Y48" s="466">
        <v>48.75</v>
      </c>
      <c r="Z48" s="466">
        <v>1.1303434868295632</v>
      </c>
    </row>
    <row r="49" spans="6:31" x14ac:dyDescent="0.3">
      <c r="F49" s="956"/>
      <c r="O49" s="956"/>
      <c r="P49" s="467">
        <v>70</v>
      </c>
      <c r="Q49" s="459">
        <v>1.8704412512622499</v>
      </c>
      <c r="X49" s="956"/>
      <c r="Y49" s="466">
        <v>69</v>
      </c>
      <c r="Z49" s="466">
        <v>1.7206214413947154</v>
      </c>
    </row>
    <row r="50" spans="6:31" x14ac:dyDescent="0.3">
      <c r="F50" s="956"/>
      <c r="O50" s="956"/>
      <c r="P50" s="192">
        <v>76.75</v>
      </c>
      <c r="Q50" s="465">
        <v>1.8996567645378513</v>
      </c>
      <c r="X50" s="956"/>
      <c r="Y50">
        <v>76.75</v>
      </c>
      <c r="Z50">
        <v>1.7997276388772319</v>
      </c>
    </row>
    <row r="51" spans="6:31" x14ac:dyDescent="0.3">
      <c r="F51" s="956"/>
      <c r="O51" s="956"/>
      <c r="P51" s="192">
        <v>93.75</v>
      </c>
      <c r="Q51" s="465">
        <v>2.1512582003023142</v>
      </c>
      <c r="X51" s="956"/>
      <c r="Y51" s="32">
        <v>95</v>
      </c>
      <c r="Z51">
        <v>2.1716788231462467</v>
      </c>
    </row>
    <row r="52" spans="6:31" x14ac:dyDescent="0.3">
      <c r="F52" s="956"/>
      <c r="O52" s="956"/>
      <c r="P52" s="192">
        <v>98.5</v>
      </c>
      <c r="Q52" s="465">
        <v>2.1357037206879688</v>
      </c>
      <c r="R52" s="453"/>
      <c r="S52" s="453"/>
      <c r="T52" s="453" t="s">
        <v>152</v>
      </c>
      <c r="U52" s="453" t="s">
        <v>151</v>
      </c>
      <c r="V52" s="453"/>
      <c r="W52" s="453"/>
      <c r="X52" s="956"/>
      <c r="AA52" s="453"/>
      <c r="AB52" s="460" t="s">
        <v>152</v>
      </c>
      <c r="AC52" s="460" t="s">
        <v>151</v>
      </c>
      <c r="AD52" s="453"/>
      <c r="AE52" s="453"/>
    </row>
    <row r="53" spans="6:31" x14ac:dyDescent="0.3">
      <c r="F53" s="956"/>
      <c r="O53" s="956"/>
      <c r="P53">
        <v>168</v>
      </c>
      <c r="Q53" s="39">
        <v>2.2046046846338418</v>
      </c>
      <c r="R53" s="453"/>
      <c r="S53" s="453"/>
      <c r="T53" s="453">
        <v>3.2099999999999997E-2</v>
      </c>
      <c r="U53" s="464">
        <f>LN(2)/T53</f>
        <v>21.593370110901724</v>
      </c>
      <c r="V53" s="453"/>
      <c r="W53" s="453"/>
      <c r="X53" s="956"/>
      <c r="Y53" s="32">
        <v>168.5</v>
      </c>
      <c r="Z53">
        <v>2.3125354238472138</v>
      </c>
      <c r="AA53" s="453"/>
      <c r="AB53" s="460">
        <v>3.1800000000000002E-2</v>
      </c>
      <c r="AC53" s="460">
        <f>LN(2)/AB53</f>
        <v>21.797081149683812</v>
      </c>
      <c r="AD53" s="453"/>
      <c r="AE53" s="453"/>
    </row>
    <row r="54" spans="6:31" s="457" customFormat="1" x14ac:dyDescent="0.3">
      <c r="Q54" s="458"/>
    </row>
    <row r="55" spans="6:31" ht="14.4" customHeight="1" x14ac:dyDescent="0.3">
      <c r="F55" s="957" t="s">
        <v>184</v>
      </c>
      <c r="G55" s="450">
        <v>0</v>
      </c>
      <c r="H55" s="450">
        <v>0</v>
      </c>
      <c r="Q55" s="39"/>
      <c r="X55" s="956" t="s">
        <v>183</v>
      </c>
      <c r="Y55">
        <v>0</v>
      </c>
      <c r="Z55">
        <v>0</v>
      </c>
    </row>
    <row r="56" spans="6:31" x14ac:dyDescent="0.3">
      <c r="F56" s="957"/>
      <c r="G56" s="455">
        <v>21.75</v>
      </c>
      <c r="H56" s="455">
        <v>0.26543645999999999</v>
      </c>
      <c r="Q56" s="39"/>
      <c r="X56" s="956"/>
    </row>
    <row r="57" spans="6:31" x14ac:dyDescent="0.3">
      <c r="F57" s="957"/>
      <c r="G57" s="455">
        <v>31</v>
      </c>
      <c r="H57" s="455">
        <v>0.63585698999999996</v>
      </c>
      <c r="Q57" s="39"/>
      <c r="X57" s="956"/>
      <c r="Y57" s="463">
        <v>23.25</v>
      </c>
      <c r="Z57" s="462">
        <v>-7.9043207340452726E-2</v>
      </c>
    </row>
    <row r="58" spans="6:31" x14ac:dyDescent="0.3">
      <c r="F58" s="957"/>
      <c r="G58" s="455">
        <v>46.667000000000002</v>
      </c>
      <c r="H58" s="455">
        <v>1.0698012100000001</v>
      </c>
      <c r="Q58" s="39"/>
      <c r="X58" s="956"/>
      <c r="Y58">
        <v>30</v>
      </c>
      <c r="Z58" s="211">
        <v>0.87921172363273425</v>
      </c>
    </row>
    <row r="59" spans="6:31" x14ac:dyDescent="0.3">
      <c r="F59" s="957"/>
      <c r="G59" s="455">
        <v>54.25</v>
      </c>
      <c r="H59" s="455">
        <v>1.43430327</v>
      </c>
      <c r="Q59" s="39"/>
      <c r="X59" s="956"/>
      <c r="Y59" s="32">
        <v>47.5</v>
      </c>
      <c r="Z59" s="211">
        <v>1.2119409739751128</v>
      </c>
    </row>
    <row r="60" spans="6:31" x14ac:dyDescent="0.3">
      <c r="F60" s="957"/>
      <c r="G60" s="455">
        <v>70.5</v>
      </c>
      <c r="H60" s="455">
        <v>1.9780730500000001</v>
      </c>
      <c r="Q60" s="39"/>
      <c r="X60" s="956"/>
      <c r="Y60">
        <v>55.5</v>
      </c>
      <c r="Z60" s="211">
        <v>1.3701649791900068</v>
      </c>
    </row>
    <row r="61" spans="6:31" x14ac:dyDescent="0.3">
      <c r="F61" s="957"/>
      <c r="G61" s="450">
        <v>78.75</v>
      </c>
      <c r="H61" s="450">
        <v>1.91279646</v>
      </c>
      <c r="Q61" s="39"/>
      <c r="X61" s="956"/>
      <c r="Y61" s="32">
        <v>72</v>
      </c>
      <c r="Z61" s="211">
        <v>1.7333355490903379</v>
      </c>
    </row>
    <row r="62" spans="6:31" x14ac:dyDescent="0.3">
      <c r="F62" s="957"/>
      <c r="G62" s="450">
        <v>94.17</v>
      </c>
      <c r="H62" s="450">
        <v>2.0009934</v>
      </c>
      <c r="Q62" s="39"/>
      <c r="X62" s="956"/>
      <c r="Y62">
        <v>76.25</v>
      </c>
      <c r="Z62">
        <v>1.7467272351859471</v>
      </c>
    </row>
    <row r="63" spans="6:31" x14ac:dyDescent="0.3">
      <c r="F63" s="957"/>
      <c r="G63" s="450">
        <v>101.42</v>
      </c>
      <c r="H63" s="450">
        <v>1.9904053900000001</v>
      </c>
      <c r="Q63" s="39"/>
      <c r="X63" s="956"/>
      <c r="Y63" s="32">
        <v>96</v>
      </c>
      <c r="Z63">
        <v>1.9384538483788585</v>
      </c>
    </row>
    <row r="64" spans="6:31" x14ac:dyDescent="0.3">
      <c r="F64" s="957"/>
      <c r="I64" s="453"/>
      <c r="J64" s="453"/>
      <c r="K64" s="454" t="s">
        <v>152</v>
      </c>
      <c r="L64" s="454" t="s">
        <v>151</v>
      </c>
      <c r="M64" s="453"/>
      <c r="N64" s="453"/>
      <c r="Q64" s="39"/>
      <c r="X64" s="956"/>
      <c r="AA64" s="453"/>
      <c r="AB64" s="460" t="s">
        <v>152</v>
      </c>
      <c r="AC64" s="460" t="s">
        <v>151</v>
      </c>
      <c r="AD64" s="453"/>
      <c r="AE64" s="453"/>
    </row>
    <row r="65" spans="6:31" x14ac:dyDescent="0.3">
      <c r="F65" s="957"/>
      <c r="I65" s="453"/>
      <c r="J65" s="453"/>
      <c r="K65" s="454">
        <v>3.4799999999999998E-2</v>
      </c>
      <c r="L65" s="454">
        <f>LN(2)/K65</f>
        <v>19.918022429883486</v>
      </c>
      <c r="M65" s="453"/>
      <c r="N65" s="453"/>
      <c r="Q65" s="39"/>
      <c r="X65" s="956"/>
      <c r="AA65" s="453"/>
      <c r="AB65" s="460">
        <v>2.0299999999999999E-2</v>
      </c>
      <c r="AC65" s="460">
        <f>LN(2)/AB65</f>
        <v>34.14518130837169</v>
      </c>
      <c r="AD65" s="453"/>
      <c r="AE65" s="453"/>
    </row>
    <row r="66" spans="6:31" s="457" customFormat="1" x14ac:dyDescent="0.3">
      <c r="Q66" s="458"/>
    </row>
    <row r="67" spans="6:31" ht="14.4" customHeight="1" x14ac:dyDescent="0.3">
      <c r="F67" s="957" t="s">
        <v>182</v>
      </c>
      <c r="G67" s="450">
        <v>0</v>
      </c>
      <c r="H67" s="450">
        <v>0</v>
      </c>
      <c r="Q67" s="39"/>
      <c r="X67" s="956" t="s">
        <v>181</v>
      </c>
      <c r="Y67">
        <v>0</v>
      </c>
      <c r="Z67">
        <v>0</v>
      </c>
    </row>
    <row r="68" spans="6:31" x14ac:dyDescent="0.3">
      <c r="F68" s="957"/>
      <c r="G68" s="456">
        <v>7</v>
      </c>
      <c r="H68" s="456">
        <v>-7.4508052175061582E-2</v>
      </c>
      <c r="Q68" s="39"/>
      <c r="X68" s="956"/>
    </row>
    <row r="69" spans="6:31" x14ac:dyDescent="0.3">
      <c r="F69" s="957"/>
      <c r="G69" s="456">
        <v>22.25</v>
      </c>
      <c r="H69" s="456">
        <v>-0.13673652357347102</v>
      </c>
      <c r="Q69" s="39"/>
      <c r="X69" s="956"/>
      <c r="Y69">
        <v>19</v>
      </c>
      <c r="Z69">
        <v>6.0718735034705797E-2</v>
      </c>
    </row>
    <row r="70" spans="6:31" x14ac:dyDescent="0.3">
      <c r="F70" s="957"/>
      <c r="G70" s="455">
        <v>31.25</v>
      </c>
      <c r="H70" s="455">
        <v>0.38048912203798729</v>
      </c>
      <c r="Q70" s="39"/>
      <c r="X70" s="956"/>
      <c r="Y70" s="32">
        <v>25.5</v>
      </c>
      <c r="Z70" s="32">
        <v>0.29252034909203023</v>
      </c>
    </row>
    <row r="71" spans="6:31" x14ac:dyDescent="0.3">
      <c r="F71" s="957"/>
      <c r="G71" s="455">
        <v>46.5</v>
      </c>
      <c r="H71" s="455">
        <v>0.90016134994427144</v>
      </c>
      <c r="Q71" s="39"/>
      <c r="X71" s="956"/>
      <c r="Y71" s="32">
        <v>45.5</v>
      </c>
      <c r="Z71" s="32">
        <v>0.91075544037547806</v>
      </c>
    </row>
    <row r="72" spans="6:31" x14ac:dyDescent="0.3">
      <c r="F72" s="957"/>
      <c r="G72" s="455">
        <v>54.167000000000002</v>
      </c>
      <c r="H72" s="455">
        <v>1.0508216248317612</v>
      </c>
      <c r="X72" s="956"/>
      <c r="Y72" s="32"/>
      <c r="Z72" s="32"/>
    </row>
    <row r="73" spans="6:31" x14ac:dyDescent="0.3">
      <c r="F73" s="957"/>
      <c r="G73" s="455">
        <v>69.75</v>
      </c>
      <c r="H73" s="455">
        <v>1.5876421000636429</v>
      </c>
      <c r="X73" s="956"/>
      <c r="Y73">
        <v>66.5</v>
      </c>
      <c r="Z73" s="32">
        <v>1.4692558818342378</v>
      </c>
    </row>
    <row r="74" spans="6:31" x14ac:dyDescent="0.3">
      <c r="F74" s="957"/>
      <c r="G74" s="450">
        <v>77.667000000000002</v>
      </c>
      <c r="H74" s="450">
        <v>1.7433392366255027</v>
      </c>
      <c r="X74" s="956"/>
      <c r="Y74" s="32">
        <v>73.75</v>
      </c>
      <c r="Z74">
        <v>1.6362745663876601</v>
      </c>
    </row>
    <row r="75" spans="6:31" x14ac:dyDescent="0.3">
      <c r="F75" s="957"/>
      <c r="G75" s="461">
        <v>94.75</v>
      </c>
      <c r="H75" s="461">
        <v>1.6803808812446657</v>
      </c>
      <c r="X75" s="956"/>
    </row>
    <row r="76" spans="6:31" x14ac:dyDescent="0.3">
      <c r="F76" s="957"/>
      <c r="G76" s="450">
        <v>100.917</v>
      </c>
      <c r="H76" s="450">
        <v>1.9614084841455874</v>
      </c>
      <c r="I76" s="453"/>
      <c r="J76" s="453"/>
      <c r="K76" s="454" t="s">
        <v>152</v>
      </c>
      <c r="L76" s="454" t="s">
        <v>151</v>
      </c>
      <c r="M76" s="453"/>
      <c r="N76" s="453"/>
      <c r="X76" s="956"/>
      <c r="Y76" s="32">
        <v>96</v>
      </c>
      <c r="Z76">
        <v>2.0596851633141577</v>
      </c>
      <c r="AA76" s="453"/>
      <c r="AB76" s="460" t="s">
        <v>152</v>
      </c>
      <c r="AC76" s="460" t="s">
        <v>151</v>
      </c>
      <c r="AD76" s="453"/>
      <c r="AE76" s="453"/>
    </row>
    <row r="77" spans="6:31" x14ac:dyDescent="0.3">
      <c r="F77" s="957"/>
      <c r="G77" s="450">
        <v>171</v>
      </c>
      <c r="H77" s="450">
        <v>1.9205923410710235</v>
      </c>
      <c r="I77" s="453"/>
      <c r="J77" s="453"/>
      <c r="K77" s="454">
        <v>3.09E-2</v>
      </c>
      <c r="L77" s="454">
        <f>LN(2)/K77</f>
        <v>22.431947590936741</v>
      </c>
      <c r="M77" s="453"/>
      <c r="N77" s="453"/>
      <c r="X77" s="956"/>
      <c r="Y77" s="32">
        <v>163.25</v>
      </c>
      <c r="Z77">
        <v>2.2592599682556722</v>
      </c>
      <c r="AA77" s="453"/>
      <c r="AB77" s="460">
        <v>2.9600000000000001E-2</v>
      </c>
      <c r="AC77" s="460">
        <f>LN(2)/AB77</f>
        <v>23.417134478376529</v>
      </c>
      <c r="AD77" s="453"/>
      <c r="AE77" s="453"/>
    </row>
    <row r="78" spans="6:31" s="457" customFormat="1" x14ac:dyDescent="0.3"/>
    <row r="79" spans="6:31" ht="14.4" customHeight="1" x14ac:dyDescent="0.3">
      <c r="F79" s="957" t="s">
        <v>180</v>
      </c>
      <c r="G79" s="450">
        <v>0</v>
      </c>
      <c r="H79" s="450">
        <v>0</v>
      </c>
    </row>
    <row r="80" spans="6:31" x14ac:dyDescent="0.3">
      <c r="F80" s="957"/>
      <c r="G80" s="456">
        <v>6.5</v>
      </c>
      <c r="H80" s="456">
        <v>-8.3599023876313669E-2</v>
      </c>
    </row>
    <row r="81" spans="6:14" x14ac:dyDescent="0.3">
      <c r="F81" s="957"/>
      <c r="G81" s="450">
        <v>23.167000000000002</v>
      </c>
      <c r="H81" s="450">
        <v>1.2718772407774612E-2</v>
      </c>
    </row>
    <row r="82" spans="6:14" x14ac:dyDescent="0.3">
      <c r="F82" s="957"/>
      <c r="G82" s="455">
        <v>29.75</v>
      </c>
      <c r="H82" s="455">
        <v>0.58634117624213611</v>
      </c>
    </row>
    <row r="83" spans="6:14" x14ac:dyDescent="0.3">
      <c r="F83" s="957"/>
      <c r="G83" s="455">
        <v>47</v>
      </c>
      <c r="H83" s="455">
        <v>1.0238887424721732</v>
      </c>
    </row>
    <row r="84" spans="6:14" x14ac:dyDescent="0.3">
      <c r="F84" s="957"/>
      <c r="G84" s="455">
        <v>54</v>
      </c>
      <c r="H84" s="455">
        <v>1.0841076024652279</v>
      </c>
    </row>
    <row r="85" spans="6:14" x14ac:dyDescent="0.3">
      <c r="F85" s="957"/>
      <c r="G85" s="455">
        <v>71.5</v>
      </c>
      <c r="H85" s="455">
        <v>1.6236563496716558</v>
      </c>
    </row>
    <row r="86" spans="6:14" x14ac:dyDescent="0.3">
      <c r="F86" s="957"/>
      <c r="G86" s="450">
        <v>78.75</v>
      </c>
      <c r="H86" s="450">
        <v>1.9061292790434687</v>
      </c>
    </row>
    <row r="87" spans="6:14" x14ac:dyDescent="0.3">
      <c r="F87" s="957"/>
      <c r="G87" s="450">
        <v>95.75</v>
      </c>
      <c r="H87" s="450">
        <v>2.0822874881297548</v>
      </c>
    </row>
    <row r="88" spans="6:14" x14ac:dyDescent="0.3">
      <c r="F88" s="957"/>
      <c r="G88" s="450">
        <v>100.75</v>
      </c>
      <c r="H88" s="450">
        <v>2.2763232498051202</v>
      </c>
      <c r="I88" s="453"/>
      <c r="J88" s="453"/>
      <c r="K88" s="454" t="s">
        <v>152</v>
      </c>
      <c r="L88" s="454" t="s">
        <v>151</v>
      </c>
      <c r="M88" s="453"/>
      <c r="N88" s="453"/>
    </row>
    <row r="89" spans="6:14" x14ac:dyDescent="0.3">
      <c r="F89" s="957"/>
      <c r="G89">
        <v>170.5</v>
      </c>
      <c r="H89">
        <v>2.1913406341772448</v>
      </c>
      <c r="I89" s="453"/>
      <c r="J89" s="453"/>
      <c r="K89" s="454">
        <v>2.4400000000000002E-2</v>
      </c>
      <c r="L89" s="454">
        <f>LN(2)/K89</f>
        <v>28.407671334423984</v>
      </c>
      <c r="M89" s="453"/>
      <c r="N89" s="453"/>
    </row>
    <row r="91" spans="6:14" ht="14.4" customHeight="1" x14ac:dyDescent="0.3"/>
    <row r="103" ht="14.4" customHeight="1" x14ac:dyDescent="0.3"/>
    <row r="114" ht="16.2" customHeight="1" x14ac:dyDescent="0.3"/>
    <row r="115" ht="14.4" customHeight="1" x14ac:dyDescent="0.3"/>
    <row r="127" ht="14.4" customHeight="1" x14ac:dyDescent="0.3"/>
    <row r="138" ht="14.4" customHeight="1" x14ac:dyDescent="0.3"/>
    <row r="143" ht="14.4" customHeight="1" x14ac:dyDescent="0.3"/>
    <row r="148" ht="14.4" customHeight="1" x14ac:dyDescent="0.3"/>
    <row r="153" ht="14.4" customHeight="1" x14ac:dyDescent="0.3"/>
    <row r="158" ht="14.4" customHeight="1" x14ac:dyDescent="0.3"/>
  </sheetData>
  <mergeCells count="27">
    <mergeCell ref="B4:D4"/>
    <mergeCell ref="F79:F89"/>
    <mergeCell ref="F31:F41"/>
    <mergeCell ref="F19:F29"/>
    <mergeCell ref="O19:O29"/>
    <mergeCell ref="F7:F17"/>
    <mergeCell ref="F55:F65"/>
    <mergeCell ref="O31:O41"/>
    <mergeCell ref="X31:X41"/>
    <mergeCell ref="F43:F53"/>
    <mergeCell ref="O43:O53"/>
    <mergeCell ref="F67:F77"/>
    <mergeCell ref="I4:N5"/>
    <mergeCell ref="R4:W5"/>
    <mergeCell ref="X43:X53"/>
    <mergeCell ref="X55:X65"/>
    <mergeCell ref="X67:X77"/>
    <mergeCell ref="X19:X29"/>
    <mergeCell ref="O7:O17"/>
    <mergeCell ref="X7:X17"/>
    <mergeCell ref="AA4:AE5"/>
    <mergeCell ref="F2:N2"/>
    <mergeCell ref="O2:W2"/>
    <mergeCell ref="X2:AE2"/>
    <mergeCell ref="H3:J3"/>
    <mergeCell ref="Q3:S3"/>
    <mergeCell ref="Z3:AE3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8"/>
  <sheetViews>
    <sheetView topLeftCell="A2" zoomScaleNormal="100" workbookViewId="0">
      <pane ySplit="1" topLeftCell="A3" activePane="bottomLeft" state="frozen"/>
      <selection activeCell="J2" sqref="J2"/>
      <selection pane="bottomLeft" activeCell="CE48" sqref="CE48"/>
    </sheetView>
  </sheetViews>
  <sheetFormatPr baseColWidth="10" defaultColWidth="8.88671875" defaultRowHeight="14.4" x14ac:dyDescent="0.3"/>
  <cols>
    <col min="4" max="4" width="12.44140625" style="1" bestFit="1" customWidth="1"/>
    <col min="5" max="5" width="16.88671875" style="1" bestFit="1" customWidth="1"/>
    <col min="6" max="7" width="12" bestFit="1" customWidth="1"/>
    <col min="8" max="8" width="12" style="39" bestFit="1" customWidth="1"/>
    <col min="13" max="13" width="9.33203125" style="1" bestFit="1" customWidth="1"/>
    <col min="14" max="14" width="9.33203125" style="1" customWidth="1"/>
    <col min="15" max="15" width="12" bestFit="1" customWidth="1"/>
    <col min="16" max="16" width="12" customWidth="1"/>
    <col min="17" max="17" width="8" bestFit="1" customWidth="1"/>
    <col min="18" max="18" width="8" customWidth="1"/>
    <col min="19" max="19" width="9" bestFit="1" customWidth="1"/>
    <col min="20" max="20" width="9" customWidth="1"/>
    <col min="21" max="21" width="8.6640625" bestFit="1" customWidth="1"/>
    <col min="22" max="22" width="8.6640625" customWidth="1"/>
    <col min="23" max="23" width="9.109375" style="56" bestFit="1" customWidth="1"/>
    <col min="24" max="25" width="10.44140625" customWidth="1"/>
    <col min="26" max="27" width="10.5546875" customWidth="1"/>
    <col min="28" max="29" width="15.77734375" customWidth="1"/>
    <col min="32" max="32" width="8.88671875" style="39"/>
    <col min="33" max="34" width="10.33203125" bestFit="1" customWidth="1"/>
    <col min="38" max="38" width="8.88671875" style="405"/>
  </cols>
  <sheetData>
    <row r="1" spans="1:38" ht="28.8" x14ac:dyDescent="0.55000000000000004">
      <c r="A1" s="406" t="s">
        <v>55</v>
      </c>
      <c r="W1" s="48"/>
      <c r="X1" s="32" t="s">
        <v>40</v>
      </c>
      <c r="Y1" s="32"/>
      <c r="Z1" s="32" t="s">
        <v>40</v>
      </c>
      <c r="AA1" s="32"/>
      <c r="AB1" s="32" t="s">
        <v>40</v>
      </c>
      <c r="AC1" s="32"/>
      <c r="AD1" s="32" t="s">
        <v>40</v>
      </c>
      <c r="AE1" s="32"/>
      <c r="AF1" s="211"/>
      <c r="AG1" s="32"/>
      <c r="AH1" s="32"/>
      <c r="AI1" s="32"/>
      <c r="AJ1" s="32"/>
      <c r="AK1" s="32"/>
      <c r="AL1" s="400"/>
    </row>
    <row r="2" spans="1:38" s="58" customFormat="1" ht="43.2" customHeight="1" x14ac:dyDescent="0.3">
      <c r="A2" s="58" t="s">
        <v>57</v>
      </c>
      <c r="B2" s="58" t="s">
        <v>56</v>
      </c>
      <c r="C2" s="58" t="s">
        <v>2</v>
      </c>
      <c r="D2" s="59" t="s">
        <v>150</v>
      </c>
      <c r="E2" s="59" t="s">
        <v>149</v>
      </c>
      <c r="F2" s="58" t="s">
        <v>20</v>
      </c>
      <c r="G2" s="58" t="s">
        <v>53</v>
      </c>
      <c r="H2" s="74" t="s">
        <v>21</v>
      </c>
      <c r="I2" s="58" t="s">
        <v>22</v>
      </c>
      <c r="J2" s="58" t="s">
        <v>25</v>
      </c>
      <c r="K2" s="58" t="s">
        <v>23</v>
      </c>
      <c r="L2" s="58" t="s">
        <v>24</v>
      </c>
      <c r="M2" s="59" t="s">
        <v>29</v>
      </c>
      <c r="N2" s="59" t="s">
        <v>390</v>
      </c>
      <c r="O2" s="31" t="s">
        <v>26</v>
      </c>
      <c r="P2" s="31" t="s">
        <v>26</v>
      </c>
      <c r="Q2" s="31" t="s">
        <v>382</v>
      </c>
      <c r="R2" s="31" t="s">
        <v>383</v>
      </c>
      <c r="S2" s="31" t="s">
        <v>27</v>
      </c>
      <c r="T2" s="31" t="s">
        <v>384</v>
      </c>
      <c r="U2" s="31" t="s">
        <v>28</v>
      </c>
      <c r="V2" s="31" t="s">
        <v>385</v>
      </c>
      <c r="W2" s="49" t="s">
        <v>56</v>
      </c>
      <c r="X2" s="152" t="s">
        <v>386</v>
      </c>
      <c r="Y2" s="152" t="s">
        <v>389</v>
      </c>
      <c r="Z2" s="33" t="s">
        <v>387</v>
      </c>
      <c r="AA2" s="33" t="s">
        <v>388</v>
      </c>
      <c r="AB2" s="150" t="s">
        <v>31</v>
      </c>
      <c r="AC2" s="150" t="s">
        <v>391</v>
      </c>
      <c r="AD2" s="151" t="s">
        <v>32</v>
      </c>
      <c r="AE2" s="150" t="s">
        <v>392</v>
      </c>
      <c r="AF2" s="221" t="s">
        <v>378</v>
      </c>
      <c r="AG2" s="221" t="s">
        <v>379</v>
      </c>
      <c r="AH2" s="221" t="s">
        <v>380</v>
      </c>
      <c r="AI2" s="221" t="s">
        <v>381</v>
      </c>
      <c r="AJ2" s="151"/>
      <c r="AK2" s="151"/>
      <c r="AL2" s="401"/>
    </row>
    <row r="3" spans="1:38" s="2" customFormat="1" x14ac:dyDescent="0.3">
      <c r="A3" s="968" t="s">
        <v>1</v>
      </c>
      <c r="B3" s="2" t="s">
        <v>0</v>
      </c>
      <c r="C3" s="2">
        <v>0</v>
      </c>
      <c r="D3" s="3">
        <v>100000</v>
      </c>
      <c r="E3" s="3">
        <f t="shared" ref="E3:E34" si="0">D3/1000000</f>
        <v>0.1</v>
      </c>
      <c r="F3" s="2">
        <v>96.800671550671552</v>
      </c>
      <c r="H3" s="407"/>
      <c r="I3" s="2">
        <v>10.758842336641576</v>
      </c>
      <c r="J3" s="2">
        <v>0.14756</v>
      </c>
      <c r="K3" s="2">
        <v>1.7045699999999999</v>
      </c>
      <c r="L3" s="2">
        <v>2.2190599999999998</v>
      </c>
      <c r="M3" s="3"/>
      <c r="N3" s="3"/>
      <c r="S3" s="47"/>
      <c r="T3" s="47"/>
      <c r="W3" s="50" t="s">
        <v>41</v>
      </c>
      <c r="X3" s="60">
        <v>1.284</v>
      </c>
      <c r="Y3" s="61">
        <f>T51/P51</f>
        <v>1.563467903717962</v>
      </c>
      <c r="Z3" s="60">
        <v>1.0885</v>
      </c>
      <c r="AA3" s="61">
        <f>R51/V51</f>
        <v>1.5934095136858892</v>
      </c>
      <c r="AB3" s="62">
        <v>88523</v>
      </c>
      <c r="AC3" s="63">
        <f>N51/P51</f>
        <v>97621.154168777255</v>
      </c>
      <c r="AD3" s="62">
        <v>485259</v>
      </c>
      <c r="AE3" s="63">
        <f>+N51/V51</f>
        <v>789677.26695603412</v>
      </c>
      <c r="AF3" s="407"/>
      <c r="AG3" s="62"/>
      <c r="AH3" s="62"/>
      <c r="AI3" s="62"/>
      <c r="AJ3" s="62"/>
      <c r="AK3" s="66"/>
      <c r="AL3" s="402"/>
    </row>
    <row r="4" spans="1:38" s="4" customFormat="1" x14ac:dyDescent="0.3">
      <c r="A4" s="969"/>
      <c r="B4" s="4" t="s">
        <v>3</v>
      </c>
      <c r="C4" s="4">
        <v>0</v>
      </c>
      <c r="D4" s="5">
        <v>100000</v>
      </c>
      <c r="E4" s="5">
        <f t="shared" si="0"/>
        <v>0.1</v>
      </c>
      <c r="F4" s="4">
        <v>94.89043255132394</v>
      </c>
      <c r="H4" s="408"/>
      <c r="I4" s="4">
        <v>11.120140322831324</v>
      </c>
      <c r="J4" s="4">
        <v>0.15447</v>
      </c>
      <c r="K4" s="4">
        <v>1.7794399999999999</v>
      </c>
      <c r="L4" s="4">
        <v>1.73546</v>
      </c>
      <c r="M4" s="5"/>
      <c r="N4" s="5"/>
      <c r="W4" s="51" t="s">
        <v>42</v>
      </c>
      <c r="X4" s="64">
        <v>0.6391</v>
      </c>
      <c r="Y4" s="61">
        <f t="shared" ref="Y4:Y13" si="1">T52/P52</f>
        <v>25.638360671999948</v>
      </c>
      <c r="Z4" s="64">
        <v>0.68730000000000002</v>
      </c>
      <c r="AA4" s="61">
        <f t="shared" ref="AA4:AA13" si="2">R52/V52</f>
        <v>7.1276470588235243</v>
      </c>
      <c r="AB4" s="66">
        <v>50561</v>
      </c>
      <c r="AC4" s="63">
        <f t="shared" ref="AC4:AC13" si="3">N52/P52</f>
        <v>923428.18285714113</v>
      </c>
      <c r="AD4" s="66">
        <v>344883</v>
      </c>
      <c r="AE4" s="63">
        <f t="shared" ref="AE4:AE13" si="4">+N52/V52</f>
        <v>2638235.2941176449</v>
      </c>
      <c r="AF4" s="809"/>
      <c r="AG4" s="66"/>
      <c r="AH4" s="66"/>
      <c r="AI4" s="66"/>
      <c r="AJ4" s="66"/>
      <c r="AK4" s="66"/>
      <c r="AL4" s="402"/>
    </row>
    <row r="5" spans="1:38" s="4" customFormat="1" x14ac:dyDescent="0.3">
      <c r="A5" s="969"/>
      <c r="B5" s="4" t="s">
        <v>4</v>
      </c>
      <c r="C5" s="4">
        <v>0</v>
      </c>
      <c r="D5" s="5">
        <v>100000</v>
      </c>
      <c r="E5" s="5">
        <f t="shared" si="0"/>
        <v>0.1</v>
      </c>
      <c r="H5" s="408"/>
      <c r="I5" s="4">
        <v>11.442028020160306</v>
      </c>
      <c r="J5" s="4">
        <v>0.23036999999999999</v>
      </c>
      <c r="K5" s="4">
        <v>1.78921</v>
      </c>
      <c r="L5" s="4">
        <v>1.7237100000000001</v>
      </c>
      <c r="M5" s="5"/>
      <c r="N5" s="5"/>
      <c r="W5" s="51" t="s">
        <v>43</v>
      </c>
      <c r="X5" s="64">
        <v>1.4970000000000001</v>
      </c>
      <c r="Y5" s="61">
        <f t="shared" si="1"/>
        <v>1.2612408289170152</v>
      </c>
      <c r="Z5" s="64">
        <v>0.94179999999999997</v>
      </c>
      <c r="AA5" s="61">
        <f t="shared" si="2"/>
        <v>0.93897477624084624</v>
      </c>
      <c r="AB5" s="66">
        <v>57043</v>
      </c>
      <c r="AC5" s="63">
        <f t="shared" si="3"/>
        <v>43764.125880665888</v>
      </c>
      <c r="AD5" s="66">
        <v>356088</v>
      </c>
      <c r="AE5" s="63">
        <f t="shared" si="4"/>
        <v>275674.81515548169</v>
      </c>
      <c r="AF5" s="809"/>
      <c r="AG5" s="66"/>
      <c r="AH5" s="66"/>
      <c r="AI5" s="66"/>
      <c r="AJ5" s="66"/>
      <c r="AK5" s="66"/>
      <c r="AL5" s="402"/>
    </row>
    <row r="6" spans="1:38" s="4" customFormat="1" x14ac:dyDescent="0.3">
      <c r="A6" s="969"/>
      <c r="B6" s="4" t="s">
        <v>5</v>
      </c>
      <c r="C6" s="4">
        <v>0</v>
      </c>
      <c r="D6" s="5">
        <v>100000</v>
      </c>
      <c r="E6" s="5">
        <f t="shared" si="0"/>
        <v>0.1</v>
      </c>
      <c r="F6" s="4">
        <v>87.9</v>
      </c>
      <c r="H6" s="408"/>
      <c r="M6" s="5"/>
      <c r="N6" s="5"/>
      <c r="W6" s="52" t="s">
        <v>44</v>
      </c>
      <c r="X6" s="67">
        <v>1.1323000000000001</v>
      </c>
      <c r="Y6" s="61"/>
      <c r="Z6" s="67">
        <v>0.83130000000000004</v>
      </c>
      <c r="AA6" s="61"/>
      <c r="AB6" s="68">
        <v>32658</v>
      </c>
      <c r="AC6" s="63"/>
      <c r="AD6" s="68">
        <v>367304</v>
      </c>
      <c r="AE6" s="63"/>
      <c r="AF6" s="810"/>
      <c r="AG6" s="68"/>
      <c r="AH6" s="68"/>
      <c r="AI6" s="68"/>
      <c r="AJ6" s="68"/>
      <c r="AK6" s="68"/>
      <c r="AL6" s="403"/>
    </row>
    <row r="7" spans="1:38" s="4" customFormat="1" x14ac:dyDescent="0.3">
      <c r="A7" s="969"/>
      <c r="B7" s="4" t="s">
        <v>6</v>
      </c>
      <c r="C7" s="4">
        <v>0</v>
      </c>
      <c r="D7" s="5">
        <v>100000</v>
      </c>
      <c r="E7" s="5">
        <f t="shared" si="0"/>
        <v>0.1</v>
      </c>
      <c r="F7" s="4">
        <v>95.9</v>
      </c>
      <c r="H7" s="408"/>
      <c r="M7" s="5"/>
      <c r="N7" s="5"/>
      <c r="W7" s="53" t="s">
        <v>47</v>
      </c>
      <c r="X7" s="67">
        <v>1.2483</v>
      </c>
      <c r="Y7" s="61"/>
      <c r="Z7" s="67">
        <v>1.2739</v>
      </c>
      <c r="AA7" s="61"/>
      <c r="AB7" s="68">
        <v>97815</v>
      </c>
      <c r="AC7" s="63"/>
      <c r="AD7" s="68">
        <v>646010</v>
      </c>
      <c r="AE7" s="63"/>
      <c r="AF7" s="810"/>
      <c r="AG7" s="68"/>
      <c r="AH7" s="68"/>
      <c r="AI7" s="68"/>
      <c r="AJ7" s="68"/>
      <c r="AK7" s="68"/>
      <c r="AL7" s="403"/>
    </row>
    <row r="8" spans="1:38" s="4" customFormat="1" x14ac:dyDescent="0.3">
      <c r="A8" s="970"/>
      <c r="B8" s="4" t="s">
        <v>7</v>
      </c>
      <c r="C8" s="4">
        <v>0</v>
      </c>
      <c r="D8" s="5">
        <v>100000</v>
      </c>
      <c r="E8" s="5">
        <f t="shared" si="0"/>
        <v>0.1</v>
      </c>
      <c r="F8" s="4">
        <v>96.05</v>
      </c>
      <c r="H8" s="408"/>
      <c r="M8" s="5"/>
      <c r="N8" s="5"/>
      <c r="W8" s="52" t="s">
        <v>45</v>
      </c>
      <c r="X8" s="67">
        <v>2.0310999999999999</v>
      </c>
      <c r="Y8" s="61"/>
      <c r="Z8" s="67">
        <v>0.83299999999999996</v>
      </c>
      <c r="AA8" s="61"/>
      <c r="AB8" s="68">
        <v>72143</v>
      </c>
      <c r="AC8" s="63"/>
      <c r="AD8" s="68">
        <v>462702</v>
      </c>
      <c r="AE8" s="63"/>
      <c r="AF8" s="810"/>
      <c r="AG8" s="68"/>
      <c r="AH8" s="68"/>
      <c r="AI8" s="68"/>
      <c r="AJ8" s="68"/>
      <c r="AK8" s="68"/>
      <c r="AL8" s="403"/>
    </row>
    <row r="9" spans="1:38" s="2" customFormat="1" x14ac:dyDescent="0.3">
      <c r="A9" s="968" t="s">
        <v>17</v>
      </c>
      <c r="B9" s="2" t="s">
        <v>8</v>
      </c>
      <c r="C9" s="2">
        <v>0</v>
      </c>
      <c r="D9" s="3">
        <v>100000</v>
      </c>
      <c r="E9" s="3">
        <f t="shared" si="0"/>
        <v>0.1</v>
      </c>
      <c r="F9" s="2">
        <v>94.141259542463828</v>
      </c>
      <c r="H9" s="407"/>
      <c r="I9" s="2">
        <v>10.602311330180509</v>
      </c>
      <c r="J9" s="2">
        <v>0.10800999999999999</v>
      </c>
      <c r="K9" s="2">
        <v>1.8076000000000001</v>
      </c>
      <c r="L9" s="2">
        <v>1.6578900000000001</v>
      </c>
      <c r="M9" s="3"/>
      <c r="N9" s="3"/>
      <c r="W9" s="54" t="s">
        <v>46</v>
      </c>
      <c r="X9" s="69">
        <v>1.5375000000000001</v>
      </c>
      <c r="Y9" s="61">
        <f t="shared" si="1"/>
        <v>0.43243634475644704</v>
      </c>
      <c r="Z9" s="69">
        <v>0.94720000000000004</v>
      </c>
      <c r="AA9" s="61">
        <f t="shared" si="2"/>
        <v>0.71326449563145344</v>
      </c>
      <c r="AB9" s="70">
        <v>77347</v>
      </c>
      <c r="AC9" s="63">
        <f t="shared" si="3"/>
        <v>21190.26876790831</v>
      </c>
      <c r="AD9" s="70">
        <v>515055</v>
      </c>
      <c r="AE9" s="63">
        <f t="shared" si="4"/>
        <v>277491.42345326411</v>
      </c>
      <c r="AF9" s="811"/>
      <c r="AG9" s="70"/>
      <c r="AH9" s="70"/>
      <c r="AI9" s="70"/>
      <c r="AJ9" s="70"/>
      <c r="AK9" s="68"/>
      <c r="AL9" s="403"/>
    </row>
    <row r="10" spans="1:38" s="4" customFormat="1" x14ac:dyDescent="0.3">
      <c r="A10" s="969"/>
      <c r="B10" s="46" t="s">
        <v>11</v>
      </c>
      <c r="C10" s="4">
        <v>0</v>
      </c>
      <c r="D10" s="5">
        <v>100000</v>
      </c>
      <c r="E10" s="5">
        <f t="shared" si="0"/>
        <v>0.1</v>
      </c>
      <c r="F10" s="4">
        <v>95.942505005005003</v>
      </c>
      <c r="H10" s="408"/>
      <c r="I10" s="4">
        <v>10.283032482959213</v>
      </c>
      <c r="J10" s="4">
        <v>0.12783</v>
      </c>
      <c r="K10" s="4">
        <v>1.7546900000000001</v>
      </c>
      <c r="L10" s="4">
        <v>1.5566599999999999</v>
      </c>
      <c r="M10" s="5"/>
      <c r="N10" s="5"/>
      <c r="W10" s="55" t="s">
        <v>48</v>
      </c>
      <c r="X10" s="65">
        <v>1.3174999999999999</v>
      </c>
      <c r="Y10" s="61">
        <f t="shared" si="1"/>
        <v>1.1765352001845724</v>
      </c>
      <c r="Z10" s="65">
        <v>0.91739999999999999</v>
      </c>
      <c r="AA10" s="61">
        <f t="shared" si="2"/>
        <v>1.051624752755016</v>
      </c>
      <c r="AB10" s="71">
        <v>67301</v>
      </c>
      <c r="AC10" s="63">
        <f t="shared" si="3"/>
        <v>58772.725678689545</v>
      </c>
      <c r="AD10" s="71">
        <v>428301</v>
      </c>
      <c r="AE10" s="63">
        <f t="shared" si="4"/>
        <v>479457.4738626731</v>
      </c>
      <c r="AF10" s="812"/>
      <c r="AG10" s="71"/>
      <c r="AH10" s="71"/>
      <c r="AI10" s="71"/>
      <c r="AJ10" s="71"/>
      <c r="AK10" s="71"/>
      <c r="AL10" s="404"/>
    </row>
    <row r="11" spans="1:38" s="4" customFormat="1" x14ac:dyDescent="0.3">
      <c r="A11" s="969"/>
      <c r="B11" s="4" t="s">
        <v>9</v>
      </c>
      <c r="C11" s="4">
        <v>0</v>
      </c>
      <c r="D11" s="5">
        <v>100000</v>
      </c>
      <c r="E11" s="5">
        <f t="shared" si="0"/>
        <v>0.1</v>
      </c>
      <c r="F11" s="4">
        <v>95.324499763422736</v>
      </c>
      <c r="H11" s="408"/>
      <c r="I11" s="4">
        <v>10.922533804036501</v>
      </c>
      <c r="J11" s="4">
        <v>0</v>
      </c>
      <c r="K11" s="4">
        <v>1.8148299999999999</v>
      </c>
      <c r="L11" s="4">
        <v>2.0267900000000001</v>
      </c>
      <c r="M11" s="5"/>
      <c r="N11" s="5"/>
      <c r="W11" s="56" t="s">
        <v>49</v>
      </c>
      <c r="X11" s="65">
        <v>1.5316000000000001</v>
      </c>
      <c r="Y11" s="61">
        <f t="shared" si="1"/>
        <v>1.256026767455827</v>
      </c>
      <c r="Z11" s="65">
        <v>0.85799999999999998</v>
      </c>
      <c r="AA11" s="61">
        <f t="shared" si="2"/>
        <v>0.83237911784115426</v>
      </c>
      <c r="AB11" s="71">
        <v>75824</v>
      </c>
      <c r="AC11" s="63">
        <f t="shared" si="3"/>
        <v>80968.553680816767</v>
      </c>
      <c r="AD11" s="71">
        <v>475510</v>
      </c>
      <c r="AE11" s="63">
        <f t="shared" si="4"/>
        <v>507207.44823157997</v>
      </c>
      <c r="AF11" s="812"/>
      <c r="AG11" s="71"/>
      <c r="AH11" s="71"/>
      <c r="AI11" s="71"/>
      <c r="AJ11" s="71"/>
      <c r="AK11" s="71"/>
      <c r="AL11" s="404"/>
    </row>
    <row r="12" spans="1:38" s="6" customFormat="1" x14ac:dyDescent="0.3">
      <c r="A12" s="970"/>
      <c r="B12" s="6" t="s">
        <v>10</v>
      </c>
      <c r="C12" s="6">
        <v>0</v>
      </c>
      <c r="D12" s="7">
        <v>100000</v>
      </c>
      <c r="E12" s="7">
        <f t="shared" si="0"/>
        <v>0.1</v>
      </c>
      <c r="H12" s="409"/>
      <c r="I12" s="6">
        <v>11.581462732298673</v>
      </c>
      <c r="J12" s="6">
        <v>0.10688</v>
      </c>
      <c r="K12" s="6">
        <v>1.82863</v>
      </c>
      <c r="L12" s="6">
        <v>2.36206</v>
      </c>
      <c r="M12" s="7"/>
      <c r="N12" s="7"/>
      <c r="W12" s="57" t="s">
        <v>50</v>
      </c>
      <c r="X12" s="72">
        <v>1.8480000000000001</v>
      </c>
      <c r="Y12" s="61">
        <f t="shared" si="1"/>
        <v>1.2787113568225497</v>
      </c>
      <c r="Z12" s="72">
        <v>0.96389999999999998</v>
      </c>
      <c r="AA12" s="61">
        <f t="shared" si="2"/>
        <v>0.94504222870861332</v>
      </c>
      <c r="AB12" s="73"/>
      <c r="AC12" s="63">
        <f t="shared" si="3"/>
        <v>83751.189032671391</v>
      </c>
      <c r="AD12" s="73"/>
      <c r="AE12" s="63">
        <f t="shared" si="4"/>
        <v>564009.74110088288</v>
      </c>
      <c r="AF12" s="813"/>
      <c r="AG12" s="73"/>
      <c r="AH12" s="73"/>
      <c r="AI12" s="73"/>
      <c r="AJ12" s="73"/>
      <c r="AK12" s="71"/>
      <c r="AL12" s="404"/>
    </row>
    <row r="13" spans="1:38" s="2" customFormat="1" x14ac:dyDescent="0.3">
      <c r="A13" s="968" t="s">
        <v>18</v>
      </c>
      <c r="B13" s="8" t="s">
        <v>19</v>
      </c>
      <c r="C13" s="2">
        <v>0</v>
      </c>
      <c r="D13" s="3">
        <v>100000</v>
      </c>
      <c r="E13" s="3">
        <f t="shared" si="0"/>
        <v>0.1</v>
      </c>
      <c r="F13" s="2">
        <v>93.177300412741943</v>
      </c>
      <c r="H13" s="407"/>
      <c r="I13" s="2">
        <v>11.001909456249027</v>
      </c>
      <c r="J13" s="2">
        <v>0.12584000000000001</v>
      </c>
      <c r="K13" s="2">
        <v>1.8217099999999999</v>
      </c>
      <c r="L13" s="2">
        <v>2.1360700000000001</v>
      </c>
      <c r="M13" s="3"/>
      <c r="N13" s="3"/>
      <c r="W13" s="48" t="s">
        <v>51</v>
      </c>
      <c r="X13" s="61">
        <v>1.5013000000000001</v>
      </c>
      <c r="Y13" s="61">
        <f t="shared" si="1"/>
        <v>1.5045159592431674</v>
      </c>
      <c r="Z13" s="61">
        <v>0.94930000000000003</v>
      </c>
      <c r="AA13" s="61">
        <f t="shared" si="2"/>
        <v>1.0094954449894886</v>
      </c>
      <c r="AB13" s="63">
        <v>66930</v>
      </c>
      <c r="AC13" s="63">
        <f t="shared" si="3"/>
        <v>30127.335119831812</v>
      </c>
      <c r="AD13" s="63">
        <v>440659</v>
      </c>
      <c r="AE13" s="63">
        <f t="shared" si="4"/>
        <v>209036.44008409255</v>
      </c>
      <c r="AF13" s="814"/>
      <c r="AG13" s="63"/>
      <c r="AH13" s="63"/>
      <c r="AI13" s="63"/>
      <c r="AJ13" s="63"/>
      <c r="AK13" s="71"/>
      <c r="AL13" s="404"/>
    </row>
    <row r="14" spans="1:38" s="4" customFormat="1" x14ac:dyDescent="0.3">
      <c r="A14" s="969"/>
      <c r="B14" s="4" t="s">
        <v>12</v>
      </c>
      <c r="C14" s="4">
        <v>0</v>
      </c>
      <c r="D14" s="5">
        <v>100000</v>
      </c>
      <c r="E14" s="5">
        <f t="shared" si="0"/>
        <v>0.1</v>
      </c>
      <c r="F14" s="4">
        <v>96.374776657360769</v>
      </c>
      <c r="H14" s="408"/>
      <c r="M14" s="5"/>
      <c r="N14" s="5"/>
      <c r="W14" s="56"/>
      <c r="X14" s="65"/>
      <c r="Y14" s="65"/>
      <c r="Z14" s="65"/>
      <c r="AA14" s="65"/>
      <c r="AB14" s="65"/>
      <c r="AC14" s="65"/>
      <c r="AD14" s="65"/>
      <c r="AE14" s="65"/>
      <c r="AF14" s="812"/>
      <c r="AG14" s="65"/>
      <c r="AH14" s="65"/>
      <c r="AI14" s="65"/>
      <c r="AJ14" s="65"/>
      <c r="AK14" s="65"/>
      <c r="AL14" s="405"/>
    </row>
    <row r="15" spans="1:38" s="4" customFormat="1" x14ac:dyDescent="0.3">
      <c r="A15" s="969"/>
      <c r="B15" s="4" t="s">
        <v>13</v>
      </c>
      <c r="C15" s="4">
        <v>0</v>
      </c>
      <c r="D15" s="5">
        <v>100000</v>
      </c>
      <c r="E15" s="5">
        <f t="shared" si="0"/>
        <v>0.1</v>
      </c>
      <c r="F15" s="4">
        <v>97.842569423252968</v>
      </c>
      <c r="H15" s="408"/>
      <c r="M15" s="5"/>
      <c r="N15" s="5"/>
      <c r="W15" s="56"/>
      <c r="X15" s="65"/>
      <c r="Y15" s="65"/>
      <c r="Z15" s="65"/>
      <c r="AA15" s="65"/>
      <c r="AB15" s="65"/>
      <c r="AC15" s="65"/>
      <c r="AD15" s="65"/>
      <c r="AE15" s="65"/>
      <c r="AF15" s="812"/>
      <c r="AG15" s="65"/>
      <c r="AH15" s="65"/>
      <c r="AI15" s="65"/>
      <c r="AJ15" s="65"/>
      <c r="AK15" s="65"/>
      <c r="AL15" s="405"/>
    </row>
    <row r="16" spans="1:38" s="4" customFormat="1" x14ac:dyDescent="0.3">
      <c r="A16" s="969"/>
      <c r="B16" s="4" t="s">
        <v>14</v>
      </c>
      <c r="C16" s="4">
        <v>0</v>
      </c>
      <c r="D16" s="5">
        <v>100000</v>
      </c>
      <c r="E16" s="5">
        <f t="shared" si="0"/>
        <v>0.1</v>
      </c>
      <c r="F16" s="4">
        <v>96.999733241487363</v>
      </c>
      <c r="H16" s="408"/>
      <c r="I16" s="4">
        <v>11.68481760252226</v>
      </c>
      <c r="J16" s="4">
        <v>0.12997</v>
      </c>
      <c r="K16" s="4">
        <v>1.82325</v>
      </c>
      <c r="L16" s="4">
        <v>1.9120900000000001</v>
      </c>
      <c r="M16" s="5"/>
      <c r="N16" s="5"/>
      <c r="W16" s="56"/>
      <c r="X16" s="215"/>
      <c r="Y16" s="215"/>
      <c r="Z16" s="216"/>
      <c r="AA16" s="216"/>
      <c r="AB16" s="65"/>
      <c r="AC16" s="65"/>
      <c r="AD16" s="65"/>
      <c r="AE16" s="65"/>
      <c r="AF16" s="812"/>
      <c r="AG16" s="65"/>
      <c r="AH16" s="65"/>
      <c r="AI16" s="65"/>
      <c r="AJ16" s="65"/>
      <c r="AK16" s="65"/>
      <c r="AL16" s="405"/>
    </row>
    <row r="17" spans="1:38" s="4" customFormat="1" x14ac:dyDescent="0.3">
      <c r="A17" s="969"/>
      <c r="B17" s="4" t="s">
        <v>15</v>
      </c>
      <c r="C17" s="4">
        <v>0</v>
      </c>
      <c r="D17" s="5">
        <v>100000</v>
      </c>
      <c r="E17" s="5">
        <f t="shared" si="0"/>
        <v>0.1</v>
      </c>
      <c r="F17" s="4">
        <v>95.607490840349399</v>
      </c>
      <c r="H17" s="408"/>
      <c r="I17" s="4">
        <v>11.964630653433689</v>
      </c>
      <c r="J17" s="4">
        <v>7.6429999999999998E-2</v>
      </c>
      <c r="K17" s="4">
        <v>1.82657</v>
      </c>
      <c r="L17" s="4">
        <v>1.8215399999999999</v>
      </c>
      <c r="M17" s="5"/>
      <c r="N17" s="5"/>
      <c r="W17" s="56"/>
      <c r="X17" s="215"/>
      <c r="Y17" s="215"/>
      <c r="Z17" s="216"/>
      <c r="AA17" s="216"/>
      <c r="AB17" s="65"/>
      <c r="AC17" s="65"/>
      <c r="AD17" s="65"/>
      <c r="AE17" s="65"/>
      <c r="AF17" s="812"/>
      <c r="AG17" s="65"/>
      <c r="AH17" s="65"/>
      <c r="AI17" s="65"/>
      <c r="AJ17" s="65"/>
      <c r="AK17" s="65"/>
      <c r="AL17" s="405"/>
    </row>
    <row r="18" spans="1:38" s="4" customFormat="1" x14ac:dyDescent="0.3">
      <c r="A18" s="970"/>
      <c r="B18" s="4" t="s">
        <v>16</v>
      </c>
      <c r="C18" s="4">
        <v>0</v>
      </c>
      <c r="D18" s="5">
        <v>100000</v>
      </c>
      <c r="E18" s="5">
        <f t="shared" si="0"/>
        <v>0.1</v>
      </c>
      <c r="F18" s="4">
        <v>98.481352207355684</v>
      </c>
      <c r="H18" s="408"/>
      <c r="I18" s="4">
        <v>11.389129421168322</v>
      </c>
      <c r="J18" s="4">
        <v>0.19267000000000001</v>
      </c>
      <c r="K18" s="4">
        <v>1.7699400000000001</v>
      </c>
      <c r="L18" s="4">
        <v>1.6749499999999999</v>
      </c>
      <c r="M18" s="5"/>
      <c r="N18" s="5"/>
      <c r="W18" s="56"/>
      <c r="X18" s="65"/>
      <c r="Y18" s="65"/>
      <c r="Z18" s="65"/>
      <c r="AA18" s="65"/>
      <c r="AB18" s="65"/>
      <c r="AC18" s="65"/>
      <c r="AD18" s="65"/>
      <c r="AE18" s="65"/>
      <c r="AF18" s="812"/>
      <c r="AG18" s="65"/>
      <c r="AH18" s="65"/>
      <c r="AI18" s="65"/>
      <c r="AJ18" s="65"/>
      <c r="AK18" s="65"/>
      <c r="AL18" s="405"/>
    </row>
    <row r="19" spans="1:38" s="9" customFormat="1" x14ac:dyDescent="0.3">
      <c r="A19" s="965" t="s">
        <v>1</v>
      </c>
      <c r="B19" s="9" t="s">
        <v>0</v>
      </c>
      <c r="C19" s="9">
        <v>24</v>
      </c>
      <c r="D19" s="10">
        <v>139480</v>
      </c>
      <c r="E19" s="10">
        <f t="shared" si="0"/>
        <v>0.13947999999999999</v>
      </c>
      <c r="F19" s="9">
        <v>97.515527950310556</v>
      </c>
      <c r="G19" s="9">
        <v>0</v>
      </c>
      <c r="H19" s="410">
        <f>G19/D19*1000000</f>
        <v>0</v>
      </c>
      <c r="I19" s="9">
        <v>9.1497368946912676</v>
      </c>
      <c r="J19" s="9">
        <v>0.48973</v>
      </c>
      <c r="K19" s="9">
        <v>3.7558600000000002</v>
      </c>
      <c r="L19" s="9">
        <v>1.7879799999999999</v>
      </c>
      <c r="M19" s="10">
        <f>D19-100000</f>
        <v>39480</v>
      </c>
      <c r="N19" s="10">
        <f>D19-D3</f>
        <v>39480</v>
      </c>
      <c r="O19" s="9">
        <f>I3-I19</f>
        <v>1.6091054419503088</v>
      </c>
      <c r="P19" s="9">
        <f>I3-I19</f>
        <v>1.6091054419503088</v>
      </c>
      <c r="Q19" s="9">
        <f>J3-J19*-1</f>
        <v>0.63729000000000002</v>
      </c>
      <c r="R19" s="9">
        <f>J19-J3</f>
        <v>0.34216999999999997</v>
      </c>
      <c r="S19" s="9">
        <f>K3-K19*-1</f>
        <v>5.4604300000000006</v>
      </c>
      <c r="T19" s="9">
        <f>K19-K3</f>
        <v>2.0512900000000003</v>
      </c>
      <c r="U19" s="9">
        <f>L3-L19</f>
        <v>0.43107999999999991</v>
      </c>
      <c r="V19" s="9">
        <f>L3-L19</f>
        <v>0.43107999999999991</v>
      </c>
      <c r="W19" s="48"/>
      <c r="AF19" s="815">
        <f>((I3-I19)/$D19)/24*1000000</f>
        <v>0.48068583367696355</v>
      </c>
      <c r="AG19" s="815">
        <f>((L3-L19)/$D19)/24*1000000</f>
        <v>0.12877592964343751</v>
      </c>
      <c r="AH19" s="815">
        <f>((K19-K3)/$D19)/24*1000000</f>
        <v>0.6127790125227035</v>
      </c>
      <c r="AI19" s="815">
        <f>((J19-J3)/$D19)/24*1000000</f>
        <v>0.10221596883663128</v>
      </c>
      <c r="AK19" s="11"/>
      <c r="AL19" s="405"/>
    </row>
    <row r="20" spans="1:38" s="11" customFormat="1" x14ac:dyDescent="0.3">
      <c r="A20" s="966"/>
      <c r="B20" s="11" t="s">
        <v>3</v>
      </c>
      <c r="C20" s="11">
        <v>24</v>
      </c>
      <c r="D20" s="12">
        <v>123640</v>
      </c>
      <c r="E20" s="12">
        <f t="shared" si="0"/>
        <v>0.12364</v>
      </c>
      <c r="F20" s="11">
        <v>96.165453577134741</v>
      </c>
      <c r="G20" s="11">
        <v>0</v>
      </c>
      <c r="H20" s="410">
        <f>G20/D20*1000000</f>
        <v>0</v>
      </c>
      <c r="I20" s="11">
        <v>10.041353049579254</v>
      </c>
      <c r="J20" s="11">
        <v>0.42304000000000003</v>
      </c>
      <c r="K20" s="11">
        <v>3.7970299999999999</v>
      </c>
      <c r="L20" s="11">
        <v>1.4434</v>
      </c>
      <c r="M20" s="12">
        <f>D20-100000</f>
        <v>23640</v>
      </c>
      <c r="N20" s="10">
        <f t="shared" ref="N20:N66" si="5">D20-D4</f>
        <v>23640</v>
      </c>
      <c r="O20" s="11">
        <f>I4-I20</f>
        <v>1.07878727325207</v>
      </c>
      <c r="P20" s="9">
        <f>I4-I20</f>
        <v>1.07878727325207</v>
      </c>
      <c r="Q20" s="11">
        <f t="shared" ref="Q20" si="6">J4-J20*-1</f>
        <v>0.57750999999999997</v>
      </c>
      <c r="R20" s="9">
        <f>J20-J4</f>
        <v>0.26857000000000003</v>
      </c>
      <c r="S20" s="11">
        <f>K4-K20*-1</f>
        <v>5.5764699999999996</v>
      </c>
      <c r="T20" s="9">
        <f>K20-K4</f>
        <v>2.0175900000000002</v>
      </c>
      <c r="U20" s="11">
        <f t="shared" ref="U20:U21" si="7">L4-L20</f>
        <v>0.29205999999999999</v>
      </c>
      <c r="V20" s="9">
        <f>L4-L20</f>
        <v>0.29205999999999999</v>
      </c>
      <c r="W20" s="56"/>
      <c r="AF20" s="815">
        <f>((I4-I20)/$D20)/24*1000000</f>
        <v>0.36355119474956527</v>
      </c>
      <c r="AG20" s="815">
        <f t="shared" ref="AG20:AG66" si="8">((L4-L20)/$D20)/24*1000000</f>
        <v>9.8424188504259685E-2</v>
      </c>
      <c r="AH20" s="815">
        <f t="shared" ref="AH20:AH66" si="9">((K20-K4)/$D20)/24*1000000</f>
        <v>0.67992761242316402</v>
      </c>
      <c r="AI20" s="815">
        <f t="shared" ref="AI20:AI66" si="10">((J20-J4)/$D20)/24*1000000</f>
        <v>9.050806103742047E-2</v>
      </c>
      <c r="AL20" s="405"/>
    </row>
    <row r="21" spans="1:38" s="11" customFormat="1" x14ac:dyDescent="0.3">
      <c r="A21" s="966"/>
      <c r="B21" s="11" t="s">
        <v>4</v>
      </c>
      <c r="C21" s="11">
        <v>24</v>
      </c>
      <c r="D21" s="12">
        <v>210370</v>
      </c>
      <c r="E21" s="12">
        <f t="shared" si="0"/>
        <v>0.21037</v>
      </c>
      <c r="G21" s="11">
        <v>1.1154661016949177</v>
      </c>
      <c r="H21" s="410">
        <f>G21/D21*1000000</f>
        <v>5.3024010158050938</v>
      </c>
      <c r="I21" s="11">
        <v>9.5898554586025444</v>
      </c>
      <c r="J21" s="11">
        <v>0.63470000000000004</v>
      </c>
      <c r="K21" s="11">
        <v>5.1912700000000003</v>
      </c>
      <c r="L21" s="11">
        <v>1.3600099999999999</v>
      </c>
      <c r="M21" s="12">
        <f>D21-100000</f>
        <v>110370</v>
      </c>
      <c r="N21" s="10">
        <f t="shared" si="5"/>
        <v>110370</v>
      </c>
      <c r="O21" s="11">
        <f>I5-I21</f>
        <v>1.8521725615577616</v>
      </c>
      <c r="P21" s="9">
        <f>I5-I21</f>
        <v>1.8521725615577616</v>
      </c>
      <c r="Q21" s="11">
        <f t="shared" ref="Q21" si="11">J5-J21*-1</f>
        <v>0.86507000000000001</v>
      </c>
      <c r="R21" s="9">
        <f>J21-J5</f>
        <v>0.40433000000000008</v>
      </c>
      <c r="S21" s="11">
        <f>K5-K21*-1</f>
        <v>6.98048</v>
      </c>
      <c r="T21" s="9">
        <f>K21-K5</f>
        <v>3.4020600000000005</v>
      </c>
      <c r="U21" s="11">
        <f t="shared" si="7"/>
        <v>0.36370000000000013</v>
      </c>
      <c r="V21" s="9">
        <f>L5-L21</f>
        <v>0.36370000000000013</v>
      </c>
      <c r="W21" s="56"/>
      <c r="AF21" s="815">
        <f t="shared" ref="AF21:AF34" si="12">((I5-I21)/$D21)/24*1000000</f>
        <v>0.36684820426664166</v>
      </c>
      <c r="AG21" s="815">
        <f t="shared" si="8"/>
        <v>7.2035778232003966E-2</v>
      </c>
      <c r="AH21" s="815">
        <f t="shared" si="9"/>
        <v>0.67382468983220045</v>
      </c>
      <c r="AI21" s="815">
        <f t="shared" si="10"/>
        <v>8.0083107540682319E-2</v>
      </c>
      <c r="AL21" s="405"/>
    </row>
    <row r="22" spans="1:38" s="11" customFormat="1" x14ac:dyDescent="0.3">
      <c r="A22" s="966"/>
      <c r="B22" s="11" t="s">
        <v>5</v>
      </c>
      <c r="C22" s="11">
        <v>24</v>
      </c>
      <c r="D22" s="12">
        <v>130400</v>
      </c>
      <c r="E22" s="12">
        <f t="shared" si="0"/>
        <v>0.13039999999999999</v>
      </c>
      <c r="F22" s="11">
        <v>96.9</v>
      </c>
      <c r="H22" s="410"/>
      <c r="M22" s="12">
        <f>D22-100000</f>
        <v>30400</v>
      </c>
      <c r="N22" s="10">
        <f t="shared" si="5"/>
        <v>30400</v>
      </c>
      <c r="P22" s="9"/>
      <c r="R22" s="9"/>
      <c r="T22" s="9"/>
      <c r="V22" s="9"/>
      <c r="W22" s="56"/>
      <c r="AF22" s="815"/>
      <c r="AG22" s="815"/>
      <c r="AH22" s="815"/>
      <c r="AI22" s="815"/>
      <c r="AL22" s="405"/>
    </row>
    <row r="23" spans="1:38" s="11" customFormat="1" x14ac:dyDescent="0.3">
      <c r="A23" s="966"/>
      <c r="B23" s="11" t="s">
        <v>6</v>
      </c>
      <c r="C23" s="11">
        <v>24</v>
      </c>
      <c r="D23" s="12">
        <v>87220</v>
      </c>
      <c r="E23" s="12">
        <f t="shared" si="0"/>
        <v>8.7220000000000006E-2</v>
      </c>
      <c r="F23" s="11">
        <v>90.4</v>
      </c>
      <c r="H23" s="410"/>
      <c r="M23" s="12">
        <v>0</v>
      </c>
      <c r="N23" s="10">
        <v>0</v>
      </c>
      <c r="P23" s="9"/>
      <c r="R23" s="9"/>
      <c r="T23" s="9"/>
      <c r="V23" s="9"/>
      <c r="W23" s="56"/>
      <c r="AF23" s="815"/>
      <c r="AG23" s="815"/>
      <c r="AH23" s="815"/>
      <c r="AI23" s="815"/>
      <c r="AL23" s="405"/>
    </row>
    <row r="24" spans="1:38" s="13" customFormat="1" x14ac:dyDescent="0.3">
      <c r="A24" s="967"/>
      <c r="B24" s="13" t="s">
        <v>7</v>
      </c>
      <c r="C24" s="13">
        <v>24</v>
      </c>
      <c r="D24" s="14">
        <v>101280</v>
      </c>
      <c r="E24" s="14">
        <f t="shared" si="0"/>
        <v>0.10128</v>
      </c>
      <c r="F24" s="13">
        <v>95.65</v>
      </c>
      <c r="H24" s="410"/>
      <c r="M24" s="14">
        <f t="shared" ref="M24:M32" si="13">D24-100000</f>
        <v>1280</v>
      </c>
      <c r="N24" s="10">
        <f t="shared" si="5"/>
        <v>1280</v>
      </c>
      <c r="P24" s="9"/>
      <c r="R24" s="9"/>
      <c r="T24" s="9"/>
      <c r="V24" s="9"/>
      <c r="W24" s="57"/>
      <c r="AE24" s="11"/>
      <c r="AF24" s="815"/>
      <c r="AG24" s="815"/>
      <c r="AH24" s="815"/>
      <c r="AI24" s="815"/>
      <c r="AK24" s="11"/>
      <c r="AL24" s="405"/>
    </row>
    <row r="25" spans="1:38" s="9" customFormat="1" x14ac:dyDescent="0.3">
      <c r="A25" s="965" t="s">
        <v>17</v>
      </c>
      <c r="B25" s="9" t="s">
        <v>8</v>
      </c>
      <c r="C25" s="9">
        <v>24</v>
      </c>
      <c r="D25" s="10">
        <v>136308</v>
      </c>
      <c r="E25" s="10">
        <f t="shared" si="0"/>
        <v>0.13630800000000001</v>
      </c>
      <c r="F25" s="9">
        <v>94.650842793257652</v>
      </c>
      <c r="G25" s="9">
        <v>0.97658862876253361</v>
      </c>
      <c r="H25" s="410">
        <f t="shared" ref="H25:H37" si="14">G25/D25*1000000</f>
        <v>7.1645730900793314</v>
      </c>
      <c r="I25" s="9">
        <v>9.9431603721219393</v>
      </c>
      <c r="J25" s="9">
        <v>0.48164000000000001</v>
      </c>
      <c r="K25" s="9">
        <v>4.3981300000000001</v>
      </c>
      <c r="L25" s="9">
        <v>1.34798</v>
      </c>
      <c r="M25" s="10">
        <f t="shared" si="13"/>
        <v>36308</v>
      </c>
      <c r="N25" s="10">
        <f t="shared" si="5"/>
        <v>36308</v>
      </c>
      <c r="O25" s="9">
        <f>I9-I25</f>
        <v>0.65915095805856971</v>
      </c>
      <c r="P25" s="9">
        <f>I9-I25</f>
        <v>0.65915095805856971</v>
      </c>
      <c r="Q25" s="9">
        <f t="shared" ref="Q25:Q29" si="15">J9-J25*-1</f>
        <v>0.58965000000000001</v>
      </c>
      <c r="R25" s="9">
        <f>J25-J9</f>
        <v>0.37363000000000002</v>
      </c>
      <c r="S25" s="9">
        <f>K9-K25*-1</f>
        <v>6.20573</v>
      </c>
      <c r="T25" s="9">
        <f>K25-K9</f>
        <v>2.5905300000000002</v>
      </c>
      <c r="U25" s="9">
        <f>L9-L25</f>
        <v>0.30991000000000013</v>
      </c>
      <c r="V25" s="9">
        <f>L9-L25</f>
        <v>0.30991000000000013</v>
      </c>
      <c r="W25" s="48"/>
      <c r="AF25" s="815">
        <f t="shared" si="12"/>
        <v>0.20148944487807322</v>
      </c>
      <c r="AG25" s="815">
        <f t="shared" si="8"/>
        <v>9.4733373438585192E-2</v>
      </c>
      <c r="AH25" s="815">
        <f t="shared" si="9"/>
        <v>0.79187391789183315</v>
      </c>
      <c r="AI25" s="815">
        <f t="shared" si="10"/>
        <v>0.11421132044096215</v>
      </c>
      <c r="AK25" s="11"/>
      <c r="AL25" s="405"/>
    </row>
    <row r="26" spans="1:38" s="11" customFormat="1" x14ac:dyDescent="0.3">
      <c r="A26" s="966"/>
      <c r="B26" s="15" t="s">
        <v>11</v>
      </c>
      <c r="C26" s="11">
        <v>24</v>
      </c>
      <c r="D26" s="12">
        <v>148736.00000000003</v>
      </c>
      <c r="E26" s="12">
        <f t="shared" si="0"/>
        <v>0.14873600000000003</v>
      </c>
      <c r="F26" s="11">
        <v>90.217391304347828</v>
      </c>
      <c r="G26" s="11">
        <v>0.67948717948716986</v>
      </c>
      <c r="H26" s="410">
        <f t="shared" si="14"/>
        <v>4.5684110066639532</v>
      </c>
      <c r="I26" s="11">
        <v>7.2744177268589434</v>
      </c>
      <c r="J26" s="11">
        <v>0.38840000000000002</v>
      </c>
      <c r="K26" s="11">
        <v>3.0857000000000001</v>
      </c>
      <c r="L26" s="11">
        <v>1.1471499999999999</v>
      </c>
      <c r="M26" s="12">
        <f t="shared" si="13"/>
        <v>48736.000000000029</v>
      </c>
      <c r="N26" s="10">
        <f t="shared" si="5"/>
        <v>48736.000000000029</v>
      </c>
      <c r="O26" s="11">
        <f>I10-I26</f>
        <v>3.0086147561002692</v>
      </c>
      <c r="P26" s="9">
        <f>I10-I26</f>
        <v>3.0086147561002692</v>
      </c>
      <c r="Q26" s="11">
        <f t="shared" si="15"/>
        <v>0.51622999999999997</v>
      </c>
      <c r="R26" s="9">
        <f>J26-J10</f>
        <v>0.26057000000000002</v>
      </c>
      <c r="S26" s="11">
        <f>K10-K26*-1</f>
        <v>4.8403900000000002</v>
      </c>
      <c r="T26" s="9">
        <f>K26-K10</f>
        <v>1.33101</v>
      </c>
      <c r="U26" s="11">
        <f>L10-L26</f>
        <v>0.40951000000000004</v>
      </c>
      <c r="V26" s="9">
        <f>L10-L26</f>
        <v>0.40951000000000004</v>
      </c>
      <c r="W26" s="56"/>
      <c r="AF26" s="815">
        <f t="shared" si="12"/>
        <v>0.84282855644124166</v>
      </c>
      <c r="AG26" s="815">
        <f t="shared" si="8"/>
        <v>0.11471948060097532</v>
      </c>
      <c r="AH26" s="815">
        <f t="shared" si="9"/>
        <v>0.37286702614027534</v>
      </c>
      <c r="AI26" s="815">
        <f t="shared" si="10"/>
        <v>7.2995665698508308E-2</v>
      </c>
      <c r="AL26" s="405"/>
    </row>
    <row r="27" spans="1:38" s="11" customFormat="1" x14ac:dyDescent="0.3">
      <c r="A27" s="966"/>
      <c r="B27" s="11" t="s">
        <v>9</v>
      </c>
      <c r="C27" s="11">
        <v>24</v>
      </c>
      <c r="D27" s="12">
        <v>156384</v>
      </c>
      <c r="E27" s="12">
        <f t="shared" si="0"/>
        <v>0.156384</v>
      </c>
      <c r="F27" s="11">
        <v>89.204034512091397</v>
      </c>
      <c r="G27" s="11">
        <v>3.3367965367965358</v>
      </c>
      <c r="H27" s="410">
        <f t="shared" si="14"/>
        <v>21.337199053589472</v>
      </c>
      <c r="I27" s="11">
        <v>10.044739003974334</v>
      </c>
      <c r="J27" s="11">
        <v>0.40438000000000002</v>
      </c>
      <c r="K27" s="11">
        <v>4.1056400000000002</v>
      </c>
      <c r="L27" s="11">
        <v>1.6447499999999999</v>
      </c>
      <c r="M27" s="12">
        <f t="shared" si="13"/>
        <v>56384</v>
      </c>
      <c r="N27" s="10">
        <f t="shared" si="5"/>
        <v>56384</v>
      </c>
      <c r="O27" s="11">
        <f>I11-I27</f>
        <v>0.87779480006216737</v>
      </c>
      <c r="P27" s="9">
        <f>I11-I27</f>
        <v>0.87779480006216737</v>
      </c>
      <c r="Q27" s="11">
        <f t="shared" si="15"/>
        <v>0.40438000000000002</v>
      </c>
      <c r="R27" s="9">
        <f>J27-J11</f>
        <v>0.40438000000000002</v>
      </c>
      <c r="S27" s="11">
        <f>K11-K27*-1</f>
        <v>5.9204699999999999</v>
      </c>
      <c r="T27" s="9">
        <f>K27-K11</f>
        <v>2.2908100000000005</v>
      </c>
      <c r="U27" s="11">
        <f>L11-L27</f>
        <v>0.38204000000000016</v>
      </c>
      <c r="V27" s="9">
        <f>L11-L27</f>
        <v>0.38204000000000016</v>
      </c>
      <c r="W27" s="56"/>
      <c r="AF27" s="815">
        <f t="shared" si="12"/>
        <v>0.23387803954319902</v>
      </c>
      <c r="AG27" s="815">
        <f t="shared" si="8"/>
        <v>0.10179003819657599</v>
      </c>
      <c r="AH27" s="815">
        <f t="shared" si="9"/>
        <v>0.6103592225973673</v>
      </c>
      <c r="AI27" s="815">
        <f t="shared" si="10"/>
        <v>0.10774226689857447</v>
      </c>
      <c r="AL27" s="405"/>
    </row>
    <row r="28" spans="1:38" s="13" customFormat="1" x14ac:dyDescent="0.3">
      <c r="A28" s="967"/>
      <c r="B28" s="13" t="s">
        <v>10</v>
      </c>
      <c r="C28" s="13">
        <v>24</v>
      </c>
      <c r="D28" s="14">
        <v>143880</v>
      </c>
      <c r="E28" s="14">
        <f t="shared" si="0"/>
        <v>0.14388000000000001</v>
      </c>
      <c r="F28" s="13">
        <v>96.766987859020432</v>
      </c>
      <c r="G28" s="13">
        <v>0</v>
      </c>
      <c r="H28" s="410">
        <f t="shared" si="14"/>
        <v>0</v>
      </c>
      <c r="I28" s="13">
        <v>10.371289327027688</v>
      </c>
      <c r="J28" s="13">
        <v>0.44614999999999999</v>
      </c>
      <c r="K28" s="13">
        <v>3.8534899999999999</v>
      </c>
      <c r="L28" s="13">
        <v>2.1091600000000001</v>
      </c>
      <c r="M28" s="14">
        <f t="shared" si="13"/>
        <v>43880</v>
      </c>
      <c r="N28" s="10">
        <f t="shared" si="5"/>
        <v>43880</v>
      </c>
      <c r="O28" s="13">
        <f>I12-I28</f>
        <v>1.2101734052709858</v>
      </c>
      <c r="P28" s="9">
        <f>I12-I28</f>
        <v>1.2101734052709858</v>
      </c>
      <c r="Q28" s="13">
        <f t="shared" si="15"/>
        <v>0.55303000000000002</v>
      </c>
      <c r="R28" s="9">
        <f>J28-J12</f>
        <v>0.33926999999999996</v>
      </c>
      <c r="S28" s="13">
        <f>K12-K28*-1</f>
        <v>5.6821199999999994</v>
      </c>
      <c r="T28" s="9">
        <f>K28-K12</f>
        <v>2.0248599999999999</v>
      </c>
      <c r="U28" s="13">
        <f>L12-L28</f>
        <v>0.2528999999999999</v>
      </c>
      <c r="V28" s="9">
        <f>L12-L28</f>
        <v>0.2528999999999999</v>
      </c>
      <c r="W28" s="57"/>
      <c r="AE28" s="11"/>
      <c r="AF28" s="815">
        <f t="shared" si="12"/>
        <v>0.35045796418050512</v>
      </c>
      <c r="AG28" s="815">
        <f t="shared" si="8"/>
        <v>7.3238115095913242E-2</v>
      </c>
      <c r="AH28" s="815">
        <f t="shared" si="9"/>
        <v>0.58638564544527849</v>
      </c>
      <c r="AI28" s="815">
        <f t="shared" si="10"/>
        <v>9.8250278009452324E-2</v>
      </c>
      <c r="AK28" s="11"/>
      <c r="AL28" s="405"/>
    </row>
    <row r="29" spans="1:38" s="9" customFormat="1" x14ac:dyDescent="0.3">
      <c r="A29" s="965" t="s">
        <v>18</v>
      </c>
      <c r="B29" s="44" t="s">
        <v>19</v>
      </c>
      <c r="C29" s="9">
        <v>24</v>
      </c>
      <c r="D29" s="10">
        <v>170239.99999999997</v>
      </c>
      <c r="E29" s="10">
        <f t="shared" si="0"/>
        <v>0.17023999999999997</v>
      </c>
      <c r="F29" s="9">
        <v>91.084571155437288</v>
      </c>
      <c r="G29" s="9">
        <v>0</v>
      </c>
      <c r="H29" s="410">
        <f t="shared" si="14"/>
        <v>0</v>
      </c>
      <c r="I29" s="9">
        <v>8.7323763849108555</v>
      </c>
      <c r="J29" s="9">
        <v>0.49117</v>
      </c>
      <c r="K29" s="9">
        <v>4.7181199999999999</v>
      </c>
      <c r="L29" s="9">
        <v>1.67648</v>
      </c>
      <c r="M29" s="10">
        <f t="shared" si="13"/>
        <v>70239.999999999971</v>
      </c>
      <c r="N29" s="10">
        <f t="shared" si="5"/>
        <v>70239.999999999971</v>
      </c>
      <c r="O29" s="9">
        <f>I13-I29</f>
        <v>2.2695330713381718</v>
      </c>
      <c r="P29" s="9">
        <f>I13-I29</f>
        <v>2.2695330713381718</v>
      </c>
      <c r="Q29" s="9">
        <f t="shared" si="15"/>
        <v>0.61701000000000006</v>
      </c>
      <c r="R29" s="9">
        <f>J29-J13</f>
        <v>0.36532999999999999</v>
      </c>
      <c r="S29" s="9">
        <f>K13-K29*-1</f>
        <v>6.5398300000000003</v>
      </c>
      <c r="T29" s="9">
        <f>K29-K13</f>
        <v>2.8964099999999999</v>
      </c>
      <c r="U29" s="9">
        <f>L13-L29</f>
        <v>0.45959000000000017</v>
      </c>
      <c r="V29" s="9">
        <f>L13-L29</f>
        <v>0.45959000000000017</v>
      </c>
      <c r="W29" s="48"/>
      <c r="AF29" s="815">
        <f t="shared" si="12"/>
        <v>0.55547390726282797</v>
      </c>
      <c r="AG29" s="815">
        <f t="shared" si="8"/>
        <v>0.11248580435463665</v>
      </c>
      <c r="AH29" s="815">
        <f t="shared" si="9"/>
        <v>0.7089036066729324</v>
      </c>
      <c r="AI29" s="815">
        <f t="shared" si="10"/>
        <v>8.9415433114035103E-2</v>
      </c>
      <c r="AK29" s="11"/>
      <c r="AL29" s="405"/>
    </row>
    <row r="30" spans="1:38" s="11" customFormat="1" x14ac:dyDescent="0.3">
      <c r="A30" s="966"/>
      <c r="B30" s="11" t="s">
        <v>12</v>
      </c>
      <c r="C30" s="11">
        <v>24</v>
      </c>
      <c r="D30" s="12">
        <v>178640</v>
      </c>
      <c r="E30" s="12">
        <f t="shared" si="0"/>
        <v>0.17863999999999999</v>
      </c>
      <c r="F30" s="11">
        <v>96.886645029450648</v>
      </c>
      <c r="G30" s="11">
        <v>0</v>
      </c>
      <c r="H30" s="410">
        <f t="shared" si="14"/>
        <v>0</v>
      </c>
      <c r="M30" s="12">
        <f t="shared" si="13"/>
        <v>78640</v>
      </c>
      <c r="N30" s="10">
        <f t="shared" si="5"/>
        <v>78640</v>
      </c>
      <c r="P30" s="9"/>
      <c r="R30" s="9"/>
      <c r="T30" s="9"/>
      <c r="V30" s="9"/>
      <c r="W30" s="56"/>
      <c r="AF30" s="815"/>
      <c r="AG30" s="815"/>
      <c r="AH30" s="815"/>
      <c r="AI30" s="815"/>
      <c r="AL30" s="405"/>
    </row>
    <row r="31" spans="1:38" s="11" customFormat="1" x14ac:dyDescent="0.3">
      <c r="A31" s="966"/>
      <c r="B31" s="11" t="s">
        <v>13</v>
      </c>
      <c r="C31" s="11">
        <v>24</v>
      </c>
      <c r="D31" s="12">
        <v>119600</v>
      </c>
      <c r="E31" s="12">
        <f t="shared" si="0"/>
        <v>0.1196</v>
      </c>
      <c r="F31" s="11">
        <v>96.664446664446672</v>
      </c>
      <c r="G31" s="11">
        <v>0</v>
      </c>
      <c r="H31" s="410">
        <f t="shared" si="14"/>
        <v>0</v>
      </c>
      <c r="M31" s="12">
        <f t="shared" si="13"/>
        <v>19600</v>
      </c>
      <c r="N31" s="10">
        <f t="shared" si="5"/>
        <v>19600</v>
      </c>
      <c r="P31" s="9"/>
      <c r="R31" s="9"/>
      <c r="T31" s="9"/>
      <c r="V31" s="9"/>
      <c r="W31" s="56"/>
      <c r="AF31" s="815"/>
      <c r="AG31" s="815"/>
      <c r="AH31" s="815"/>
      <c r="AI31" s="815"/>
      <c r="AL31" s="405"/>
    </row>
    <row r="32" spans="1:38" s="11" customFormat="1" x14ac:dyDescent="0.3">
      <c r="A32" s="966"/>
      <c r="B32" s="11" t="s">
        <v>14</v>
      </c>
      <c r="C32" s="11">
        <v>24</v>
      </c>
      <c r="D32" s="12">
        <v>116328</v>
      </c>
      <c r="E32" s="12">
        <f t="shared" si="0"/>
        <v>0.116328</v>
      </c>
      <c r="F32" s="11">
        <v>94.04149159663865</v>
      </c>
      <c r="G32" s="11">
        <v>0.14743589743590033</v>
      </c>
      <c r="H32" s="410">
        <f t="shared" si="14"/>
        <v>1.2674153895528191</v>
      </c>
      <c r="I32" s="11">
        <v>10.700726037434222</v>
      </c>
      <c r="J32" s="11">
        <v>0.45034999999999997</v>
      </c>
      <c r="K32" s="11">
        <v>3.87527</v>
      </c>
      <c r="L32" s="11">
        <v>1.67031</v>
      </c>
      <c r="M32" s="12">
        <f t="shared" si="13"/>
        <v>16328</v>
      </c>
      <c r="N32" s="10">
        <f t="shared" si="5"/>
        <v>16328</v>
      </c>
      <c r="O32" s="11">
        <f>I16-I32</f>
        <v>0.98409156508803797</v>
      </c>
      <c r="P32" s="9">
        <f t="shared" ref="P32:P37" si="16">I16-I32</f>
        <v>0.98409156508803797</v>
      </c>
      <c r="Q32" s="11">
        <f t="shared" ref="Q32:Q34" si="17">J16-J32*-1</f>
        <v>0.58031999999999995</v>
      </c>
      <c r="R32" s="9">
        <f t="shared" ref="R32:R37" si="18">J32-J16</f>
        <v>0.32038</v>
      </c>
      <c r="S32" s="11">
        <f>K16-K32*-1</f>
        <v>5.6985200000000003</v>
      </c>
      <c r="T32" s="9">
        <f t="shared" ref="T32:T37" si="19">K32-K16</f>
        <v>2.0520199999999997</v>
      </c>
      <c r="U32" s="11">
        <f>L16-L32</f>
        <v>0.24178000000000011</v>
      </c>
      <c r="V32" s="9">
        <f t="shared" ref="V32:V37" si="20">L16-L32</f>
        <v>0.24178000000000011</v>
      </c>
      <c r="W32" s="56"/>
      <c r="AF32" s="815">
        <f t="shared" si="12"/>
        <v>0.35248448535177762</v>
      </c>
      <c r="AG32" s="815">
        <f t="shared" si="8"/>
        <v>8.6601391467803726E-2</v>
      </c>
      <c r="AH32" s="815">
        <f t="shared" si="9"/>
        <v>0.73499787955894824</v>
      </c>
      <c r="AI32" s="815">
        <f t="shared" si="10"/>
        <v>0.11475454462095683</v>
      </c>
      <c r="AL32" s="405"/>
    </row>
    <row r="33" spans="1:38" s="11" customFormat="1" x14ac:dyDescent="0.3">
      <c r="A33" s="966"/>
      <c r="B33" s="11" t="s">
        <v>15</v>
      </c>
      <c r="C33" s="11">
        <v>24</v>
      </c>
      <c r="D33" s="12">
        <v>92400.000000000015</v>
      </c>
      <c r="E33" s="12">
        <f t="shared" si="0"/>
        <v>9.240000000000001E-2</v>
      </c>
      <c r="F33" s="11">
        <v>92.118226600985224</v>
      </c>
      <c r="G33" s="11">
        <v>1.52619589977221</v>
      </c>
      <c r="H33" s="410">
        <f t="shared" si="14"/>
        <v>16.517271642556384</v>
      </c>
      <c r="I33" s="11">
        <v>9.6468616088279049</v>
      </c>
      <c r="J33" s="11">
        <v>0.39773999999999998</v>
      </c>
      <c r="K33" s="11">
        <v>3.9544899999999998</v>
      </c>
      <c r="L33" s="11">
        <v>1.6163000000000001</v>
      </c>
      <c r="M33" s="12">
        <v>0</v>
      </c>
      <c r="N33" s="10">
        <v>0</v>
      </c>
      <c r="O33" s="11">
        <f>I17-I33</f>
        <v>2.3177690446057841</v>
      </c>
      <c r="P33" s="9">
        <f t="shared" si="16"/>
        <v>2.3177690446057841</v>
      </c>
      <c r="Q33" s="11">
        <f t="shared" si="17"/>
        <v>0.47416999999999998</v>
      </c>
      <c r="R33" s="9">
        <f t="shared" si="18"/>
        <v>0.32130999999999998</v>
      </c>
      <c r="S33" s="11">
        <f>K17-K33*-1</f>
        <v>5.7810600000000001</v>
      </c>
      <c r="T33" s="9">
        <f t="shared" si="19"/>
        <v>2.1279199999999996</v>
      </c>
      <c r="U33" s="11">
        <f>L17-L33</f>
        <v>0.20523999999999987</v>
      </c>
      <c r="V33" s="9">
        <f t="shared" si="20"/>
        <v>0.20523999999999987</v>
      </c>
      <c r="W33" s="56"/>
      <c r="AF33" s="815">
        <f t="shared" si="12"/>
        <v>1.0451700237219443</v>
      </c>
      <c r="AG33" s="815">
        <f t="shared" si="8"/>
        <v>9.2550505050504966E-2</v>
      </c>
      <c r="AH33" s="815">
        <f t="shared" si="9"/>
        <v>0.95955988455988417</v>
      </c>
      <c r="AI33" s="815">
        <f t="shared" si="10"/>
        <v>0.14489087301587297</v>
      </c>
      <c r="AL33" s="405"/>
    </row>
    <row r="34" spans="1:38" s="13" customFormat="1" x14ac:dyDescent="0.3">
      <c r="A34" s="967"/>
      <c r="B34" s="13" t="s">
        <v>16</v>
      </c>
      <c r="C34" s="13">
        <v>24</v>
      </c>
      <c r="D34" s="14">
        <v>133980</v>
      </c>
      <c r="E34" s="14">
        <f t="shared" si="0"/>
        <v>0.13397999999999999</v>
      </c>
      <c r="F34" s="13">
        <v>91.349315969481722</v>
      </c>
      <c r="G34" s="13">
        <v>0</v>
      </c>
      <c r="H34" s="410">
        <f t="shared" si="14"/>
        <v>0</v>
      </c>
      <c r="I34" s="13">
        <v>10.340871244921068</v>
      </c>
      <c r="J34" s="13">
        <v>0.50727</v>
      </c>
      <c r="K34" s="13">
        <v>3.8525</v>
      </c>
      <c r="L34" s="13">
        <v>1.3914800000000001</v>
      </c>
      <c r="M34" s="14">
        <f t="shared" ref="M34:M66" si="21">D34-100000</f>
        <v>33980</v>
      </c>
      <c r="N34" s="10">
        <f t="shared" si="5"/>
        <v>33980</v>
      </c>
      <c r="O34" s="13">
        <f>I18-I34</f>
        <v>1.0482581762472538</v>
      </c>
      <c r="P34" s="9">
        <f t="shared" si="16"/>
        <v>1.0482581762472538</v>
      </c>
      <c r="Q34" s="13">
        <f t="shared" si="17"/>
        <v>0.69994000000000001</v>
      </c>
      <c r="R34" s="9">
        <f t="shared" si="18"/>
        <v>0.31459999999999999</v>
      </c>
      <c r="S34" s="13">
        <f>K18-K34*-1</f>
        <v>5.6224400000000001</v>
      </c>
      <c r="T34" s="9">
        <f t="shared" si="19"/>
        <v>2.08256</v>
      </c>
      <c r="U34" s="13">
        <f>L18-L34</f>
        <v>0.28346999999999989</v>
      </c>
      <c r="V34" s="9">
        <f t="shared" si="20"/>
        <v>0.28346999999999989</v>
      </c>
      <c r="W34" s="57"/>
      <c r="AE34" s="11"/>
      <c r="AF34" s="815">
        <f t="shared" si="12"/>
        <v>0.3259995821040621</v>
      </c>
      <c r="AG34" s="815">
        <f t="shared" si="8"/>
        <v>8.8156814449917853E-2</v>
      </c>
      <c r="AH34" s="815">
        <f t="shared" si="9"/>
        <v>0.64765885455540639</v>
      </c>
      <c r="AI34" s="815">
        <f t="shared" si="10"/>
        <v>9.7837985769020253E-2</v>
      </c>
      <c r="AK34" s="11"/>
      <c r="AL34" s="405"/>
    </row>
    <row r="35" spans="1:38" s="16" customFormat="1" x14ac:dyDescent="0.3">
      <c r="A35" s="962" t="s">
        <v>1</v>
      </c>
      <c r="B35" s="16" t="s">
        <v>0</v>
      </c>
      <c r="C35" s="16">
        <v>48</v>
      </c>
      <c r="D35" s="17">
        <v>378672</v>
      </c>
      <c r="E35" s="17">
        <f t="shared" ref="E35:E66" si="22">D35/1000000</f>
        <v>0.37867200000000001</v>
      </c>
      <c r="F35" s="16">
        <v>97.506326328528985</v>
      </c>
      <c r="G35" s="16">
        <v>0</v>
      </c>
      <c r="H35" s="410">
        <f t="shared" si="14"/>
        <v>0</v>
      </c>
      <c r="I35" s="16">
        <v>6.1738160261107033</v>
      </c>
      <c r="J35" s="16">
        <v>0.83501999999999998</v>
      </c>
      <c r="K35" s="16">
        <v>6.6308600000000002</v>
      </c>
      <c r="L35" s="16">
        <v>1.1240699999999999</v>
      </c>
      <c r="M35" s="17">
        <f t="shared" si="21"/>
        <v>278672</v>
      </c>
      <c r="N35" s="10">
        <f t="shared" si="5"/>
        <v>239192</v>
      </c>
      <c r="O35" s="16">
        <f>I3-I35</f>
        <v>4.5850263105308731</v>
      </c>
      <c r="P35" s="9">
        <f t="shared" si="16"/>
        <v>2.9759208685805643</v>
      </c>
      <c r="Q35" s="16">
        <f t="shared" ref="Q35:Q37" si="23">J3-J35*-1</f>
        <v>0.98258000000000001</v>
      </c>
      <c r="R35" s="9">
        <f t="shared" si="18"/>
        <v>0.34528999999999999</v>
      </c>
      <c r="S35" s="16">
        <f>K3-K35*-1</f>
        <v>8.3354300000000006</v>
      </c>
      <c r="T35" s="9">
        <f t="shared" si="19"/>
        <v>2.875</v>
      </c>
      <c r="U35" s="16">
        <f>L3-L35</f>
        <v>1.0949899999999999</v>
      </c>
      <c r="V35" s="9">
        <f t="shared" si="20"/>
        <v>0.66391</v>
      </c>
      <c r="W35" s="48"/>
      <c r="AF35" s="815">
        <f>((I19-I35)/$D35)/24*1000000</f>
        <v>0.32745146949741072</v>
      </c>
      <c r="AG35" s="815">
        <f t="shared" si="8"/>
        <v>7.3052448204954865E-2</v>
      </c>
      <c r="AH35" s="815">
        <f t="shared" si="9"/>
        <v>0.31634677680596046</v>
      </c>
      <c r="AI35" s="815">
        <f t="shared" si="10"/>
        <v>3.7993522978549597E-2</v>
      </c>
      <c r="AK35" s="18"/>
      <c r="AL35" s="405"/>
    </row>
    <row r="36" spans="1:38" s="18" customFormat="1" x14ac:dyDescent="0.3">
      <c r="A36" s="963"/>
      <c r="B36" s="18" t="s">
        <v>3</v>
      </c>
      <c r="C36" s="18">
        <v>48</v>
      </c>
      <c r="D36" s="19">
        <v>259350</v>
      </c>
      <c r="E36" s="19">
        <f t="shared" si="22"/>
        <v>0.25935000000000002</v>
      </c>
      <c r="F36" s="18">
        <v>98.734445494363356</v>
      </c>
      <c r="G36" s="18">
        <v>0</v>
      </c>
      <c r="H36" s="410">
        <f t="shared" si="14"/>
        <v>0</v>
      </c>
      <c r="I36" s="18">
        <v>5.0122671462510269</v>
      </c>
      <c r="J36" s="18">
        <v>0.54113</v>
      </c>
      <c r="K36" s="18">
        <v>5.6191000000000004</v>
      </c>
      <c r="L36" s="18">
        <v>0.70147000000000004</v>
      </c>
      <c r="M36" s="19">
        <f t="shared" si="21"/>
        <v>159350</v>
      </c>
      <c r="N36" s="10">
        <f t="shared" si="5"/>
        <v>135710</v>
      </c>
      <c r="O36" s="18">
        <f>I4-I36</f>
        <v>6.1078731765802967</v>
      </c>
      <c r="P36" s="9">
        <f t="shared" si="16"/>
        <v>5.0290859033282267</v>
      </c>
      <c r="Q36" s="18">
        <f t="shared" si="23"/>
        <v>0.6956</v>
      </c>
      <c r="R36" s="9">
        <f t="shared" si="18"/>
        <v>0.11808999999999997</v>
      </c>
      <c r="S36" s="18">
        <f>K4-K36*-1</f>
        <v>7.3985400000000006</v>
      </c>
      <c r="T36" s="9">
        <f t="shared" si="19"/>
        <v>1.8220700000000005</v>
      </c>
      <c r="U36" s="18">
        <f>L4-L36</f>
        <v>1.03399</v>
      </c>
      <c r="V36" s="9">
        <f t="shared" si="20"/>
        <v>0.74192999999999998</v>
      </c>
      <c r="W36" s="56"/>
      <c r="AF36" s="815">
        <f>((I20-I36)/$D36)/24*1000000</f>
        <v>0.80796316164260429</v>
      </c>
      <c r="AG36" s="815">
        <f t="shared" si="8"/>
        <v>0.1191970310391363</v>
      </c>
      <c r="AH36" s="815">
        <f t="shared" si="9"/>
        <v>0.29273022299338097</v>
      </c>
      <c r="AI36" s="815">
        <f t="shared" si="10"/>
        <v>1.897210976158344E-2</v>
      </c>
      <c r="AL36" s="405"/>
    </row>
    <row r="37" spans="1:38" s="18" customFormat="1" x14ac:dyDescent="0.3">
      <c r="A37" s="963"/>
      <c r="B37" s="18" t="s">
        <v>4</v>
      </c>
      <c r="C37" s="18">
        <v>48</v>
      </c>
      <c r="D37" s="19">
        <v>411450</v>
      </c>
      <c r="E37" s="19">
        <f t="shared" si="22"/>
        <v>0.41144999999999998</v>
      </c>
      <c r="G37" s="18">
        <v>2.1006355932203391</v>
      </c>
      <c r="H37" s="410">
        <f t="shared" si="14"/>
        <v>5.1054456026742958</v>
      </c>
      <c r="I37" s="18">
        <v>6.9841137680676741</v>
      </c>
      <c r="J37" s="18">
        <v>1.0360199999999999</v>
      </c>
      <c r="K37" s="18">
        <v>10.00811</v>
      </c>
      <c r="L37" s="18">
        <v>0.93572</v>
      </c>
      <c r="M37" s="19">
        <f t="shared" si="21"/>
        <v>311450</v>
      </c>
      <c r="N37" s="10">
        <f t="shared" si="5"/>
        <v>201080</v>
      </c>
      <c r="O37" s="18">
        <f>I5-I37</f>
        <v>4.4579142520926318</v>
      </c>
      <c r="P37" s="9">
        <f t="shared" si="16"/>
        <v>2.6057416905348703</v>
      </c>
      <c r="Q37" s="18">
        <f t="shared" si="23"/>
        <v>1.2663899999999999</v>
      </c>
      <c r="R37" s="9">
        <f t="shared" si="18"/>
        <v>0.4013199999999999</v>
      </c>
      <c r="S37" s="18">
        <f>K5-K37*-1</f>
        <v>11.797320000000001</v>
      </c>
      <c r="T37" s="9">
        <f t="shared" si="19"/>
        <v>4.81684</v>
      </c>
      <c r="U37" s="18">
        <f>L5-L37</f>
        <v>0.78799000000000008</v>
      </c>
      <c r="V37" s="9">
        <f t="shared" si="20"/>
        <v>0.42428999999999994</v>
      </c>
      <c r="W37" s="56"/>
      <c r="AF37" s="815">
        <f t="shared" ref="AF37:AF50" si="24">((I21-I37)/$D37)/24*1000000</f>
        <v>0.26387792061964499</v>
      </c>
      <c r="AG37" s="815">
        <f t="shared" si="8"/>
        <v>4.296694616599829E-2</v>
      </c>
      <c r="AH37" s="815">
        <f t="shared" si="9"/>
        <v>0.48779114513711669</v>
      </c>
      <c r="AI37" s="815">
        <f t="shared" si="10"/>
        <v>4.0640823105278071E-2</v>
      </c>
      <c r="AL37" s="405"/>
    </row>
    <row r="38" spans="1:38" s="18" customFormat="1" x14ac:dyDescent="0.3">
      <c r="A38" s="963"/>
      <c r="B38" s="18" t="s">
        <v>5</v>
      </c>
      <c r="C38" s="18">
        <v>48</v>
      </c>
      <c r="D38" s="19">
        <v>291480</v>
      </c>
      <c r="E38" s="19">
        <f t="shared" si="22"/>
        <v>0.29148000000000002</v>
      </c>
      <c r="F38" s="18">
        <v>95.5</v>
      </c>
      <c r="H38" s="410"/>
      <c r="M38" s="19">
        <f t="shared" si="21"/>
        <v>191480</v>
      </c>
      <c r="N38" s="10">
        <f t="shared" si="5"/>
        <v>161080</v>
      </c>
      <c r="P38" s="9"/>
      <c r="R38" s="9"/>
      <c r="T38" s="9"/>
      <c r="V38" s="9"/>
      <c r="W38" s="56"/>
      <c r="AF38" s="815"/>
      <c r="AG38" s="815"/>
      <c r="AH38" s="815"/>
      <c r="AI38" s="815"/>
      <c r="AL38" s="405"/>
    </row>
    <row r="39" spans="1:38" s="18" customFormat="1" x14ac:dyDescent="0.3">
      <c r="A39" s="963"/>
      <c r="B39" s="18" t="s">
        <v>6</v>
      </c>
      <c r="C39" s="18">
        <v>48</v>
      </c>
      <c r="D39" s="19">
        <v>246000</v>
      </c>
      <c r="E39" s="19">
        <f t="shared" si="22"/>
        <v>0.246</v>
      </c>
      <c r="F39" s="18">
        <v>98.55</v>
      </c>
      <c r="H39" s="410"/>
      <c r="M39" s="19">
        <f t="shared" si="21"/>
        <v>146000</v>
      </c>
      <c r="N39" s="10">
        <f t="shared" si="5"/>
        <v>158780</v>
      </c>
      <c r="P39" s="9"/>
      <c r="R39" s="9"/>
      <c r="T39" s="9"/>
      <c r="V39" s="9"/>
      <c r="W39" s="56"/>
      <c r="AF39" s="815"/>
      <c r="AG39" s="815"/>
      <c r="AH39" s="815"/>
      <c r="AI39" s="815"/>
      <c r="AL39" s="405"/>
    </row>
    <row r="40" spans="1:38" s="20" customFormat="1" x14ac:dyDescent="0.3">
      <c r="A40" s="964"/>
      <c r="B40" s="20" t="s">
        <v>7</v>
      </c>
      <c r="C40" s="20">
        <v>48</v>
      </c>
      <c r="D40" s="21">
        <v>278400</v>
      </c>
      <c r="E40" s="21">
        <f t="shared" si="22"/>
        <v>0.27839999999999998</v>
      </c>
      <c r="F40" s="20">
        <v>94.05</v>
      </c>
      <c r="H40" s="410"/>
      <c r="M40" s="21">
        <f t="shared" si="21"/>
        <v>178400</v>
      </c>
      <c r="N40" s="10">
        <f t="shared" si="5"/>
        <v>177120</v>
      </c>
      <c r="P40" s="9"/>
      <c r="R40" s="9"/>
      <c r="T40" s="9"/>
      <c r="V40" s="9"/>
      <c r="W40" s="57"/>
      <c r="AE40" s="18"/>
      <c r="AF40" s="815"/>
      <c r="AG40" s="815"/>
      <c r="AH40" s="815"/>
      <c r="AI40" s="815"/>
      <c r="AK40" s="18"/>
      <c r="AL40" s="405"/>
    </row>
    <row r="41" spans="1:38" s="16" customFormat="1" x14ac:dyDescent="0.3">
      <c r="A41" s="962" t="s">
        <v>17</v>
      </c>
      <c r="B41" s="16" t="s">
        <v>8</v>
      </c>
      <c r="C41" s="16">
        <v>48</v>
      </c>
      <c r="D41" s="17">
        <v>337504</v>
      </c>
      <c r="E41" s="17">
        <f t="shared" si="22"/>
        <v>0.33750400000000003</v>
      </c>
      <c r="F41" s="16">
        <v>92.498644986449875</v>
      </c>
      <c r="G41" s="16">
        <v>1.8461538461538463</v>
      </c>
      <c r="H41" s="410">
        <f t="shared" ref="H41:H53" si="25">G41/D41*1000000</f>
        <v>5.4700206402112155</v>
      </c>
      <c r="I41" s="16">
        <v>7.7488398943138161</v>
      </c>
      <c r="J41" s="16">
        <v>0.87866999999999995</v>
      </c>
      <c r="K41" s="16">
        <v>8.1347500000000004</v>
      </c>
      <c r="L41" s="16">
        <v>0.96750000000000003</v>
      </c>
      <c r="M41" s="17">
        <f t="shared" si="21"/>
        <v>237504</v>
      </c>
      <c r="N41" s="10">
        <f t="shared" si="5"/>
        <v>201196</v>
      </c>
      <c r="O41" s="16">
        <f>I9-I41</f>
        <v>2.8534714358666928</v>
      </c>
      <c r="P41" s="9">
        <f>I25-I41</f>
        <v>2.1943204778081231</v>
      </c>
      <c r="Q41" s="16">
        <f t="shared" ref="Q41:Q45" si="26">J9-J41*-1</f>
        <v>0.98668</v>
      </c>
      <c r="R41" s="9">
        <f>J41-J25</f>
        <v>0.39702999999999994</v>
      </c>
      <c r="S41" s="16">
        <f>K9-K41*-1</f>
        <v>9.9423500000000011</v>
      </c>
      <c r="T41" s="9">
        <f>K41-K25</f>
        <v>3.7366200000000003</v>
      </c>
      <c r="U41" s="16">
        <f>L9-L41</f>
        <v>0.69039000000000006</v>
      </c>
      <c r="V41" s="9">
        <f>L25-L41</f>
        <v>0.38047999999999993</v>
      </c>
      <c r="W41" s="48"/>
      <c r="AF41" s="815">
        <f t="shared" si="24"/>
        <v>0.27090055201915175</v>
      </c>
      <c r="AG41" s="815">
        <f t="shared" si="8"/>
        <v>4.6972282797635968E-2</v>
      </c>
      <c r="AH41" s="815">
        <f t="shared" si="9"/>
        <v>0.46130564378496253</v>
      </c>
      <c r="AI41" s="815">
        <f t="shared" si="10"/>
        <v>4.901546845864542E-2</v>
      </c>
      <c r="AK41" s="18"/>
      <c r="AL41" s="405"/>
    </row>
    <row r="42" spans="1:38" s="18" customFormat="1" x14ac:dyDescent="0.3">
      <c r="A42" s="963"/>
      <c r="B42" s="45" t="s">
        <v>11</v>
      </c>
      <c r="C42" s="18">
        <v>48</v>
      </c>
      <c r="D42" s="19">
        <v>376320</v>
      </c>
      <c r="E42" s="19">
        <f t="shared" si="22"/>
        <v>0.37631999999999999</v>
      </c>
      <c r="F42" s="18">
        <v>93.139901034637873</v>
      </c>
      <c r="G42" s="18">
        <v>0.45512820512819885</v>
      </c>
      <c r="H42" s="410">
        <f t="shared" si="25"/>
        <v>1.2094180620966168</v>
      </c>
      <c r="I42" s="18">
        <v>6.8858655831612596</v>
      </c>
      <c r="J42" s="18">
        <v>0.79503999999999997</v>
      </c>
      <c r="K42" s="18">
        <v>8.0242400000000007</v>
      </c>
      <c r="L42" s="18">
        <v>0.89720999999999995</v>
      </c>
      <c r="M42" s="19">
        <f t="shared" si="21"/>
        <v>276320</v>
      </c>
      <c r="N42" s="10">
        <f t="shared" si="5"/>
        <v>227583.99999999997</v>
      </c>
      <c r="O42" s="18">
        <f>I10-I42</f>
        <v>3.3971668997979529</v>
      </c>
      <c r="P42" s="9">
        <f>I26-I42</f>
        <v>0.38855214369768376</v>
      </c>
      <c r="Q42" s="18">
        <f t="shared" si="26"/>
        <v>0.92286999999999997</v>
      </c>
      <c r="R42" s="9">
        <f>J42-J26</f>
        <v>0.40663999999999995</v>
      </c>
      <c r="S42" s="18">
        <f>K10-K42*-1</f>
        <v>9.7789300000000008</v>
      </c>
      <c r="T42" s="9">
        <f>K42-K26</f>
        <v>4.9385400000000006</v>
      </c>
      <c r="U42" s="18">
        <f>L10-L42</f>
        <v>0.65944999999999998</v>
      </c>
      <c r="V42" s="9">
        <f>L26-L42</f>
        <v>0.24993999999999994</v>
      </c>
      <c r="W42" s="56"/>
      <c r="AF42" s="815">
        <f t="shared" si="24"/>
        <v>4.3021026397933031E-2</v>
      </c>
      <c r="AG42" s="815">
        <f t="shared" si="8"/>
        <v>2.7673699688208611E-2</v>
      </c>
      <c r="AH42" s="815">
        <f t="shared" si="9"/>
        <v>0.54680192389455784</v>
      </c>
      <c r="AI42" s="815">
        <f t="shared" si="10"/>
        <v>4.502373866213151E-2</v>
      </c>
      <c r="AL42" s="405"/>
    </row>
    <row r="43" spans="1:38" s="18" customFormat="1" x14ac:dyDescent="0.3">
      <c r="A43" s="963"/>
      <c r="B43" s="18" t="s">
        <v>9</v>
      </c>
      <c r="C43" s="18">
        <v>48</v>
      </c>
      <c r="D43" s="19">
        <v>316224</v>
      </c>
      <c r="E43" s="19">
        <f t="shared" si="22"/>
        <v>0.31622400000000001</v>
      </c>
      <c r="F43" s="18">
        <v>93.121683698740981</v>
      </c>
      <c r="G43" s="18">
        <v>3.0251082251082235</v>
      </c>
      <c r="H43" s="410">
        <f t="shared" si="25"/>
        <v>9.5663460872932582</v>
      </c>
      <c r="I43" s="18">
        <v>7.3595106463287374</v>
      </c>
      <c r="J43" s="18">
        <v>0.74258000000000002</v>
      </c>
      <c r="K43" s="18">
        <v>7.6606300000000003</v>
      </c>
      <c r="L43" s="18">
        <v>1.2392700000000001</v>
      </c>
      <c r="M43" s="19">
        <f t="shared" si="21"/>
        <v>216224</v>
      </c>
      <c r="N43" s="10">
        <f t="shared" si="5"/>
        <v>159840</v>
      </c>
      <c r="O43" s="18">
        <f>I11-I43</f>
        <v>3.5630231577077636</v>
      </c>
      <c r="P43" s="9">
        <f>I27-I43</f>
        <v>2.6852283576455962</v>
      </c>
      <c r="Q43" s="18">
        <f t="shared" si="26"/>
        <v>0.74258000000000002</v>
      </c>
      <c r="R43" s="9">
        <f>J43-J27</f>
        <v>0.3382</v>
      </c>
      <c r="S43" s="18">
        <f>K11-K43*-1</f>
        <v>9.47546</v>
      </c>
      <c r="T43" s="9">
        <f>K43-K27</f>
        <v>3.5549900000000001</v>
      </c>
      <c r="U43" s="18">
        <f>L11-L43</f>
        <v>0.78752</v>
      </c>
      <c r="V43" s="9">
        <f>L27-L43</f>
        <v>0.40547999999999984</v>
      </c>
      <c r="W43" s="56"/>
      <c r="AF43" s="815">
        <f t="shared" si="24"/>
        <v>0.35381411563290532</v>
      </c>
      <c r="AG43" s="815">
        <f t="shared" si="8"/>
        <v>5.3427317344667054E-2</v>
      </c>
      <c r="AH43" s="815">
        <f t="shared" si="9"/>
        <v>0.46841663925993388</v>
      </c>
      <c r="AI43" s="815">
        <f t="shared" si="10"/>
        <v>4.4562293395399043E-2</v>
      </c>
      <c r="AL43" s="405"/>
    </row>
    <row r="44" spans="1:38" s="20" customFormat="1" x14ac:dyDescent="0.3">
      <c r="A44" s="964"/>
      <c r="B44" s="20" t="s">
        <v>10</v>
      </c>
      <c r="C44" s="20">
        <v>48</v>
      </c>
      <c r="D44" s="21">
        <v>322560</v>
      </c>
      <c r="E44" s="21">
        <f t="shared" si="22"/>
        <v>0.32256000000000001</v>
      </c>
      <c r="F44" s="20">
        <v>96.006497901719229</v>
      </c>
      <c r="G44" s="20">
        <v>0</v>
      </c>
      <c r="H44" s="410">
        <f t="shared" si="25"/>
        <v>0</v>
      </c>
      <c r="I44" s="20">
        <v>7.6956637580763338</v>
      </c>
      <c r="J44" s="20">
        <v>0.83462999999999998</v>
      </c>
      <c r="K44" s="20">
        <v>7.5499900000000002</v>
      </c>
      <c r="L44" s="20">
        <v>1.7004999999999999</v>
      </c>
      <c r="M44" s="21">
        <f t="shared" si="21"/>
        <v>222560</v>
      </c>
      <c r="N44" s="10">
        <f t="shared" si="5"/>
        <v>178680</v>
      </c>
      <c r="O44" s="20">
        <f>I12-I44</f>
        <v>3.8857989742223396</v>
      </c>
      <c r="P44" s="9">
        <f>I28-I44</f>
        <v>2.6756255689513537</v>
      </c>
      <c r="Q44" s="20">
        <f t="shared" si="26"/>
        <v>0.94150999999999996</v>
      </c>
      <c r="R44" s="9">
        <f>J44-J28</f>
        <v>0.38847999999999999</v>
      </c>
      <c r="S44" s="20">
        <f>K12-K44*-1</f>
        <v>9.3786199999999997</v>
      </c>
      <c r="T44" s="9">
        <f>K44-K28</f>
        <v>3.6965000000000003</v>
      </c>
      <c r="U44" s="20">
        <f>L12-L44</f>
        <v>0.66156000000000015</v>
      </c>
      <c r="V44" s="9">
        <f>L28-L44</f>
        <v>0.40866000000000025</v>
      </c>
      <c r="W44" s="57"/>
      <c r="AE44" s="18"/>
      <c r="AF44" s="815">
        <f t="shared" si="24"/>
        <v>0.34562375590992811</v>
      </c>
      <c r="AG44" s="815">
        <f t="shared" si="8"/>
        <v>5.2788628472222258E-2</v>
      </c>
      <c r="AH44" s="815">
        <f t="shared" si="9"/>
        <v>0.47749514302248686</v>
      </c>
      <c r="AI44" s="815">
        <f t="shared" si="10"/>
        <v>5.0181878306878307E-2</v>
      </c>
      <c r="AK44" s="18"/>
      <c r="AL44" s="405"/>
    </row>
    <row r="45" spans="1:38" s="16" customFormat="1" x14ac:dyDescent="0.3">
      <c r="A45" s="962" t="s">
        <v>18</v>
      </c>
      <c r="B45" s="22" t="s">
        <v>19</v>
      </c>
      <c r="C45" s="16">
        <v>48</v>
      </c>
      <c r="D45" s="17">
        <v>530950</v>
      </c>
      <c r="E45" s="17">
        <f t="shared" si="22"/>
        <v>0.53095000000000003</v>
      </c>
      <c r="F45" s="16">
        <v>94.725063938618931</v>
      </c>
      <c r="G45" s="16">
        <v>0</v>
      </c>
      <c r="H45" s="410">
        <f t="shared" si="25"/>
        <v>0</v>
      </c>
      <c r="I45" s="16">
        <v>5.7852083749639203</v>
      </c>
      <c r="J45" s="16">
        <v>0.93825000000000003</v>
      </c>
      <c r="K45" s="16">
        <v>9.3932699999999993</v>
      </c>
      <c r="L45" s="16">
        <v>1.1309499999999999</v>
      </c>
      <c r="M45" s="17">
        <f t="shared" si="21"/>
        <v>430950</v>
      </c>
      <c r="N45" s="10">
        <f t="shared" si="5"/>
        <v>360710</v>
      </c>
      <c r="O45" s="16">
        <f>I13-I45</f>
        <v>5.2167010812851071</v>
      </c>
      <c r="P45" s="9">
        <f>I29-I45</f>
        <v>2.9471680099469353</v>
      </c>
      <c r="Q45" s="16">
        <f t="shared" si="26"/>
        <v>1.06409</v>
      </c>
      <c r="R45" s="9">
        <f>J45-J29</f>
        <v>0.44708000000000003</v>
      </c>
      <c r="S45" s="16">
        <f>K13-K45*-1</f>
        <v>11.214979999999999</v>
      </c>
      <c r="T45" s="9">
        <f>K45-K29</f>
        <v>4.6751499999999995</v>
      </c>
      <c r="U45" s="16">
        <f>L13-L45</f>
        <v>1.0051200000000002</v>
      </c>
      <c r="V45" s="9">
        <f>L29-L45</f>
        <v>0.54553000000000007</v>
      </c>
      <c r="W45" s="48"/>
      <c r="AF45" s="815">
        <f t="shared" si="24"/>
        <v>0.23128103791528826</v>
      </c>
      <c r="AG45" s="815">
        <f t="shared" si="8"/>
        <v>4.2810842201086108E-2</v>
      </c>
      <c r="AH45" s="815">
        <f t="shared" si="9"/>
        <v>0.36688561383683327</v>
      </c>
      <c r="AI45" s="815">
        <f t="shared" si="10"/>
        <v>3.5084910694666793E-2</v>
      </c>
      <c r="AK45" s="18"/>
      <c r="AL45" s="405"/>
    </row>
    <row r="46" spans="1:38" s="18" customFormat="1" x14ac:dyDescent="0.3">
      <c r="A46" s="963"/>
      <c r="B46" s="18" t="s">
        <v>12</v>
      </c>
      <c r="C46" s="18">
        <v>48</v>
      </c>
      <c r="D46" s="19">
        <v>329460</v>
      </c>
      <c r="E46" s="19">
        <f t="shared" si="22"/>
        <v>0.32945999999999998</v>
      </c>
      <c r="F46" s="18">
        <v>92.308824973004818</v>
      </c>
      <c r="G46" s="18">
        <v>0</v>
      </c>
      <c r="H46" s="410">
        <f t="shared" si="25"/>
        <v>0</v>
      </c>
      <c r="M46" s="19">
        <f t="shared" si="21"/>
        <v>229460</v>
      </c>
      <c r="N46" s="10">
        <f t="shared" si="5"/>
        <v>150820</v>
      </c>
      <c r="P46" s="9"/>
      <c r="R46" s="9"/>
      <c r="T46" s="9"/>
      <c r="V46" s="9"/>
      <c r="W46" s="56"/>
      <c r="AF46" s="815"/>
      <c r="AG46" s="815"/>
      <c r="AH46" s="815"/>
      <c r="AI46" s="815"/>
      <c r="AL46" s="405"/>
    </row>
    <row r="47" spans="1:38" s="18" customFormat="1" x14ac:dyDescent="0.3">
      <c r="A47" s="963"/>
      <c r="B47" s="18" t="s">
        <v>13</v>
      </c>
      <c r="C47" s="18">
        <v>48</v>
      </c>
      <c r="D47" s="19">
        <v>353120</v>
      </c>
      <c r="E47" s="19">
        <f t="shared" si="22"/>
        <v>0.35311999999999999</v>
      </c>
      <c r="F47" s="18">
        <v>93.498597756410263</v>
      </c>
      <c r="G47" s="18">
        <v>0</v>
      </c>
      <c r="H47" s="410">
        <f t="shared" si="25"/>
        <v>0</v>
      </c>
      <c r="M47" s="19">
        <f t="shared" si="21"/>
        <v>253120</v>
      </c>
      <c r="N47" s="10">
        <f t="shared" si="5"/>
        <v>233520</v>
      </c>
      <c r="P47" s="9"/>
      <c r="R47" s="9"/>
      <c r="T47" s="9"/>
      <c r="V47" s="9"/>
      <c r="W47" s="56"/>
      <c r="AF47" s="815"/>
      <c r="AG47" s="815"/>
      <c r="AH47" s="815"/>
      <c r="AI47" s="815"/>
      <c r="AL47" s="405"/>
    </row>
    <row r="48" spans="1:38" s="18" customFormat="1" x14ac:dyDescent="0.3">
      <c r="A48" s="963"/>
      <c r="B48" s="18" t="s">
        <v>14</v>
      </c>
      <c r="C48" s="18">
        <v>48</v>
      </c>
      <c r="D48" s="19">
        <v>309672</v>
      </c>
      <c r="E48" s="19">
        <f t="shared" si="22"/>
        <v>0.309672</v>
      </c>
      <c r="F48" s="18">
        <v>95.834437884082419</v>
      </c>
      <c r="G48" s="18">
        <v>1.1730769230769269</v>
      </c>
      <c r="H48" s="410">
        <f t="shared" si="25"/>
        <v>3.7881271896617288</v>
      </c>
      <c r="I48" s="18">
        <v>8.063123071116145</v>
      </c>
      <c r="J48" s="18">
        <v>0.80725999999999998</v>
      </c>
      <c r="K48" s="18">
        <v>8.2495100000000008</v>
      </c>
      <c r="L48" s="18">
        <v>1.23773</v>
      </c>
      <c r="M48" s="19">
        <f t="shared" si="21"/>
        <v>209672</v>
      </c>
      <c r="N48" s="10">
        <f t="shared" si="5"/>
        <v>193344</v>
      </c>
      <c r="O48" s="18">
        <f>I16-I48</f>
        <v>3.6216945314061153</v>
      </c>
      <c r="P48" s="9">
        <f t="shared" ref="P48:P53" si="27">I32-I48</f>
        <v>2.6376029663180773</v>
      </c>
      <c r="Q48" s="18">
        <f t="shared" ref="Q48:Q50" si="28">J16-J48*-1</f>
        <v>0.93723000000000001</v>
      </c>
      <c r="R48" s="9">
        <f t="shared" ref="R48:R53" si="29">J48-J32</f>
        <v>0.35691000000000001</v>
      </c>
      <c r="S48" s="18">
        <f>K16-K48*-1</f>
        <v>10.072760000000001</v>
      </c>
      <c r="T48" s="9">
        <f t="shared" ref="T48:T53" si="30">K48-K32</f>
        <v>4.3742400000000004</v>
      </c>
      <c r="U48" s="18">
        <f>L16-L48</f>
        <v>0.67436000000000007</v>
      </c>
      <c r="V48" s="9">
        <f t="shared" ref="V48:V53" si="31">L32-L48</f>
        <v>0.43257999999999996</v>
      </c>
      <c r="W48" s="56"/>
      <c r="AF48" s="815">
        <f t="shared" si="24"/>
        <v>0.35489202639110595</v>
      </c>
      <c r="AG48" s="815">
        <f t="shared" si="8"/>
        <v>5.8204056765437835E-2</v>
      </c>
      <c r="AH48" s="815">
        <f t="shared" si="9"/>
        <v>0.58855821643545436</v>
      </c>
      <c r="AI48" s="815">
        <f t="shared" si="10"/>
        <v>4.802258518690744E-2</v>
      </c>
      <c r="AL48" s="405"/>
    </row>
    <row r="49" spans="1:38" s="18" customFormat="1" x14ac:dyDescent="0.3">
      <c r="A49" s="963"/>
      <c r="B49" s="18" t="s">
        <v>15</v>
      </c>
      <c r="C49" s="18">
        <v>48</v>
      </c>
      <c r="D49" s="19">
        <v>336000</v>
      </c>
      <c r="E49" s="19">
        <f t="shared" si="22"/>
        <v>0.33600000000000002</v>
      </c>
      <c r="F49" s="18">
        <v>98.359663865546224</v>
      </c>
      <c r="G49" s="18">
        <v>1.9020501138952208</v>
      </c>
      <c r="H49" s="410">
        <f t="shared" si="25"/>
        <v>5.6608634342119668</v>
      </c>
      <c r="I49" s="18">
        <v>7.004540509336354</v>
      </c>
      <c r="J49" s="18">
        <v>0.83572000000000002</v>
      </c>
      <c r="K49" s="18">
        <v>9.7356599999999993</v>
      </c>
      <c r="L49" s="18">
        <v>0.94284999999999997</v>
      </c>
      <c r="M49" s="19">
        <f t="shared" si="21"/>
        <v>236000</v>
      </c>
      <c r="N49" s="10">
        <f t="shared" si="5"/>
        <v>243600</v>
      </c>
      <c r="O49" s="18">
        <f>I17-I49</f>
        <v>4.9600901440973351</v>
      </c>
      <c r="P49" s="9">
        <f t="shared" si="27"/>
        <v>2.6423210994915509</v>
      </c>
      <c r="Q49" s="18">
        <f t="shared" si="28"/>
        <v>0.91215000000000002</v>
      </c>
      <c r="R49" s="9">
        <f t="shared" si="29"/>
        <v>0.43798000000000004</v>
      </c>
      <c r="S49" s="18">
        <f>K17-K49*-1</f>
        <v>11.56223</v>
      </c>
      <c r="T49" s="9">
        <f t="shared" si="30"/>
        <v>5.7811699999999995</v>
      </c>
      <c r="U49" s="18">
        <f>L17-L49</f>
        <v>0.87868999999999997</v>
      </c>
      <c r="V49" s="9">
        <f t="shared" si="31"/>
        <v>0.6734500000000001</v>
      </c>
      <c r="W49" s="56"/>
      <c r="AF49" s="815">
        <f t="shared" si="24"/>
        <v>0.32766878713932923</v>
      </c>
      <c r="AG49" s="815">
        <f t="shared" si="8"/>
        <v>8.3513144841269843E-2</v>
      </c>
      <c r="AH49" s="815">
        <f t="shared" si="9"/>
        <v>0.71691096230158724</v>
      </c>
      <c r="AI49" s="815">
        <f t="shared" si="10"/>
        <v>5.4312996031746039E-2</v>
      </c>
      <c r="AL49" s="405"/>
    </row>
    <row r="50" spans="1:38" s="20" customFormat="1" x14ac:dyDescent="0.3">
      <c r="A50" s="964"/>
      <c r="B50" s="20" t="s">
        <v>16</v>
      </c>
      <c r="C50" s="20">
        <v>48</v>
      </c>
      <c r="D50" s="21">
        <v>248620</v>
      </c>
      <c r="E50" s="21">
        <f t="shared" si="22"/>
        <v>0.24862000000000001</v>
      </c>
      <c r="F50" s="20">
        <v>97.815118050266562</v>
      </c>
      <c r="G50" s="20">
        <v>0.72784810126581734</v>
      </c>
      <c r="H50" s="410">
        <f t="shared" si="25"/>
        <v>2.9275524948347571</v>
      </c>
      <c r="I50" s="20">
        <v>7.9794178378738421</v>
      </c>
      <c r="J50" s="20">
        <v>0.75248000000000004</v>
      </c>
      <c r="K50" s="20">
        <v>6.4933899999999998</v>
      </c>
      <c r="L50" s="20">
        <v>1.0959399999999999</v>
      </c>
      <c r="M50" s="21">
        <f t="shared" si="21"/>
        <v>148620</v>
      </c>
      <c r="N50" s="10">
        <f t="shared" si="5"/>
        <v>114640</v>
      </c>
      <c r="O50" s="20">
        <f>I18-I50</f>
        <v>3.40971158329448</v>
      </c>
      <c r="P50" s="9">
        <f t="shared" si="27"/>
        <v>2.3614534070472262</v>
      </c>
      <c r="Q50" s="20">
        <f t="shared" si="28"/>
        <v>0.94515000000000005</v>
      </c>
      <c r="R50" s="9">
        <f t="shared" si="29"/>
        <v>0.24521000000000004</v>
      </c>
      <c r="S50" s="20">
        <f>K18-K50*-1</f>
        <v>8.2633299999999998</v>
      </c>
      <c r="T50" s="9">
        <f t="shared" si="30"/>
        <v>2.6408899999999997</v>
      </c>
      <c r="U50" s="20">
        <f>L18-L50</f>
        <v>0.57901000000000002</v>
      </c>
      <c r="V50" s="9">
        <f t="shared" si="31"/>
        <v>0.29554000000000014</v>
      </c>
      <c r="W50" s="57"/>
      <c r="AE50" s="18"/>
      <c r="AF50" s="815">
        <f t="shared" si="24"/>
        <v>0.39576016394618729</v>
      </c>
      <c r="AG50" s="815">
        <f t="shared" si="8"/>
        <v>4.9530072667792906E-2</v>
      </c>
      <c r="AH50" s="815">
        <f t="shared" si="9"/>
        <v>0.44259143807148793</v>
      </c>
      <c r="AI50" s="815">
        <f t="shared" si="10"/>
        <v>4.1095178719867009E-2</v>
      </c>
      <c r="AK50" s="18"/>
      <c r="AL50" s="405"/>
    </row>
    <row r="51" spans="1:38" s="23" customFormat="1" x14ac:dyDescent="0.3">
      <c r="A51" s="959" t="s">
        <v>1</v>
      </c>
      <c r="B51" s="23" t="s">
        <v>0</v>
      </c>
      <c r="C51" s="23">
        <v>72</v>
      </c>
      <c r="D51" s="24">
        <v>646112</v>
      </c>
      <c r="E51" s="24">
        <f t="shared" si="22"/>
        <v>0.64611200000000002</v>
      </c>
      <c r="F51" s="23">
        <v>97.616096368715091</v>
      </c>
      <c r="G51" s="23">
        <v>0</v>
      </c>
      <c r="H51" s="410">
        <f t="shared" si="25"/>
        <v>0</v>
      </c>
      <c r="I51" s="23">
        <v>3.434245875796532</v>
      </c>
      <c r="J51" s="23">
        <v>1.37466</v>
      </c>
      <c r="K51" s="23">
        <v>10.91409</v>
      </c>
      <c r="L51" s="23">
        <v>0.78539999999999999</v>
      </c>
      <c r="M51" s="24">
        <f t="shared" si="21"/>
        <v>546112</v>
      </c>
      <c r="N51" s="10">
        <f t="shared" si="5"/>
        <v>267440</v>
      </c>
      <c r="O51" s="23">
        <f>I3-I51</f>
        <v>7.3245964608450445</v>
      </c>
      <c r="P51" s="9">
        <f t="shared" si="27"/>
        <v>2.7395701503141714</v>
      </c>
      <c r="Q51" s="23">
        <f t="shared" ref="Q51:Q53" si="32">J3-J51*-1</f>
        <v>1.5222199999999999</v>
      </c>
      <c r="R51" s="9">
        <f t="shared" si="29"/>
        <v>0.53964000000000001</v>
      </c>
      <c r="S51" s="23">
        <f>K3-K51*-1</f>
        <v>12.61866</v>
      </c>
      <c r="T51" s="9">
        <f t="shared" si="30"/>
        <v>4.2832299999999996</v>
      </c>
      <c r="U51" s="23">
        <f>L3-L51</f>
        <v>1.4336599999999997</v>
      </c>
      <c r="V51" s="9">
        <f t="shared" si="31"/>
        <v>0.33866999999999992</v>
      </c>
      <c r="W51" s="48"/>
      <c r="AF51" s="815">
        <f>((I35-I51)/$D51)/24*1000000</f>
        <v>0.17667023095545428</v>
      </c>
      <c r="AG51" s="815">
        <f t="shared" si="8"/>
        <v>2.1840253702144513E-2</v>
      </c>
      <c r="AH51" s="815">
        <f t="shared" si="9"/>
        <v>0.27621823564129228</v>
      </c>
      <c r="AI51" s="815">
        <f t="shared" si="10"/>
        <v>3.4800468030310533E-2</v>
      </c>
      <c r="AK51" s="26"/>
      <c r="AL51" s="405"/>
    </row>
    <row r="52" spans="1:38" s="26" customFormat="1" x14ac:dyDescent="0.3">
      <c r="A52" s="960"/>
      <c r="B52" s="26" t="s">
        <v>3</v>
      </c>
      <c r="C52" s="26">
        <v>72</v>
      </c>
      <c r="D52" s="27">
        <v>528450</v>
      </c>
      <c r="E52" s="27">
        <f t="shared" si="22"/>
        <v>0.52844999999999998</v>
      </c>
      <c r="F52" s="26">
        <v>94.27947383920683</v>
      </c>
      <c r="G52" s="26">
        <v>0.81190019193857577</v>
      </c>
      <c r="H52" s="410">
        <f t="shared" si="25"/>
        <v>1.5363803423948827</v>
      </c>
      <c r="I52" s="26">
        <v>4.7208530384777632</v>
      </c>
      <c r="J52" s="26">
        <v>1.2681500000000001</v>
      </c>
      <c r="K52" s="26">
        <v>13.090479999999999</v>
      </c>
      <c r="L52" s="26">
        <v>0.59946999999999995</v>
      </c>
      <c r="M52" s="27">
        <f t="shared" si="21"/>
        <v>428450</v>
      </c>
      <c r="N52" s="10">
        <f t="shared" si="5"/>
        <v>269100</v>
      </c>
      <c r="O52" s="26">
        <f>I4-I52</f>
        <v>6.3992872843535604</v>
      </c>
      <c r="P52" s="9">
        <f t="shared" si="27"/>
        <v>0.29141410777326371</v>
      </c>
      <c r="Q52" s="26">
        <f t="shared" si="32"/>
        <v>1.4226200000000002</v>
      </c>
      <c r="R52" s="9">
        <f t="shared" si="29"/>
        <v>0.72702000000000011</v>
      </c>
      <c r="S52" s="26">
        <f>K4-K52*-1</f>
        <v>14.869919999999999</v>
      </c>
      <c r="T52" s="9">
        <f t="shared" si="30"/>
        <v>7.471379999999999</v>
      </c>
      <c r="U52" s="26">
        <f>L4-L52</f>
        <v>1.1359900000000001</v>
      </c>
      <c r="V52" s="9">
        <f t="shared" si="31"/>
        <v>0.10200000000000009</v>
      </c>
      <c r="W52" s="56"/>
      <c r="AF52" s="815">
        <f>((I36-I52)/$D52)/24*1000000</f>
        <v>2.2977111345543862E-2</v>
      </c>
      <c r="AG52" s="815">
        <f t="shared" si="8"/>
        <v>8.0423881161888616E-3</v>
      </c>
      <c r="AH52" s="815">
        <f t="shared" si="9"/>
        <v>0.58909546787775569</v>
      </c>
      <c r="AI52" s="815">
        <f t="shared" si="10"/>
        <v>5.73233040022708E-2</v>
      </c>
      <c r="AL52" s="405"/>
    </row>
    <row r="53" spans="1:38" s="26" customFormat="1" x14ac:dyDescent="0.3">
      <c r="A53" s="960"/>
      <c r="B53" s="26" t="s">
        <v>4</v>
      </c>
      <c r="C53" s="26">
        <v>72</v>
      </c>
      <c r="D53" s="27">
        <v>567300</v>
      </c>
      <c r="E53" s="27">
        <f t="shared" si="22"/>
        <v>0.56730000000000003</v>
      </c>
      <c r="G53" s="26">
        <v>6.359110169491526</v>
      </c>
      <c r="H53" s="410">
        <f t="shared" si="25"/>
        <v>11.209430935116387</v>
      </c>
      <c r="I53" s="26">
        <v>3.4229778636292996</v>
      </c>
      <c r="J53" s="26">
        <v>1.5668599999999999</v>
      </c>
      <c r="K53" s="26">
        <v>14.499560000000001</v>
      </c>
      <c r="L53" s="26">
        <v>0.37037999999999999</v>
      </c>
      <c r="M53" s="27">
        <f t="shared" si="21"/>
        <v>467300</v>
      </c>
      <c r="N53" s="10">
        <f t="shared" si="5"/>
        <v>155850</v>
      </c>
      <c r="O53" s="26">
        <f>I5-I53</f>
        <v>8.0190501565310068</v>
      </c>
      <c r="P53" s="9">
        <f t="shared" si="27"/>
        <v>3.5611359044383746</v>
      </c>
      <c r="Q53" s="26">
        <f t="shared" si="32"/>
        <v>1.7972299999999999</v>
      </c>
      <c r="R53" s="9">
        <f t="shared" si="29"/>
        <v>0.53083999999999998</v>
      </c>
      <c r="S53" s="26">
        <f>K5-K53*-1</f>
        <v>16.28877</v>
      </c>
      <c r="T53" s="9">
        <f t="shared" si="30"/>
        <v>4.4914500000000004</v>
      </c>
      <c r="U53" s="26">
        <f>L5-L53</f>
        <v>1.3533300000000001</v>
      </c>
      <c r="V53" s="9">
        <f t="shared" si="31"/>
        <v>0.56533999999999995</v>
      </c>
      <c r="W53" s="56"/>
      <c r="AF53" s="815">
        <f t="shared" ref="AF53:AF66" si="33">((I37-I53)/$D53)/24*1000000</f>
        <v>0.26155590108396309</v>
      </c>
      <c r="AG53" s="815">
        <f t="shared" si="8"/>
        <v>4.1522709912450786E-2</v>
      </c>
      <c r="AH53" s="815">
        <f t="shared" si="9"/>
        <v>0.32988498149127449</v>
      </c>
      <c r="AI53" s="815">
        <f t="shared" si="10"/>
        <v>3.8988777248957052E-2</v>
      </c>
      <c r="AL53" s="405"/>
    </row>
    <row r="54" spans="1:38" s="26" customFormat="1" x14ac:dyDescent="0.3">
      <c r="A54" s="960"/>
      <c r="B54" s="26" t="s">
        <v>5</v>
      </c>
      <c r="C54" s="26">
        <v>72</v>
      </c>
      <c r="D54" s="27">
        <v>722880</v>
      </c>
      <c r="E54" s="27">
        <f t="shared" si="22"/>
        <v>0.72287999999999997</v>
      </c>
      <c r="F54" s="26">
        <v>95.3</v>
      </c>
      <c r="H54" s="410"/>
      <c r="M54" s="27">
        <f t="shared" si="21"/>
        <v>622880</v>
      </c>
      <c r="N54" s="10">
        <f t="shared" si="5"/>
        <v>431400</v>
      </c>
      <c r="P54" s="9"/>
      <c r="R54" s="9"/>
      <c r="T54" s="9"/>
      <c r="V54" s="9"/>
      <c r="W54" s="56"/>
      <c r="AF54" s="815"/>
      <c r="AG54" s="815"/>
      <c r="AH54" s="815"/>
      <c r="AI54" s="815"/>
      <c r="AL54" s="405"/>
    </row>
    <row r="55" spans="1:38" s="26" customFormat="1" x14ac:dyDescent="0.3">
      <c r="A55" s="960"/>
      <c r="B55" s="26" t="s">
        <v>6</v>
      </c>
      <c r="C55" s="26">
        <v>72</v>
      </c>
      <c r="D55" s="27">
        <v>489220</v>
      </c>
      <c r="E55" s="27">
        <f t="shared" si="22"/>
        <v>0.48921999999999999</v>
      </c>
      <c r="F55" s="26">
        <v>96.5</v>
      </c>
      <c r="H55" s="410"/>
      <c r="M55" s="27">
        <f t="shared" si="21"/>
        <v>389220</v>
      </c>
      <c r="N55" s="10">
        <f t="shared" si="5"/>
        <v>243220</v>
      </c>
      <c r="P55" s="9"/>
      <c r="R55" s="9"/>
      <c r="T55" s="9"/>
      <c r="V55" s="9"/>
      <c r="W55" s="56"/>
      <c r="AF55" s="815"/>
      <c r="AG55" s="815"/>
      <c r="AH55" s="815"/>
      <c r="AI55" s="815"/>
      <c r="AL55" s="405"/>
    </row>
    <row r="56" spans="1:38" s="28" customFormat="1" x14ac:dyDescent="0.3">
      <c r="A56" s="961"/>
      <c r="B56" s="28" t="s">
        <v>7</v>
      </c>
      <c r="C56" s="28">
        <v>72</v>
      </c>
      <c r="D56" s="29">
        <v>507160</v>
      </c>
      <c r="E56" s="29">
        <f t="shared" si="22"/>
        <v>0.50716000000000006</v>
      </c>
      <c r="F56" s="28">
        <v>96.6</v>
      </c>
      <c r="H56" s="410"/>
      <c r="M56" s="29">
        <f t="shared" si="21"/>
        <v>407160</v>
      </c>
      <c r="N56" s="10">
        <f t="shared" si="5"/>
        <v>228760</v>
      </c>
      <c r="P56" s="9"/>
      <c r="R56" s="9"/>
      <c r="T56" s="9"/>
      <c r="V56" s="9"/>
      <c r="W56" s="57"/>
      <c r="AE56" s="26"/>
      <c r="AF56" s="815"/>
      <c r="AG56" s="815"/>
      <c r="AH56" s="815"/>
      <c r="AI56" s="815"/>
      <c r="AK56" s="26"/>
      <c r="AL56" s="405"/>
    </row>
    <row r="57" spans="1:38" s="23" customFormat="1" x14ac:dyDescent="0.3">
      <c r="A57" s="959" t="s">
        <v>17</v>
      </c>
      <c r="B57" s="23" t="s">
        <v>8</v>
      </c>
      <c r="C57" s="23">
        <v>72</v>
      </c>
      <c r="D57" s="24">
        <v>501704</v>
      </c>
      <c r="E57" s="24">
        <f t="shared" si="22"/>
        <v>0.50170400000000004</v>
      </c>
      <c r="F57" s="23">
        <v>86.552413749809432</v>
      </c>
      <c r="G57" s="23">
        <v>1.5785953177257523</v>
      </c>
      <c r="H57" s="410">
        <f t="shared" ref="H57:H66" si="34">G57/D57*1000000</f>
        <v>3.1464674742990937</v>
      </c>
      <c r="J57" s="23">
        <v>1.3007299999999999</v>
      </c>
      <c r="K57" s="23">
        <v>11.48563</v>
      </c>
      <c r="L57" s="23">
        <v>0.37576999999999999</v>
      </c>
      <c r="M57" s="24">
        <f t="shared" si="21"/>
        <v>401704</v>
      </c>
      <c r="N57" s="10">
        <f t="shared" si="5"/>
        <v>164200</v>
      </c>
      <c r="O57" s="23">
        <f>I9-I57</f>
        <v>10.602311330180509</v>
      </c>
      <c r="P57" s="9">
        <f>I41-I57</f>
        <v>7.7488398943138161</v>
      </c>
      <c r="Q57" s="23">
        <f>J9-J57*-1</f>
        <v>1.4087399999999999</v>
      </c>
      <c r="R57" s="9">
        <f>J57-J41</f>
        <v>0.42205999999999999</v>
      </c>
      <c r="S57" s="23">
        <f>K9-K57*-1</f>
        <v>13.293230000000001</v>
      </c>
      <c r="T57" s="9">
        <f>K57-K41</f>
        <v>3.3508800000000001</v>
      </c>
      <c r="U57" s="23">
        <f>L9-L57</f>
        <v>1.2821200000000001</v>
      </c>
      <c r="V57" s="9">
        <f>L41-L57</f>
        <v>0.59173000000000009</v>
      </c>
      <c r="W57" s="48"/>
      <c r="AF57" s="815">
        <f t="shared" si="33"/>
        <v>0.64354346174186849</v>
      </c>
      <c r="AG57" s="815">
        <f t="shared" si="8"/>
        <v>4.9143352787035126E-2</v>
      </c>
      <c r="AH57" s="815">
        <f t="shared" si="9"/>
        <v>0.27829158228756401</v>
      </c>
      <c r="AI57" s="815">
        <f t="shared" si="10"/>
        <v>3.5052208739283192E-2</v>
      </c>
      <c r="AK57" s="26"/>
      <c r="AL57" s="405"/>
    </row>
    <row r="58" spans="1:38" s="26" customFormat="1" x14ac:dyDescent="0.3">
      <c r="A58" s="960"/>
      <c r="B58" s="25" t="s">
        <v>11</v>
      </c>
      <c r="C58" s="26">
        <v>72</v>
      </c>
      <c r="D58" s="27">
        <v>546000</v>
      </c>
      <c r="E58" s="27">
        <f t="shared" si="22"/>
        <v>0.54600000000000004</v>
      </c>
      <c r="F58" s="26">
        <v>89.45413301463816</v>
      </c>
      <c r="G58" s="26">
        <v>1.4166666666666612</v>
      </c>
      <c r="H58" s="410">
        <f t="shared" si="34"/>
        <v>2.5946275946275845</v>
      </c>
      <c r="I58" s="26">
        <v>3.9988121405892669</v>
      </c>
      <c r="J58" s="26">
        <v>1.1672100000000001</v>
      </c>
      <c r="K58" s="26">
        <v>11.420959999999999</v>
      </c>
      <c r="L58" s="26">
        <v>0.54330999999999996</v>
      </c>
      <c r="M58" s="27">
        <f t="shared" si="21"/>
        <v>446000</v>
      </c>
      <c r="N58" s="10">
        <f t="shared" si="5"/>
        <v>169680</v>
      </c>
      <c r="O58" s="26">
        <f>I10-I58</f>
        <v>6.2842203423699452</v>
      </c>
      <c r="P58" s="9">
        <f>I42-I58</f>
        <v>2.8870534425719927</v>
      </c>
      <c r="Q58" s="26">
        <f>J10-J58*-1</f>
        <v>1.2950400000000002</v>
      </c>
      <c r="R58" s="9">
        <f>J58-J42</f>
        <v>0.37217000000000011</v>
      </c>
      <c r="S58" s="26">
        <f>K10-K58*-1</f>
        <v>13.175649999999999</v>
      </c>
      <c r="T58" s="9">
        <f>K58-K42</f>
        <v>3.3967199999999984</v>
      </c>
      <c r="U58" s="26">
        <f>L10-L58</f>
        <v>1.01335</v>
      </c>
      <c r="V58" s="9">
        <f>L42-L58</f>
        <v>0.35389999999999999</v>
      </c>
      <c r="W58" s="56"/>
      <c r="AF58" s="815">
        <f t="shared" si="33"/>
        <v>0.22031848615476135</v>
      </c>
      <c r="AG58" s="815">
        <f t="shared" si="8"/>
        <v>2.7007020757020755E-2</v>
      </c>
      <c r="AH58" s="815">
        <f t="shared" si="9"/>
        <v>0.25921245421245409</v>
      </c>
      <c r="AI58" s="815">
        <f t="shared" si="10"/>
        <v>2.8401251526251538E-2</v>
      </c>
      <c r="AL58" s="405"/>
    </row>
    <row r="59" spans="1:38" s="26" customFormat="1" x14ac:dyDescent="0.3">
      <c r="A59" s="960"/>
      <c r="B59" s="26" t="s">
        <v>9</v>
      </c>
      <c r="C59" s="26">
        <v>72</v>
      </c>
      <c r="D59" s="27">
        <v>600600</v>
      </c>
      <c r="E59" s="27">
        <f t="shared" si="22"/>
        <v>0.60060000000000002</v>
      </c>
      <c r="F59" s="26">
        <v>91.562743618760223</v>
      </c>
      <c r="G59" s="26">
        <v>2.5835497835497789</v>
      </c>
      <c r="H59" s="410">
        <f t="shared" si="34"/>
        <v>4.3016146912250735</v>
      </c>
      <c r="I59" s="26">
        <v>3.8473323119962699</v>
      </c>
      <c r="J59" s="26">
        <v>1.2092700000000001</v>
      </c>
      <c r="K59" s="26">
        <v>12.07202</v>
      </c>
      <c r="L59" s="26">
        <v>0.67859999999999998</v>
      </c>
      <c r="M59" s="27">
        <f t="shared" si="21"/>
        <v>500600</v>
      </c>
      <c r="N59" s="10">
        <f t="shared" si="5"/>
        <v>284376</v>
      </c>
      <c r="O59" s="26">
        <f>I11-I59</f>
        <v>7.0752014920402306</v>
      </c>
      <c r="P59" s="9">
        <f>I43-I59</f>
        <v>3.5121783343324675</v>
      </c>
      <c r="Q59" s="26">
        <f>J11-J59*-1</f>
        <v>1.2092700000000001</v>
      </c>
      <c r="R59" s="9">
        <f>J59-J43</f>
        <v>0.46669000000000005</v>
      </c>
      <c r="S59" s="26">
        <f>K11-K59*-1</f>
        <v>13.886850000000001</v>
      </c>
      <c r="T59" s="9">
        <f>K59-K43</f>
        <v>4.4113899999999999</v>
      </c>
      <c r="U59" s="26">
        <f>L11-L59</f>
        <v>1.3481900000000002</v>
      </c>
      <c r="V59" s="9">
        <f>L43-L59</f>
        <v>0.56067000000000011</v>
      </c>
      <c r="W59" s="56"/>
      <c r="AF59" s="815">
        <f t="shared" si="33"/>
        <v>0.24365761560193056</v>
      </c>
      <c r="AG59" s="815">
        <f t="shared" si="8"/>
        <v>3.8896520146520154E-2</v>
      </c>
      <c r="AH59" s="815">
        <f t="shared" si="9"/>
        <v>0.30604048729048727</v>
      </c>
      <c r="AI59" s="815">
        <f t="shared" si="10"/>
        <v>3.2376651126651126E-2</v>
      </c>
      <c r="AL59" s="405"/>
    </row>
    <row r="60" spans="1:38" s="28" customFormat="1" x14ac:dyDescent="0.3">
      <c r="A60" s="961"/>
      <c r="B60" s="28" t="s">
        <v>10</v>
      </c>
      <c r="C60" s="28">
        <v>72</v>
      </c>
      <c r="D60" s="29">
        <v>649116.00000000012</v>
      </c>
      <c r="E60" s="29">
        <f t="shared" si="22"/>
        <v>0.64911600000000014</v>
      </c>
      <c r="F60" s="28">
        <v>96.374140704987568</v>
      </c>
      <c r="G60" s="28">
        <v>0.13671715104379764</v>
      </c>
      <c r="H60" s="410">
        <f t="shared" si="34"/>
        <v>0.21062052243943705</v>
      </c>
      <c r="I60" s="28">
        <v>3.7965429960700723</v>
      </c>
      <c r="J60" s="28">
        <v>1.3817999999999999</v>
      </c>
      <c r="K60" s="28">
        <v>12.53584</v>
      </c>
      <c r="L60" s="28">
        <v>1.12151</v>
      </c>
      <c r="M60" s="29">
        <f t="shared" si="21"/>
        <v>549116.00000000012</v>
      </c>
      <c r="N60" s="10">
        <f t="shared" si="5"/>
        <v>326556.00000000012</v>
      </c>
      <c r="O60" s="28">
        <f>I12-I60</f>
        <v>7.7849197362286011</v>
      </c>
      <c r="P60" s="9">
        <f>I44-I60</f>
        <v>3.8991207620062616</v>
      </c>
      <c r="Q60" s="28">
        <f>J12-J60*-1</f>
        <v>1.48868</v>
      </c>
      <c r="R60" s="9">
        <f>J60-J44</f>
        <v>0.54716999999999993</v>
      </c>
      <c r="S60" s="28">
        <f>K12-K60*-1</f>
        <v>14.364470000000001</v>
      </c>
      <c r="T60" s="9">
        <f>K60-K44</f>
        <v>4.9858500000000001</v>
      </c>
      <c r="U60" s="28">
        <f>L12-L60</f>
        <v>1.24055</v>
      </c>
      <c r="V60" s="9">
        <f>L44-L60</f>
        <v>0.57898999999999989</v>
      </c>
      <c r="W60" s="57"/>
      <c r="AE60" s="26"/>
      <c r="AF60" s="815">
        <f t="shared" si="33"/>
        <v>0.2502840248639599</v>
      </c>
      <c r="AG60" s="815">
        <f t="shared" si="8"/>
        <v>3.7165288381943017E-2</v>
      </c>
      <c r="AH60" s="815">
        <f t="shared" si="9"/>
        <v>0.32004102502480292</v>
      </c>
      <c r="AI60" s="815">
        <f t="shared" si="10"/>
        <v>3.5122766963069763E-2</v>
      </c>
      <c r="AK60" s="26"/>
      <c r="AL60" s="405"/>
    </row>
    <row r="61" spans="1:38" s="23" customFormat="1" x14ac:dyDescent="0.3">
      <c r="A61" s="959" t="s">
        <v>18</v>
      </c>
      <c r="B61" s="30" t="s">
        <v>19</v>
      </c>
      <c r="C61" s="23">
        <v>72</v>
      </c>
      <c r="D61" s="24">
        <v>650268</v>
      </c>
      <c r="E61" s="24">
        <f t="shared" si="22"/>
        <v>0.65026799999999996</v>
      </c>
      <c r="F61" s="23">
        <v>90.180603346259574</v>
      </c>
      <c r="G61" s="23">
        <v>0</v>
      </c>
      <c r="H61" s="410">
        <f t="shared" si="34"/>
        <v>0</v>
      </c>
      <c r="I61" s="23">
        <v>1.8247518817025243</v>
      </c>
      <c r="J61" s="23">
        <v>1.51447</v>
      </c>
      <c r="K61" s="23">
        <v>15.351839999999999</v>
      </c>
      <c r="L61" s="23">
        <v>0.56015000000000004</v>
      </c>
      <c r="M61" s="24">
        <f t="shared" si="21"/>
        <v>550268</v>
      </c>
      <c r="N61" s="10">
        <f t="shared" si="5"/>
        <v>119318</v>
      </c>
      <c r="O61" s="23">
        <f>I13-I61</f>
        <v>9.1771575745465022</v>
      </c>
      <c r="P61" s="9">
        <f>I45-I61</f>
        <v>3.9604564932613959</v>
      </c>
      <c r="Q61" s="23">
        <f>J13-J61*-1</f>
        <v>1.6403099999999999</v>
      </c>
      <c r="R61" s="9">
        <f>J61-J45</f>
        <v>0.57621999999999995</v>
      </c>
      <c r="S61" s="23">
        <f>K13-K61*-1</f>
        <v>17.173549999999999</v>
      </c>
      <c r="T61" s="9">
        <f>K61-K45</f>
        <v>5.9585699999999999</v>
      </c>
      <c r="U61" s="23">
        <f>L13-L61</f>
        <v>1.57592</v>
      </c>
      <c r="V61" s="9">
        <f>L45-L61</f>
        <v>0.57079999999999986</v>
      </c>
      <c r="W61" s="48"/>
      <c r="AF61" s="815">
        <f t="shared" si="33"/>
        <v>0.25377078458813623</v>
      </c>
      <c r="AG61" s="815">
        <f t="shared" si="8"/>
        <v>3.6574663574608202E-2</v>
      </c>
      <c r="AH61" s="815">
        <f t="shared" si="9"/>
        <v>0.38180219540251098</v>
      </c>
      <c r="AI61" s="815">
        <f t="shared" si="10"/>
        <v>3.6921956280589946E-2</v>
      </c>
      <c r="AK61" s="26"/>
      <c r="AL61" s="405"/>
    </row>
    <row r="62" spans="1:38" s="26" customFormat="1" x14ac:dyDescent="0.3">
      <c r="A62" s="960"/>
      <c r="B62" s="26" t="s">
        <v>12</v>
      </c>
      <c r="C62" s="26">
        <v>72</v>
      </c>
      <c r="D62" s="27">
        <v>508510</v>
      </c>
      <c r="E62" s="27">
        <f t="shared" si="22"/>
        <v>0.50851000000000002</v>
      </c>
      <c r="F62" s="26">
        <v>90.320121951219505</v>
      </c>
      <c r="G62" s="26">
        <v>0</v>
      </c>
      <c r="H62" s="410">
        <f t="shared" si="34"/>
        <v>0</v>
      </c>
      <c r="M62" s="27">
        <f t="shared" si="21"/>
        <v>408510</v>
      </c>
      <c r="N62" s="10">
        <f t="shared" si="5"/>
        <v>179050</v>
      </c>
      <c r="P62" s="9"/>
      <c r="R62" s="9"/>
      <c r="T62" s="9"/>
      <c r="V62" s="9"/>
      <c r="W62" s="56"/>
      <c r="AF62" s="815"/>
      <c r="AG62" s="815"/>
      <c r="AH62" s="815"/>
      <c r="AI62" s="815"/>
      <c r="AL62" s="405"/>
    </row>
    <row r="63" spans="1:38" s="26" customFormat="1" x14ac:dyDescent="0.3">
      <c r="A63" s="960"/>
      <c r="B63" s="26" t="s">
        <v>13</v>
      </c>
      <c r="C63" s="26">
        <v>72</v>
      </c>
      <c r="D63" s="27">
        <v>621600</v>
      </c>
      <c r="E63" s="27">
        <f t="shared" si="22"/>
        <v>0.62160000000000004</v>
      </c>
      <c r="F63" s="26">
        <v>95.205627705627705</v>
      </c>
      <c r="G63" s="26">
        <v>0</v>
      </c>
      <c r="H63" s="410">
        <f t="shared" si="34"/>
        <v>0</v>
      </c>
      <c r="M63" s="27">
        <f t="shared" si="21"/>
        <v>521600</v>
      </c>
      <c r="N63" s="10">
        <f t="shared" si="5"/>
        <v>268480</v>
      </c>
      <c r="P63" s="9"/>
      <c r="R63" s="9"/>
      <c r="T63" s="9"/>
      <c r="V63" s="9"/>
      <c r="W63" s="56"/>
      <c r="AF63" s="815"/>
      <c r="AG63" s="815"/>
      <c r="AH63" s="815"/>
      <c r="AI63" s="815"/>
      <c r="AL63" s="405"/>
    </row>
    <row r="64" spans="1:38" s="26" customFormat="1" x14ac:dyDescent="0.3">
      <c r="A64" s="960"/>
      <c r="B64" s="26" t="s">
        <v>14</v>
      </c>
      <c r="C64" s="26">
        <v>72</v>
      </c>
      <c r="D64" s="27">
        <v>558800</v>
      </c>
      <c r="E64" s="27">
        <f t="shared" si="22"/>
        <v>0.55879999999999996</v>
      </c>
      <c r="F64" s="26">
        <v>98.63788578151869</v>
      </c>
      <c r="G64" s="26">
        <v>1.0769230769230806</v>
      </c>
      <c r="H64" s="410">
        <f t="shared" si="34"/>
        <v>1.9272066516161073</v>
      </c>
      <c r="I64" s="26">
        <v>4.8597326761251365</v>
      </c>
      <c r="J64" s="26">
        <v>1.2491300000000001</v>
      </c>
      <c r="K64" s="26">
        <v>12.842359999999999</v>
      </c>
      <c r="L64" s="26">
        <v>0.73858000000000001</v>
      </c>
      <c r="M64" s="27">
        <f t="shared" si="21"/>
        <v>458800</v>
      </c>
      <c r="N64" s="10">
        <f t="shared" si="5"/>
        <v>249128</v>
      </c>
      <c r="O64" s="26">
        <f>I16-I64</f>
        <v>6.8250849263971238</v>
      </c>
      <c r="P64" s="9">
        <f>I48-I64</f>
        <v>3.2033903949910085</v>
      </c>
      <c r="Q64" s="26">
        <f t="shared" ref="Q64:Q66" si="35">J16-J64*-1</f>
        <v>1.3791</v>
      </c>
      <c r="R64" s="9">
        <f>J64-J48</f>
        <v>0.4418700000000001</v>
      </c>
      <c r="S64" s="26">
        <f>K16-K64*-1</f>
        <v>14.665609999999999</v>
      </c>
      <c r="T64" s="9">
        <f>K64-K48</f>
        <v>4.5928499999999985</v>
      </c>
      <c r="U64" s="26">
        <f>L16-L64</f>
        <v>1.1735100000000001</v>
      </c>
      <c r="V64" s="9">
        <f>L48-L64</f>
        <v>0.49914999999999998</v>
      </c>
      <c r="W64" s="56"/>
      <c r="AF64" s="815">
        <f t="shared" si="33"/>
        <v>0.23885934107246246</v>
      </c>
      <c r="AG64" s="815">
        <f t="shared" si="8"/>
        <v>3.7218891672631829E-2</v>
      </c>
      <c r="AH64" s="815">
        <f t="shared" si="9"/>
        <v>0.3424637616320686</v>
      </c>
      <c r="AI64" s="815">
        <f t="shared" si="10"/>
        <v>3.2947834645669298E-2</v>
      </c>
      <c r="AL64" s="405"/>
    </row>
    <row r="65" spans="1:38" s="26" customFormat="1" x14ac:dyDescent="0.3">
      <c r="A65" s="960"/>
      <c r="B65" s="26" t="s">
        <v>15</v>
      </c>
      <c r="C65" s="26">
        <v>72</v>
      </c>
      <c r="D65" s="27">
        <v>565950</v>
      </c>
      <c r="E65" s="27">
        <f t="shared" si="22"/>
        <v>0.56594999999999995</v>
      </c>
      <c r="F65" s="26">
        <v>97.615873015873021</v>
      </c>
      <c r="G65" s="26">
        <v>6.1731207289293888</v>
      </c>
      <c r="H65" s="410">
        <f t="shared" si="34"/>
        <v>10.907537289388442</v>
      </c>
      <c r="I65" s="26">
        <v>4.1096050089922072</v>
      </c>
      <c r="J65" s="26">
        <v>1.3366400000000001</v>
      </c>
      <c r="K65" s="26">
        <v>14.214119999999999</v>
      </c>
      <c r="L65" s="26">
        <v>0.73636000000000001</v>
      </c>
      <c r="M65" s="27">
        <f t="shared" si="21"/>
        <v>465950</v>
      </c>
      <c r="N65" s="10">
        <f t="shared" si="5"/>
        <v>229950</v>
      </c>
      <c r="O65" s="26">
        <f>I17-I65</f>
        <v>7.8550256444414819</v>
      </c>
      <c r="P65" s="9">
        <f>I49-I65</f>
        <v>2.8949355003441468</v>
      </c>
      <c r="Q65" s="26">
        <f t="shared" si="35"/>
        <v>1.41307</v>
      </c>
      <c r="R65" s="9">
        <f>J65-J49</f>
        <v>0.50092000000000003</v>
      </c>
      <c r="S65" s="26">
        <f>K17-K65*-1</f>
        <v>16.040689999999998</v>
      </c>
      <c r="T65" s="9">
        <f>K65-K49</f>
        <v>4.4784600000000001</v>
      </c>
      <c r="U65" s="26">
        <f>L17-L65</f>
        <v>1.0851799999999998</v>
      </c>
      <c r="V65" s="9">
        <f>L49-L65</f>
        <v>0.20648999999999995</v>
      </c>
      <c r="W65" s="56"/>
      <c r="AF65" s="815">
        <f t="shared" si="33"/>
        <v>0.21313245430575042</v>
      </c>
      <c r="AG65" s="815">
        <f t="shared" si="8"/>
        <v>1.5202314692110605E-2</v>
      </c>
      <c r="AH65" s="815">
        <f t="shared" si="9"/>
        <v>0.32971552257266545</v>
      </c>
      <c r="AI65" s="815">
        <f t="shared" si="10"/>
        <v>3.6878994021851165E-2</v>
      </c>
      <c r="AL65" s="405"/>
    </row>
    <row r="66" spans="1:38" s="28" customFormat="1" ht="16.2" customHeight="1" x14ac:dyDescent="0.3">
      <c r="A66" s="961"/>
      <c r="B66" s="28" t="s">
        <v>16</v>
      </c>
      <c r="C66" s="28">
        <v>72</v>
      </c>
      <c r="D66" s="29">
        <v>513600</v>
      </c>
      <c r="E66" s="29">
        <f t="shared" si="22"/>
        <v>0.51359999999999995</v>
      </c>
      <c r="F66" s="28">
        <v>97.723102585487908</v>
      </c>
      <c r="G66" s="26">
        <v>1.8987341772151858</v>
      </c>
      <c r="H66" s="410">
        <f t="shared" si="34"/>
        <v>3.6969123388146143</v>
      </c>
      <c r="I66" s="26">
        <v>4.5963498301472061</v>
      </c>
      <c r="J66" s="26">
        <v>1.3247</v>
      </c>
      <c r="K66" s="28">
        <v>12.375500000000001</v>
      </c>
      <c r="L66" s="28">
        <v>0.52319000000000004</v>
      </c>
      <c r="M66" s="29">
        <f t="shared" si="21"/>
        <v>413600</v>
      </c>
      <c r="N66" s="10">
        <f t="shared" si="5"/>
        <v>264980</v>
      </c>
      <c r="O66" s="28">
        <f>I18-I66</f>
        <v>6.7927795910211159</v>
      </c>
      <c r="P66" s="9">
        <f>I50-I66</f>
        <v>3.383068007726636</v>
      </c>
      <c r="Q66" s="28">
        <f t="shared" si="35"/>
        <v>1.5173700000000001</v>
      </c>
      <c r="R66" s="9">
        <f>J66-J50</f>
        <v>0.57221999999999995</v>
      </c>
      <c r="S66" s="28">
        <f>K18-K66*-1</f>
        <v>14.145440000000001</v>
      </c>
      <c r="T66" s="9">
        <f>K66-K50</f>
        <v>5.8821100000000008</v>
      </c>
      <c r="U66" s="28">
        <f>L18-L66</f>
        <v>1.1517599999999999</v>
      </c>
      <c r="V66" s="9">
        <f>L50-L66</f>
        <v>0.57274999999999987</v>
      </c>
      <c r="W66" s="57"/>
      <c r="AE66" s="26"/>
      <c r="AF66" s="815">
        <f t="shared" si="33"/>
        <v>0.27445710083452074</v>
      </c>
      <c r="AG66" s="815">
        <f t="shared" si="8"/>
        <v>4.6465310228452746E-2</v>
      </c>
      <c r="AH66" s="815">
        <f t="shared" si="9"/>
        <v>0.47719609942886815</v>
      </c>
      <c r="AI66" s="815">
        <f t="shared" si="10"/>
        <v>4.6422313084112141E-2</v>
      </c>
      <c r="AK66" s="26"/>
      <c r="AL66" s="405"/>
    </row>
    <row r="67" spans="1:38" x14ac:dyDescent="0.3">
      <c r="D67"/>
    </row>
    <row r="68" spans="1:38" x14ac:dyDescent="0.3">
      <c r="D68"/>
    </row>
    <row r="69" spans="1:38" x14ac:dyDescent="0.3">
      <c r="D69"/>
    </row>
    <row r="70" spans="1:38" x14ac:dyDescent="0.3">
      <c r="D70"/>
    </row>
    <row r="71" spans="1:38" x14ac:dyDescent="0.3">
      <c r="D71"/>
    </row>
    <row r="72" spans="1:38" x14ac:dyDescent="0.3">
      <c r="D72"/>
    </row>
    <row r="73" spans="1:38" x14ac:dyDescent="0.3">
      <c r="D73"/>
    </row>
    <row r="74" spans="1:38" x14ac:dyDescent="0.3">
      <c r="D74"/>
    </row>
    <row r="75" spans="1:38" x14ac:dyDescent="0.3">
      <c r="D75"/>
    </row>
    <row r="76" spans="1:38" x14ac:dyDescent="0.3">
      <c r="D76"/>
    </row>
    <row r="77" spans="1:38" x14ac:dyDescent="0.3">
      <c r="D77"/>
    </row>
    <row r="78" spans="1:38" x14ac:dyDescent="0.3">
      <c r="D78"/>
    </row>
    <row r="79" spans="1:38" x14ac:dyDescent="0.3">
      <c r="D79"/>
    </row>
    <row r="80" spans="1:38" x14ac:dyDescent="0.3">
      <c r="D80"/>
    </row>
    <row r="81" spans="4:4" x14ac:dyDescent="0.3">
      <c r="D81"/>
    </row>
    <row r="82" spans="4:4" x14ac:dyDescent="0.3">
      <c r="D82"/>
    </row>
    <row r="83" spans="4:4" x14ac:dyDescent="0.3">
      <c r="D83"/>
    </row>
    <row r="84" spans="4:4" x14ac:dyDescent="0.3">
      <c r="D84"/>
    </row>
    <row r="85" spans="4:4" x14ac:dyDescent="0.3">
      <c r="D85"/>
    </row>
    <row r="86" spans="4:4" x14ac:dyDescent="0.3">
      <c r="D86"/>
    </row>
    <row r="87" spans="4:4" x14ac:dyDescent="0.3">
      <c r="D87"/>
    </row>
    <row r="88" spans="4:4" x14ac:dyDescent="0.3">
      <c r="D88"/>
    </row>
  </sheetData>
  <mergeCells count="12">
    <mergeCell ref="A29:A34"/>
    <mergeCell ref="A3:A8"/>
    <mergeCell ref="A9:A12"/>
    <mergeCell ref="A13:A18"/>
    <mergeCell ref="A19:A24"/>
    <mergeCell ref="A25:A28"/>
    <mergeCell ref="A61:A66"/>
    <mergeCell ref="A35:A40"/>
    <mergeCell ref="A41:A44"/>
    <mergeCell ref="A45:A50"/>
    <mergeCell ref="A51:A56"/>
    <mergeCell ref="A57:A60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0"/>
  <sheetViews>
    <sheetView zoomScale="81" zoomScaleNormal="55" workbookViewId="0">
      <selection activeCell="G18" sqref="G18"/>
    </sheetView>
  </sheetViews>
  <sheetFormatPr baseColWidth="10" defaultColWidth="11.5546875" defaultRowHeight="14.4" x14ac:dyDescent="0.3"/>
  <cols>
    <col min="1" max="2" width="11.5546875" style="329"/>
    <col min="3" max="3" width="5.33203125" style="329" customWidth="1"/>
    <col min="4" max="4" width="13.44140625" style="329" bestFit="1" customWidth="1"/>
    <col min="5" max="5" width="18.88671875" style="329" bestFit="1" customWidth="1"/>
    <col min="6" max="6" width="11.5546875" style="329"/>
    <col min="7" max="7" width="17.88671875" style="329" customWidth="1"/>
    <col min="8" max="8" width="11.5546875" style="329"/>
    <col min="9" max="9" width="14.109375" style="329" customWidth="1"/>
    <col min="10" max="10" width="18.6640625" style="329" customWidth="1"/>
    <col min="11" max="12" width="11.5546875" style="329"/>
    <col min="13" max="13" width="13.77734375" style="329" customWidth="1"/>
    <col min="14" max="14" width="19.33203125" style="329" customWidth="1"/>
    <col min="15" max="15" width="18.44140625" style="329" customWidth="1"/>
    <col min="16" max="16" width="11.5546875" style="329"/>
    <col min="17" max="17" width="14.6640625" style="329" customWidth="1"/>
    <col min="18" max="18" width="18.109375" style="329" customWidth="1"/>
    <col min="19" max="19" width="14.44140625" style="329" customWidth="1"/>
    <col min="20" max="20" width="22" style="329" customWidth="1"/>
    <col min="21" max="21" width="13.44140625" style="329" bestFit="1" customWidth="1"/>
    <col min="22" max="22" width="18.88671875" style="329" bestFit="1" customWidth="1"/>
    <col min="23" max="16384" width="11.5546875" style="329"/>
  </cols>
  <sheetData>
    <row r="1" spans="2:20" ht="15" thickBot="1" x14ac:dyDescent="0.35"/>
    <row r="2" spans="2:20" ht="26.4" thickBot="1" x14ac:dyDescent="0.35">
      <c r="B2" s="863" t="s">
        <v>142</v>
      </c>
      <c r="C2" s="864"/>
      <c r="D2" s="864"/>
      <c r="E2" s="865"/>
      <c r="G2" s="860" t="s">
        <v>141</v>
      </c>
      <c r="H2" s="861"/>
      <c r="I2" s="861"/>
      <c r="J2" s="861"/>
      <c r="K2" s="861"/>
      <c r="L2" s="861"/>
      <c r="M2" s="861"/>
      <c r="N2" s="861"/>
      <c r="O2" s="861"/>
      <c r="P2" s="861"/>
      <c r="Q2" s="861"/>
      <c r="R2" s="861"/>
      <c r="S2" s="861"/>
      <c r="T2" s="861"/>
    </row>
    <row r="4" spans="2:20" x14ac:dyDescent="0.3">
      <c r="B4" s="862" t="s">
        <v>142</v>
      </c>
      <c r="C4" s="862"/>
      <c r="D4" s="862"/>
      <c r="E4" s="862"/>
      <c r="G4" s="866" t="s">
        <v>135</v>
      </c>
      <c r="H4" s="867"/>
      <c r="I4" s="867"/>
      <c r="J4" s="867"/>
      <c r="L4" s="868" t="s">
        <v>134</v>
      </c>
      <c r="M4" s="869"/>
      <c r="N4" s="869"/>
      <c r="O4" s="869"/>
      <c r="Q4" s="866" t="s">
        <v>133</v>
      </c>
      <c r="R4" s="867"/>
      <c r="S4" s="867"/>
      <c r="T4" s="867"/>
    </row>
    <row r="5" spans="2:20" x14ac:dyDescent="0.3">
      <c r="B5" s="195" t="s">
        <v>56</v>
      </c>
      <c r="C5" s="195" t="s">
        <v>132</v>
      </c>
      <c r="D5" s="195" t="s">
        <v>447</v>
      </c>
      <c r="E5" s="195" t="s">
        <v>448</v>
      </c>
      <c r="G5" s="195" t="s">
        <v>56</v>
      </c>
      <c r="H5" s="195" t="s">
        <v>132</v>
      </c>
      <c r="I5" s="195" t="s">
        <v>447</v>
      </c>
      <c r="J5" s="195" t="s">
        <v>448</v>
      </c>
      <c r="L5" s="195" t="s">
        <v>56</v>
      </c>
      <c r="M5" s="195" t="s">
        <v>132</v>
      </c>
      <c r="N5" s="195" t="s">
        <v>447</v>
      </c>
      <c r="O5" s="195" t="s">
        <v>448</v>
      </c>
      <c r="Q5" s="195" t="s">
        <v>56</v>
      </c>
      <c r="R5" s="195" t="s">
        <v>132</v>
      </c>
      <c r="S5" s="195" t="s">
        <v>447</v>
      </c>
      <c r="T5" s="195" t="s">
        <v>448</v>
      </c>
    </row>
    <row r="6" spans="2:20" x14ac:dyDescent="0.3">
      <c r="B6" s="351" t="s">
        <v>140</v>
      </c>
      <c r="C6" s="351">
        <v>24</v>
      </c>
      <c r="D6" s="348">
        <v>2200</v>
      </c>
      <c r="E6" s="348">
        <v>131.23058490566032</v>
      </c>
      <c r="G6" s="335" t="s">
        <v>131</v>
      </c>
      <c r="H6" s="335">
        <v>24</v>
      </c>
      <c r="I6" s="334" t="s">
        <v>79</v>
      </c>
      <c r="J6" s="334" t="s">
        <v>79</v>
      </c>
      <c r="L6" s="339" t="s">
        <v>128</v>
      </c>
      <c r="M6" s="339">
        <v>24</v>
      </c>
      <c r="N6" s="334">
        <v>2293.3333333333335</v>
      </c>
      <c r="O6" s="334">
        <v>136.08209285714281</v>
      </c>
      <c r="Q6" s="339" t="s">
        <v>121</v>
      </c>
      <c r="R6" s="339">
        <v>24</v>
      </c>
      <c r="S6" s="334" t="s">
        <v>79</v>
      </c>
      <c r="T6" s="334" t="s">
        <v>79</v>
      </c>
    </row>
    <row r="7" spans="2:20" x14ac:dyDescent="0.3">
      <c r="B7" s="349" t="s">
        <v>139</v>
      </c>
      <c r="C7" s="349">
        <v>24</v>
      </c>
      <c r="D7" s="348">
        <v>2013.3333333333337</v>
      </c>
      <c r="E7" s="348">
        <v>127.11430701754381</v>
      </c>
      <c r="G7" s="339" t="s">
        <v>130</v>
      </c>
      <c r="H7" s="339">
        <v>24</v>
      </c>
      <c r="I7" s="334">
        <v>2816.666666666667</v>
      </c>
      <c r="J7" s="334">
        <v>112.07459999999998</v>
      </c>
      <c r="L7" s="339" t="s">
        <v>127</v>
      </c>
      <c r="M7" s="339">
        <v>24</v>
      </c>
      <c r="N7" s="334">
        <v>1526.6666666666665</v>
      </c>
      <c r="O7" s="340">
        <v>134.45579199999995</v>
      </c>
      <c r="Q7" s="339" t="s">
        <v>120</v>
      </c>
      <c r="R7" s="339">
        <v>24</v>
      </c>
      <c r="S7" s="334">
        <v>2480</v>
      </c>
      <c r="T7" s="334">
        <v>131.45096703296704</v>
      </c>
    </row>
    <row r="8" spans="2:20" x14ac:dyDescent="0.3">
      <c r="B8" s="349" t="s">
        <v>138</v>
      </c>
      <c r="C8" s="349">
        <v>24</v>
      </c>
      <c r="D8" s="348">
        <v>1506.6666666666665</v>
      </c>
      <c r="E8" s="350">
        <v>137.64866000000004</v>
      </c>
      <c r="G8" s="339" t="s">
        <v>129</v>
      </c>
      <c r="H8" s="339">
        <v>24</v>
      </c>
      <c r="I8" s="334">
        <v>1966.6666666666667</v>
      </c>
      <c r="J8" s="340">
        <v>108.74444186046506</v>
      </c>
      <c r="L8" s="339" t="s">
        <v>126</v>
      </c>
      <c r="M8" s="339">
        <v>24</v>
      </c>
      <c r="N8" s="334" t="s">
        <v>79</v>
      </c>
      <c r="O8" s="340" t="s">
        <v>79</v>
      </c>
      <c r="Q8" s="339" t="s">
        <v>119</v>
      </c>
      <c r="R8" s="339">
        <v>24</v>
      </c>
      <c r="S8" s="334" t="s">
        <v>79</v>
      </c>
      <c r="T8" s="334" t="s">
        <v>79</v>
      </c>
    </row>
    <row r="9" spans="2:20" x14ac:dyDescent="0.3">
      <c r="B9" s="349" t="s">
        <v>137</v>
      </c>
      <c r="C9" s="349">
        <v>24</v>
      </c>
      <c r="D9" s="348">
        <v>2413.3333333333335</v>
      </c>
      <c r="E9" s="348">
        <v>152.71375806451613</v>
      </c>
      <c r="G9" s="333" t="s">
        <v>131</v>
      </c>
      <c r="H9" s="333">
        <v>48</v>
      </c>
      <c r="I9" s="332">
        <v>1032.1428571428571</v>
      </c>
      <c r="J9" s="332">
        <v>159.78142307692303</v>
      </c>
      <c r="L9" s="333" t="s">
        <v>128</v>
      </c>
      <c r="M9" s="333">
        <v>48</v>
      </c>
      <c r="N9" s="332">
        <v>686.66666666666674</v>
      </c>
      <c r="O9" s="332">
        <v>220.87000000000009</v>
      </c>
      <c r="Q9" s="339" t="s">
        <v>143</v>
      </c>
      <c r="R9" s="339">
        <v>24</v>
      </c>
      <c r="S9" s="334" t="s">
        <v>79</v>
      </c>
      <c r="T9" s="334" t="s">
        <v>79</v>
      </c>
    </row>
    <row r="10" spans="2:20" x14ac:dyDescent="0.3">
      <c r="B10" s="349" t="s">
        <v>136</v>
      </c>
      <c r="C10" s="349">
        <v>24</v>
      </c>
      <c r="D10" s="348">
        <v>2140</v>
      </c>
      <c r="E10" s="348">
        <v>153.5586896551724</v>
      </c>
      <c r="G10" s="333" t="s">
        <v>130</v>
      </c>
      <c r="H10" s="333">
        <v>48</v>
      </c>
      <c r="I10" s="332">
        <v>881.25</v>
      </c>
      <c r="J10" s="332">
        <v>154.78696899224812</v>
      </c>
      <c r="L10" s="333" t="s">
        <v>127</v>
      </c>
      <c r="M10" s="333">
        <v>48</v>
      </c>
      <c r="N10" s="332">
        <v>387.5</v>
      </c>
      <c r="O10" s="338">
        <v>207.22107777777771</v>
      </c>
      <c r="Q10" s="333" t="s">
        <v>121</v>
      </c>
      <c r="R10" s="333">
        <v>48</v>
      </c>
      <c r="S10" s="332">
        <v>743.33333333333326</v>
      </c>
      <c r="T10" s="332">
        <v>179.52811504424773</v>
      </c>
    </row>
    <row r="11" spans="2:20" x14ac:dyDescent="0.3">
      <c r="B11" s="346"/>
      <c r="C11" s="346">
        <v>48</v>
      </c>
      <c r="D11" s="345"/>
      <c r="E11" s="345"/>
      <c r="G11" s="333" t="s">
        <v>129</v>
      </c>
      <c r="H11" s="333">
        <v>48</v>
      </c>
      <c r="I11" s="332" t="s">
        <v>79</v>
      </c>
      <c r="J11" s="338" t="s">
        <v>79</v>
      </c>
      <c r="L11" s="333" t="s">
        <v>126</v>
      </c>
      <c r="M11" s="333">
        <v>48</v>
      </c>
      <c r="N11" s="332" t="s">
        <v>79</v>
      </c>
      <c r="O11" s="332" t="s">
        <v>79</v>
      </c>
      <c r="Q11" s="333" t="s">
        <v>120</v>
      </c>
      <c r="R11" s="333">
        <v>48</v>
      </c>
      <c r="S11" s="332" t="s">
        <v>79</v>
      </c>
      <c r="T11" s="332" t="s">
        <v>79</v>
      </c>
    </row>
    <row r="12" spans="2:20" x14ac:dyDescent="0.3">
      <c r="B12" s="346" t="s">
        <v>139</v>
      </c>
      <c r="C12" s="346">
        <v>48</v>
      </c>
      <c r="D12" s="345">
        <v>943.33333333333326</v>
      </c>
      <c r="E12" s="345">
        <v>202.34435416666668</v>
      </c>
      <c r="G12" s="331" t="s">
        <v>131</v>
      </c>
      <c r="H12" s="331">
        <v>72</v>
      </c>
      <c r="I12" s="330">
        <v>538.33333333333337</v>
      </c>
      <c r="J12" s="330">
        <v>197.70765060240964</v>
      </c>
      <c r="L12" s="331" t="s">
        <v>128</v>
      </c>
      <c r="M12" s="331">
        <v>72</v>
      </c>
      <c r="N12" s="330">
        <v>348.75</v>
      </c>
      <c r="O12" s="330">
        <v>251.40155855855875</v>
      </c>
      <c r="Q12" s="333" t="s">
        <v>119</v>
      </c>
      <c r="R12" s="333">
        <v>48</v>
      </c>
      <c r="S12" s="332">
        <v>606.66666666666674</v>
      </c>
      <c r="T12" s="332">
        <v>200.51044615384615</v>
      </c>
    </row>
    <row r="13" spans="2:20" x14ac:dyDescent="0.3">
      <c r="B13" s="346" t="s">
        <v>138</v>
      </c>
      <c r="C13" s="346">
        <v>48</v>
      </c>
      <c r="D13" s="345">
        <v>610</v>
      </c>
      <c r="E13" s="347">
        <v>193.9974693877551</v>
      </c>
      <c r="G13" s="331" t="s">
        <v>130</v>
      </c>
      <c r="H13" s="331">
        <v>72</v>
      </c>
      <c r="I13" s="330">
        <v>593.33333333333337</v>
      </c>
      <c r="J13" s="330">
        <v>173.78049193548384</v>
      </c>
      <c r="L13" s="331" t="s">
        <v>127</v>
      </c>
      <c r="M13" s="331">
        <v>72</v>
      </c>
      <c r="N13" s="330">
        <v>253</v>
      </c>
      <c r="O13" s="337">
        <v>247.17644285714277</v>
      </c>
      <c r="Q13" s="333" t="s">
        <v>143</v>
      </c>
      <c r="R13" s="333">
        <v>48</v>
      </c>
      <c r="S13" s="332" t="s">
        <v>79</v>
      </c>
      <c r="T13" s="332" t="s">
        <v>79</v>
      </c>
    </row>
    <row r="14" spans="2:20" x14ac:dyDescent="0.3">
      <c r="B14" s="346" t="s">
        <v>137</v>
      </c>
      <c r="C14" s="346">
        <v>48</v>
      </c>
      <c r="D14" s="345">
        <v>673.33333333333337</v>
      </c>
      <c r="E14" s="345">
        <v>214.00807812500005</v>
      </c>
      <c r="G14" s="331" t="s">
        <v>129</v>
      </c>
      <c r="H14" s="331">
        <v>72</v>
      </c>
      <c r="I14" s="330">
        <v>460</v>
      </c>
      <c r="J14" s="337">
        <v>188.41505882352931</v>
      </c>
      <c r="L14" s="331" t="s">
        <v>126</v>
      </c>
      <c r="M14" s="331">
        <v>72</v>
      </c>
      <c r="N14" s="330">
        <v>323.33333333333337</v>
      </c>
      <c r="O14" s="337">
        <v>273.76826315789475</v>
      </c>
      <c r="Q14" s="336" t="s">
        <v>121</v>
      </c>
      <c r="R14" s="336">
        <v>72</v>
      </c>
      <c r="S14" s="330">
        <v>469</v>
      </c>
      <c r="T14" s="330">
        <v>219.77240000000006</v>
      </c>
    </row>
    <row r="15" spans="2:20" x14ac:dyDescent="0.3">
      <c r="B15" s="346" t="s">
        <v>136</v>
      </c>
      <c r="C15" s="346">
        <v>48</v>
      </c>
      <c r="D15" s="345">
        <v>646.66666666666674</v>
      </c>
      <c r="E15" s="345">
        <v>198.71409615384616</v>
      </c>
      <c r="Q15" s="336" t="s">
        <v>120</v>
      </c>
      <c r="R15" s="336">
        <v>72</v>
      </c>
      <c r="S15" s="330">
        <v>571.66666666666663</v>
      </c>
      <c r="T15" s="330">
        <v>205.36377922077929</v>
      </c>
    </row>
    <row r="16" spans="2:20" x14ac:dyDescent="0.3">
      <c r="B16" s="344" t="s">
        <v>140</v>
      </c>
      <c r="C16" s="344">
        <v>72</v>
      </c>
      <c r="D16" s="341">
        <v>473.33333333333337</v>
      </c>
      <c r="E16" s="341">
        <v>205.190225</v>
      </c>
      <c r="Q16" s="336" t="s">
        <v>119</v>
      </c>
      <c r="R16" s="336">
        <v>72</v>
      </c>
      <c r="S16" s="330">
        <v>335</v>
      </c>
      <c r="T16" s="330">
        <v>229.7361428571428</v>
      </c>
    </row>
    <row r="17" spans="2:20" x14ac:dyDescent="0.3">
      <c r="B17" s="344" t="s">
        <v>139</v>
      </c>
      <c r="C17" s="344">
        <v>72</v>
      </c>
      <c r="D17" s="341">
        <v>620</v>
      </c>
      <c r="E17" s="341">
        <v>204.75731645569613</v>
      </c>
      <c r="Q17" s="336" t="s">
        <v>143</v>
      </c>
      <c r="R17" s="336">
        <v>72</v>
      </c>
      <c r="S17" s="330">
        <v>455</v>
      </c>
      <c r="T17" s="330">
        <v>224.67185000000003</v>
      </c>
    </row>
    <row r="18" spans="2:20" x14ac:dyDescent="0.3">
      <c r="B18" s="344" t="s">
        <v>138</v>
      </c>
      <c r="C18" s="344">
        <v>72</v>
      </c>
      <c r="D18" s="341">
        <v>456.66666666666669</v>
      </c>
      <c r="E18" s="343">
        <v>230.31178571428575</v>
      </c>
    </row>
    <row r="19" spans="2:20" x14ac:dyDescent="0.3">
      <c r="B19" s="342" t="s">
        <v>137</v>
      </c>
      <c r="C19" s="342">
        <v>72</v>
      </c>
      <c r="D19" s="341">
        <v>484</v>
      </c>
      <c r="E19" s="341">
        <v>224.6795612244897</v>
      </c>
    </row>
    <row r="20" spans="2:20" x14ac:dyDescent="0.3">
      <c r="B20" s="342" t="s">
        <v>136</v>
      </c>
      <c r="C20" s="344">
        <v>72</v>
      </c>
      <c r="D20" s="341">
        <v>484</v>
      </c>
      <c r="E20" s="341">
        <v>241.42096703296704</v>
      </c>
    </row>
  </sheetData>
  <mergeCells count="6">
    <mergeCell ref="G2:T2"/>
    <mergeCell ref="B4:E4"/>
    <mergeCell ref="B2:E2"/>
    <mergeCell ref="G4:J4"/>
    <mergeCell ref="L4:O4"/>
    <mergeCell ref="Q4:T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8"/>
  <sheetViews>
    <sheetView zoomScale="81" workbookViewId="0">
      <selection activeCell="D22" sqref="D22"/>
    </sheetView>
  </sheetViews>
  <sheetFormatPr baseColWidth="10" defaultColWidth="11.5546875" defaultRowHeight="14.4" x14ac:dyDescent="0.3"/>
  <cols>
    <col min="1" max="3" width="11.5546875" style="329"/>
    <col min="4" max="4" width="14.77734375" style="329" customWidth="1"/>
    <col min="5" max="5" width="18.77734375" style="329" customWidth="1"/>
    <col min="6" max="8" width="11.5546875" style="329"/>
    <col min="9" max="9" width="14.109375" style="329" customWidth="1"/>
    <col min="10" max="10" width="18.6640625" style="329" customWidth="1"/>
    <col min="11" max="13" width="11.5546875" style="329"/>
    <col min="14" max="14" width="14.6640625" style="329" customWidth="1"/>
    <col min="15" max="15" width="18.109375" style="329" customWidth="1"/>
    <col min="16" max="16384" width="11.5546875" style="329"/>
  </cols>
  <sheetData>
    <row r="2" spans="2:15" ht="14.4" customHeight="1" x14ac:dyDescent="0.3">
      <c r="B2" s="871" t="s">
        <v>235</v>
      </c>
      <c r="C2" s="871"/>
      <c r="D2" s="871"/>
      <c r="E2" s="871"/>
      <c r="G2" s="870" t="s">
        <v>135</v>
      </c>
      <c r="H2" s="870"/>
      <c r="I2" s="870"/>
      <c r="J2" s="870"/>
      <c r="L2" s="862" t="s">
        <v>234</v>
      </c>
      <c r="M2" s="862"/>
      <c r="N2" s="862"/>
      <c r="O2" s="862"/>
    </row>
    <row r="3" spans="2:15" x14ac:dyDescent="0.3">
      <c r="B3" s="195" t="s">
        <v>56</v>
      </c>
      <c r="C3" s="195" t="s">
        <v>132</v>
      </c>
      <c r="D3" s="195" t="s">
        <v>447</v>
      </c>
      <c r="E3" s="195" t="s">
        <v>448</v>
      </c>
      <c r="G3" s="195" t="s">
        <v>56</v>
      </c>
      <c r="H3" s="195" t="s">
        <v>132</v>
      </c>
      <c r="I3" s="195" t="s">
        <v>447</v>
      </c>
      <c r="J3" s="195" t="s">
        <v>448</v>
      </c>
      <c r="L3" s="195" t="s">
        <v>56</v>
      </c>
      <c r="M3" s="195" t="s">
        <v>132</v>
      </c>
      <c r="N3" s="195" t="s">
        <v>447</v>
      </c>
      <c r="O3" s="195" t="s">
        <v>448</v>
      </c>
    </row>
    <row r="4" spans="2:15" x14ac:dyDescent="0.3">
      <c r="B4" s="510" t="s">
        <v>232</v>
      </c>
      <c r="C4" s="510">
        <v>24</v>
      </c>
      <c r="D4" s="511">
        <v>900</v>
      </c>
      <c r="E4" s="511">
        <v>156.48778947368424</v>
      </c>
      <c r="G4" s="245" t="s">
        <v>231</v>
      </c>
      <c r="H4" s="468">
        <v>24</v>
      </c>
      <c r="I4" s="509">
        <v>1993.3333333333335</v>
      </c>
      <c r="J4" s="508">
        <v>122.05904431216929</v>
      </c>
      <c r="L4" s="351" t="s">
        <v>232</v>
      </c>
      <c r="M4" s="351">
        <v>24</v>
      </c>
      <c r="N4" s="348">
        <v>2640</v>
      </c>
      <c r="O4" s="348">
        <v>118.01142446043166</v>
      </c>
    </row>
    <row r="5" spans="2:15" x14ac:dyDescent="0.3">
      <c r="B5" s="510" t="s">
        <v>228</v>
      </c>
      <c r="C5" s="510">
        <v>24</v>
      </c>
      <c r="D5" s="511">
        <v>1675.5555555555557</v>
      </c>
      <c r="E5" s="511">
        <v>122.31678823529414</v>
      </c>
      <c r="G5" s="245" t="s">
        <v>230</v>
      </c>
      <c r="H5" s="468">
        <v>24</v>
      </c>
      <c r="I5" s="509">
        <v>1646.6666666666665</v>
      </c>
      <c r="J5" s="508">
        <v>163.16031746031743</v>
      </c>
      <c r="L5" s="349" t="s">
        <v>233</v>
      </c>
      <c r="M5" s="349">
        <v>24</v>
      </c>
      <c r="N5" s="348">
        <v>3041.666666666667</v>
      </c>
      <c r="O5" s="348">
        <v>112.01571</v>
      </c>
    </row>
    <row r="6" spans="2:15" x14ac:dyDescent="0.3">
      <c r="B6" s="510" t="s">
        <v>226</v>
      </c>
      <c r="C6" s="510">
        <v>24</v>
      </c>
      <c r="D6" s="511">
        <v>1433.3333333333333</v>
      </c>
      <c r="E6" s="511">
        <v>137.97059090909093</v>
      </c>
      <c r="G6" s="245" t="s">
        <v>229</v>
      </c>
      <c r="H6" s="468">
        <v>24</v>
      </c>
      <c r="I6" s="509">
        <v>1616.6666666666667</v>
      </c>
      <c r="J6" s="508">
        <v>144.80855762594891</v>
      </c>
      <c r="L6" s="349" t="s">
        <v>228</v>
      </c>
      <c r="M6" s="349">
        <v>24</v>
      </c>
      <c r="N6" s="348">
        <v>4622.2222222222217</v>
      </c>
      <c r="O6" s="350">
        <v>92.76238235294116</v>
      </c>
    </row>
    <row r="7" spans="2:15" x14ac:dyDescent="0.3">
      <c r="B7" s="510" t="s">
        <v>224</v>
      </c>
      <c r="C7" s="510">
        <v>24</v>
      </c>
      <c r="D7" s="511">
        <v>2691.666666666667</v>
      </c>
      <c r="E7" s="511">
        <v>121.74505434782608</v>
      </c>
      <c r="G7" s="245" t="s">
        <v>227</v>
      </c>
      <c r="H7" s="468">
        <v>24</v>
      </c>
      <c r="I7" s="509">
        <v>1558.3333333333333</v>
      </c>
      <c r="J7" s="508">
        <v>161.61200651200647</v>
      </c>
      <c r="L7" s="349" t="s">
        <v>226</v>
      </c>
      <c r="M7" s="349">
        <v>24</v>
      </c>
      <c r="N7" s="348">
        <v>4050</v>
      </c>
      <c r="O7" s="348">
        <v>94.445682539682537</v>
      </c>
    </row>
    <row r="8" spans="2:15" x14ac:dyDescent="0.3">
      <c r="B8" s="510" t="s">
        <v>220</v>
      </c>
      <c r="C8" s="510">
        <v>24</v>
      </c>
      <c r="D8" s="511">
        <v>1613.3333333333335</v>
      </c>
      <c r="E8" s="511">
        <v>144.88565573770492</v>
      </c>
      <c r="G8" s="245" t="s">
        <v>225</v>
      </c>
      <c r="H8" s="468">
        <v>24</v>
      </c>
      <c r="I8" s="509">
        <v>2025</v>
      </c>
      <c r="J8" s="508">
        <v>157.5237614237615</v>
      </c>
      <c r="L8" s="349" t="s">
        <v>222</v>
      </c>
      <c r="M8" s="349">
        <v>24</v>
      </c>
      <c r="N8" s="348">
        <v>3725</v>
      </c>
      <c r="O8" s="348">
        <v>115.51342622950817</v>
      </c>
    </row>
    <row r="9" spans="2:15" x14ac:dyDescent="0.3">
      <c r="B9" s="503" t="s">
        <v>232</v>
      </c>
      <c r="C9" s="503">
        <v>48</v>
      </c>
      <c r="D9" s="504">
        <v>133.33333333333334</v>
      </c>
      <c r="E9" s="504">
        <v>206.84482978723412</v>
      </c>
      <c r="G9" s="245" t="s">
        <v>223</v>
      </c>
      <c r="H9" s="468">
        <v>24</v>
      </c>
      <c r="I9" s="509">
        <v>1550</v>
      </c>
      <c r="J9" s="508">
        <v>142.27820105820101</v>
      </c>
      <c r="L9" s="349" t="s">
        <v>220</v>
      </c>
      <c r="M9" s="349">
        <v>24</v>
      </c>
      <c r="N9" s="348">
        <v>3583.3333333333335</v>
      </c>
      <c r="O9" s="348">
        <v>120.25050999999998</v>
      </c>
    </row>
    <row r="10" spans="2:15" x14ac:dyDescent="0.3">
      <c r="B10" s="503" t="s">
        <v>228</v>
      </c>
      <c r="C10" s="503">
        <v>48</v>
      </c>
      <c r="D10" s="504">
        <v>588.88888888888891</v>
      </c>
      <c r="E10" s="504">
        <v>204.4069615384615</v>
      </c>
      <c r="G10" s="245" t="s">
        <v>221</v>
      </c>
      <c r="H10" s="468">
        <v>24</v>
      </c>
      <c r="I10" s="509">
        <v>3250</v>
      </c>
      <c r="J10" s="508">
        <v>136.08543581175155</v>
      </c>
      <c r="L10" s="346" t="s">
        <v>232</v>
      </c>
      <c r="M10" s="346">
        <v>48</v>
      </c>
      <c r="N10" s="345">
        <v>1160</v>
      </c>
      <c r="O10" s="345">
        <v>161.96926363636365</v>
      </c>
    </row>
    <row r="11" spans="2:15" x14ac:dyDescent="0.3">
      <c r="B11" s="503" t="s">
        <v>226</v>
      </c>
      <c r="C11" s="503">
        <v>48</v>
      </c>
      <c r="D11" s="504">
        <v>453.33333333333337</v>
      </c>
      <c r="E11" s="504">
        <v>171.92325</v>
      </c>
      <c r="G11" s="245" t="s">
        <v>219</v>
      </c>
      <c r="H11" s="468">
        <v>24</v>
      </c>
      <c r="I11" s="509">
        <v>1783.3333333333333</v>
      </c>
      <c r="J11" s="508">
        <v>119.46737425894055</v>
      </c>
      <c r="L11" s="346" t="s">
        <v>233</v>
      </c>
      <c r="M11" s="346">
        <v>48</v>
      </c>
      <c r="N11" s="345">
        <v>1136.6666666666667</v>
      </c>
      <c r="O11" s="345">
        <v>140.28478225806455</v>
      </c>
    </row>
    <row r="12" spans="2:15" x14ac:dyDescent="0.3">
      <c r="B12" s="503" t="s">
        <v>224</v>
      </c>
      <c r="C12" s="503">
        <v>48</v>
      </c>
      <c r="D12" s="504">
        <v>456.66666666666669</v>
      </c>
      <c r="E12" s="504">
        <v>249.98153658536583</v>
      </c>
      <c r="G12" s="502" t="s">
        <v>231</v>
      </c>
      <c r="H12" s="505">
        <v>48</v>
      </c>
      <c r="I12" s="507">
        <v>620</v>
      </c>
      <c r="J12" s="506">
        <v>180.71179894179892</v>
      </c>
      <c r="L12" s="346" t="s">
        <v>228</v>
      </c>
      <c r="M12" s="346">
        <v>48</v>
      </c>
      <c r="N12" s="345">
        <v>1413.3333333333333</v>
      </c>
      <c r="O12" s="347">
        <v>120.84032467532472</v>
      </c>
    </row>
    <row r="13" spans="2:15" x14ac:dyDescent="0.3">
      <c r="B13" s="503" t="s">
        <v>220</v>
      </c>
      <c r="C13" s="503">
        <v>48</v>
      </c>
      <c r="D13" s="504">
        <v>413.33333333333331</v>
      </c>
      <c r="E13" s="504">
        <v>212.08343835616441</v>
      </c>
      <c r="G13" s="502" t="s">
        <v>230</v>
      </c>
      <c r="H13" s="246">
        <v>48</v>
      </c>
      <c r="I13" s="501">
        <v>364.4444444444444</v>
      </c>
      <c r="J13" s="500">
        <v>222.16998556998558</v>
      </c>
      <c r="L13" s="346" t="s">
        <v>226</v>
      </c>
      <c r="M13" s="346">
        <v>48</v>
      </c>
      <c r="N13" s="345">
        <v>1325</v>
      </c>
      <c r="O13" s="345">
        <v>145.54867114093955</v>
      </c>
    </row>
    <row r="14" spans="2:15" x14ac:dyDescent="0.3">
      <c r="B14" s="496" t="s">
        <v>232</v>
      </c>
      <c r="C14" s="496">
        <v>72</v>
      </c>
      <c r="D14" s="491">
        <v>51.666666666666664</v>
      </c>
      <c r="E14" s="491">
        <v>265.21058928571421</v>
      </c>
      <c r="G14" s="502" t="s">
        <v>229</v>
      </c>
      <c r="H14" s="246">
        <v>48</v>
      </c>
      <c r="I14" s="501">
        <v>616.66666666666674</v>
      </c>
      <c r="J14" s="500">
        <v>191.07012471655332</v>
      </c>
      <c r="L14" s="346" t="s">
        <v>222</v>
      </c>
      <c r="M14" s="346">
        <v>48</v>
      </c>
      <c r="N14" s="345">
        <v>1440</v>
      </c>
      <c r="O14" s="345">
        <v>135.77548148148148</v>
      </c>
    </row>
    <row r="15" spans="2:15" x14ac:dyDescent="0.3">
      <c r="B15" s="496" t="s">
        <v>228</v>
      </c>
      <c r="C15" s="496">
        <v>72</v>
      </c>
      <c r="D15" s="491">
        <v>23.333333333333336</v>
      </c>
      <c r="E15" s="491">
        <v>296.45399999999995</v>
      </c>
      <c r="G15" s="502" t="s">
        <v>227</v>
      </c>
      <c r="H15" s="505">
        <v>48</v>
      </c>
      <c r="I15" s="501">
        <v>804.16666666666663</v>
      </c>
      <c r="J15" s="500">
        <v>197.23764880952379</v>
      </c>
      <c r="L15" s="346" t="s">
        <v>220</v>
      </c>
      <c r="M15" s="346">
        <v>48</v>
      </c>
      <c r="N15" s="345">
        <v>1273.3333333333333</v>
      </c>
      <c r="O15" s="345">
        <v>148.50268932038836</v>
      </c>
    </row>
    <row r="16" spans="2:15" x14ac:dyDescent="0.3">
      <c r="B16" s="496" t="s">
        <v>226</v>
      </c>
      <c r="C16" s="496">
        <v>72</v>
      </c>
      <c r="D16" s="491">
        <v>185</v>
      </c>
      <c r="E16" s="491">
        <v>274.29614285714291</v>
      </c>
      <c r="G16" s="502" t="s">
        <v>225</v>
      </c>
      <c r="H16" s="246">
        <v>48</v>
      </c>
      <c r="I16" s="501">
        <v>479.16666666666669</v>
      </c>
      <c r="J16" s="500">
        <v>213.74509803921569</v>
      </c>
      <c r="L16" s="344" t="s">
        <v>232</v>
      </c>
      <c r="M16" s="344">
        <v>72</v>
      </c>
      <c r="N16" s="341">
        <v>455</v>
      </c>
      <c r="O16" s="341">
        <v>188.37915068493143</v>
      </c>
    </row>
    <row r="17" spans="2:15" x14ac:dyDescent="0.3">
      <c r="B17" s="496" t="s">
        <v>224</v>
      </c>
      <c r="C17" s="496">
        <v>72</v>
      </c>
      <c r="D17" s="491">
        <v>238.33333333333331</v>
      </c>
      <c r="E17" s="491">
        <v>324.59517021276594</v>
      </c>
      <c r="G17" s="502" t="s">
        <v>223</v>
      </c>
      <c r="H17" s="246">
        <v>48</v>
      </c>
      <c r="I17" s="501">
        <v>329.16666666666669</v>
      </c>
      <c r="J17" s="500">
        <v>227.83246031746035</v>
      </c>
      <c r="L17" s="344" t="s">
        <v>233</v>
      </c>
      <c r="M17" s="344">
        <v>72</v>
      </c>
      <c r="N17" s="341">
        <v>306.66666666666669</v>
      </c>
      <c r="O17" s="341">
        <v>187.37383018867925</v>
      </c>
    </row>
    <row r="18" spans="2:15" x14ac:dyDescent="0.3">
      <c r="B18" s="496" t="s">
        <v>220</v>
      </c>
      <c r="C18" s="496">
        <v>72</v>
      </c>
      <c r="D18" s="491">
        <v>251.66666666666671</v>
      </c>
      <c r="E18" s="491">
        <v>272.01689999999996</v>
      </c>
      <c r="G18" s="502" t="s">
        <v>221</v>
      </c>
      <c r="H18" s="246">
        <v>48</v>
      </c>
      <c r="I18" s="501">
        <v>1137.5</v>
      </c>
      <c r="J18" s="500">
        <v>189.34618736383447</v>
      </c>
      <c r="L18" s="344" t="s">
        <v>228</v>
      </c>
      <c r="M18" s="344">
        <v>72</v>
      </c>
      <c r="N18" s="341">
        <v>533.33333333333337</v>
      </c>
      <c r="O18" s="343">
        <v>163.53409574468083</v>
      </c>
    </row>
    <row r="19" spans="2:15" x14ac:dyDescent="0.3">
      <c r="G19" s="502" t="s">
        <v>219</v>
      </c>
      <c r="H19" s="246">
        <v>48</v>
      </c>
      <c r="I19" s="501">
        <v>812.5</v>
      </c>
      <c r="J19" s="500">
        <v>198.63912698412693</v>
      </c>
      <c r="L19" s="342" t="s">
        <v>226</v>
      </c>
      <c r="M19" s="342">
        <v>72</v>
      </c>
      <c r="N19" s="341">
        <v>560</v>
      </c>
      <c r="O19" s="341">
        <v>189.34115789473685</v>
      </c>
    </row>
    <row r="20" spans="2:15" x14ac:dyDescent="0.3">
      <c r="G20" s="495" t="s">
        <v>231</v>
      </c>
      <c r="H20" s="497">
        <v>72</v>
      </c>
      <c r="I20" s="499">
        <v>350</v>
      </c>
      <c r="J20" s="498">
        <v>262.92927689594353</v>
      </c>
      <c r="L20" s="342" t="s">
        <v>222</v>
      </c>
      <c r="M20" s="344">
        <v>72</v>
      </c>
      <c r="N20" s="341">
        <v>327.77777777777777</v>
      </c>
      <c r="O20" s="341">
        <v>157.55069230769232</v>
      </c>
    </row>
    <row r="21" spans="2:15" x14ac:dyDescent="0.3">
      <c r="G21" s="495" t="s">
        <v>230</v>
      </c>
      <c r="H21" s="494">
        <v>72</v>
      </c>
      <c r="I21" s="493">
        <v>110</v>
      </c>
      <c r="J21" s="492">
        <v>278.23737373737379</v>
      </c>
      <c r="L21" s="342" t="s">
        <v>220</v>
      </c>
      <c r="M21" s="342">
        <v>72</v>
      </c>
      <c r="N21" s="341">
        <v>594.44444444444446</v>
      </c>
      <c r="O21" s="341">
        <v>171.00517204301073</v>
      </c>
    </row>
    <row r="22" spans="2:15" x14ac:dyDescent="0.3">
      <c r="G22" s="512" t="s">
        <v>229</v>
      </c>
      <c r="H22" s="494">
        <v>72</v>
      </c>
      <c r="I22" s="493">
        <v>420</v>
      </c>
      <c r="J22" s="492">
        <v>247.74444444444447</v>
      </c>
    </row>
    <row r="23" spans="2:15" x14ac:dyDescent="0.3">
      <c r="G23" s="512" t="s">
        <v>227</v>
      </c>
      <c r="H23" s="497">
        <v>72</v>
      </c>
      <c r="I23" s="493">
        <v>323.33333333333337</v>
      </c>
      <c r="J23" s="492">
        <v>262.284126984127</v>
      </c>
    </row>
    <row r="24" spans="2:15" x14ac:dyDescent="0.3">
      <c r="E24" s="513"/>
      <c r="G24" s="512" t="s">
        <v>225</v>
      </c>
      <c r="H24" s="494">
        <v>72</v>
      </c>
      <c r="I24" s="493">
        <v>233.33333333333331</v>
      </c>
      <c r="J24" s="492">
        <v>234.30745341614906</v>
      </c>
    </row>
    <row r="25" spans="2:15" x14ac:dyDescent="0.3">
      <c r="E25" s="513"/>
      <c r="G25" s="512" t="s">
        <v>223</v>
      </c>
      <c r="H25" s="494">
        <v>72</v>
      </c>
      <c r="I25" s="493">
        <v>443.33333333333337</v>
      </c>
      <c r="J25" s="492">
        <v>232.50614216701175</v>
      </c>
    </row>
    <row r="26" spans="2:15" x14ac:dyDescent="0.3">
      <c r="E26" s="513"/>
      <c r="G26" s="512" t="s">
        <v>221</v>
      </c>
      <c r="H26" s="494">
        <v>72</v>
      </c>
      <c r="I26" s="493">
        <v>450</v>
      </c>
      <c r="J26" s="492">
        <v>213.89969969969968</v>
      </c>
    </row>
    <row r="27" spans="2:15" x14ac:dyDescent="0.3">
      <c r="E27" s="513"/>
      <c r="G27" s="512" t="s">
        <v>219</v>
      </c>
      <c r="H27" s="494">
        <v>72</v>
      </c>
      <c r="I27" s="493">
        <v>330</v>
      </c>
      <c r="J27" s="492">
        <v>249.46689342403627</v>
      </c>
    </row>
    <row r="28" spans="2:15" x14ac:dyDescent="0.3">
      <c r="E28" s="513"/>
    </row>
  </sheetData>
  <mergeCells count="3">
    <mergeCell ref="G2:J2"/>
    <mergeCell ref="L2:O2"/>
    <mergeCell ref="B2:E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4"/>
  <sheetViews>
    <sheetView zoomScale="76" workbookViewId="0">
      <selection activeCell="Q39" sqref="Q39"/>
    </sheetView>
  </sheetViews>
  <sheetFormatPr baseColWidth="10" defaultRowHeight="14.4" x14ac:dyDescent="0.3"/>
  <sheetData>
    <row r="1" spans="2:4" x14ac:dyDescent="0.3">
      <c r="B1" s="872" t="s">
        <v>117</v>
      </c>
      <c r="C1" s="872"/>
      <c r="D1" s="872"/>
    </row>
    <row r="2" spans="2:4" x14ac:dyDescent="0.3">
      <c r="B2">
        <v>24</v>
      </c>
      <c r="C2">
        <v>48</v>
      </c>
      <c r="D2" t="s">
        <v>148</v>
      </c>
    </row>
    <row r="3" spans="2:4" x14ac:dyDescent="0.3">
      <c r="B3">
        <v>0.37283988079208785</v>
      </c>
      <c r="C3">
        <v>-1.9447134935521776E-2</v>
      </c>
      <c r="D3">
        <v>0</v>
      </c>
    </row>
    <row r="4" spans="2:4" x14ac:dyDescent="0.3">
      <c r="B4">
        <v>-7.5362319772431366E-2</v>
      </c>
      <c r="C4">
        <v>0.10269028710194739</v>
      </c>
      <c r="D4">
        <v>7.4000000000000003E-3</v>
      </c>
    </row>
    <row r="5" spans="2:4" x14ac:dyDescent="0.3">
      <c r="B5">
        <v>-9.1465727339010372E-2</v>
      </c>
      <c r="C5">
        <v>-0.13798574297390295</v>
      </c>
      <c r="D5">
        <v>0</v>
      </c>
    </row>
    <row r="6" spans="2:4" x14ac:dyDescent="0.3">
      <c r="B6">
        <v>5.3365220539446E-2</v>
      </c>
      <c r="C6">
        <v>-0.13798574297390295</v>
      </c>
      <c r="D6">
        <v>0</v>
      </c>
    </row>
    <row r="7" spans="2:4" x14ac:dyDescent="0.3">
      <c r="B7">
        <v>8.379633774198593E-2</v>
      </c>
      <c r="C7">
        <v>2.1978906718775167E-2</v>
      </c>
      <c r="D7">
        <v>0</v>
      </c>
    </row>
    <row r="8" spans="2:4" x14ac:dyDescent="0.3">
      <c r="B8">
        <v>-1.6430541396096152E-2</v>
      </c>
      <c r="C8">
        <v>0.14458122881110749</v>
      </c>
      <c r="D8" s="328">
        <v>6.7000000000000002E-3</v>
      </c>
    </row>
    <row r="9" spans="2:4" x14ac:dyDescent="0.3">
      <c r="B9">
        <v>9.7328343960561836E-2</v>
      </c>
      <c r="C9">
        <v>0.19702770418364995</v>
      </c>
      <c r="D9" s="304">
        <v>4.1999999999999997E-3</v>
      </c>
    </row>
    <row r="10" spans="2:4" x14ac:dyDescent="0.3">
      <c r="B10">
        <v>0.18724767513001023</v>
      </c>
      <c r="C10">
        <v>0.16989903679539742</v>
      </c>
      <c r="D10">
        <v>0</v>
      </c>
    </row>
    <row r="19" spans="2:4" x14ac:dyDescent="0.3">
      <c r="B19" s="872" t="s">
        <v>116</v>
      </c>
      <c r="C19" s="872"/>
      <c r="D19" s="872"/>
    </row>
    <row r="20" spans="2:4" x14ac:dyDescent="0.3">
      <c r="B20">
        <v>24</v>
      </c>
      <c r="C20">
        <v>48</v>
      </c>
      <c r="D20" t="s">
        <v>148</v>
      </c>
    </row>
    <row r="21" spans="2:4" x14ac:dyDescent="0.3">
      <c r="B21">
        <v>-8.3381608939051249E-2</v>
      </c>
      <c r="C21">
        <v>8.9231133727942613E-2</v>
      </c>
      <c r="D21">
        <v>7.1999999999999998E-3</v>
      </c>
    </row>
    <row r="22" spans="2:4" x14ac:dyDescent="0.3">
      <c r="B22">
        <v>0.10935253692736363</v>
      </c>
      <c r="C22">
        <v>0.29515408729048187</v>
      </c>
      <c r="D22">
        <v>7.7000000000000002E-3</v>
      </c>
    </row>
    <row r="23" spans="2:4" x14ac:dyDescent="0.3">
      <c r="B23">
        <v>0.25205489480862975</v>
      </c>
      <c r="C23">
        <v>0.43466426280042658</v>
      </c>
      <c r="D23">
        <v>7.6E-3</v>
      </c>
    </row>
    <row r="24" spans="2:4" x14ac:dyDescent="0.3">
      <c r="B24">
        <v>0.37691320617972351</v>
      </c>
      <c r="C24">
        <v>0.44183275227903912</v>
      </c>
      <c r="D24">
        <v>2.7000000000000001E-3</v>
      </c>
    </row>
  </sheetData>
  <mergeCells count="2">
    <mergeCell ref="B1:D1"/>
    <mergeCell ref="B19:D1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P61"/>
  <sheetViews>
    <sheetView zoomScaleNormal="100" workbookViewId="0">
      <selection activeCell="U9" sqref="U9"/>
    </sheetView>
  </sheetViews>
  <sheetFormatPr baseColWidth="10" defaultRowHeight="14.4" x14ac:dyDescent="0.3"/>
  <cols>
    <col min="1" max="1" width="14.33203125" customWidth="1"/>
    <col min="2" max="3" width="17.109375" customWidth="1"/>
    <col min="4" max="4" width="13.33203125" customWidth="1"/>
    <col min="5" max="5" width="13.33203125" style="1" customWidth="1"/>
    <col min="6" max="6" width="13.33203125" style="39" customWidth="1"/>
    <col min="7" max="7" width="13.5546875" customWidth="1"/>
    <col min="8" max="8" width="16.109375" customWidth="1"/>
    <col min="9" max="9" width="16.109375" style="39" customWidth="1"/>
    <col min="10" max="11" width="16.109375" customWidth="1"/>
    <col min="12" max="12" width="16.109375" style="1" customWidth="1"/>
    <col min="13" max="14" width="19.6640625" style="39" customWidth="1"/>
    <col min="15" max="21" width="19.6640625" style="78" customWidth="1"/>
    <col min="22" max="22" width="9" style="39" customWidth="1"/>
    <col min="23" max="24" width="19.6640625" style="78" customWidth="1"/>
    <col min="25" max="25" width="22.5546875" customWidth="1"/>
    <col min="26" max="26" width="10.5546875" style="247" customWidth="1"/>
    <col min="27" max="27" width="10.88671875" customWidth="1"/>
    <col min="28" max="28" width="19" style="1" customWidth="1"/>
    <col min="29" max="29" width="11.5546875" style="39"/>
    <col min="30" max="38" width="15.109375" customWidth="1"/>
    <col min="41" max="42" width="13.77734375" customWidth="1"/>
    <col min="45" max="46" width="14.33203125" customWidth="1"/>
    <col min="47" max="51" width="16.109375" customWidth="1"/>
    <col min="52" max="61" width="19.6640625" customWidth="1"/>
    <col min="62" max="62" width="22.5546875" customWidth="1"/>
    <col min="63" max="63" width="19.6640625" customWidth="1"/>
    <col min="64" max="64" width="19.109375" customWidth="1"/>
    <col min="65" max="65" width="19.44140625" customWidth="1"/>
    <col min="66" max="66" width="13" customWidth="1"/>
    <col min="67" max="67" width="19.44140625" customWidth="1"/>
    <col min="68" max="68" width="19" customWidth="1"/>
    <col min="70" max="74" width="15.109375" customWidth="1"/>
    <col min="75" max="75" width="1.88671875" customWidth="1"/>
    <col min="77" max="77" width="14.33203125" customWidth="1"/>
    <col min="78" max="78" width="31.109375" customWidth="1"/>
    <col min="79" max="80" width="13.33203125" customWidth="1"/>
    <col min="81" max="81" width="13.5546875" customWidth="1"/>
    <col min="82" max="86" width="16.109375" customWidth="1"/>
    <col min="87" max="93" width="19.6640625" customWidth="1"/>
    <col min="94" max="94" width="19.109375" customWidth="1"/>
    <col min="95" max="95" width="19.44140625" customWidth="1"/>
    <col min="96" max="96" width="15" customWidth="1"/>
    <col min="97" max="97" width="19" customWidth="1"/>
    <col min="99" max="102" width="15.109375" customWidth="1"/>
    <col min="103" max="103" width="15.88671875" customWidth="1"/>
    <col min="104" max="104" width="1.21875" customWidth="1"/>
    <col min="105" max="105" width="15.88671875" customWidth="1"/>
    <col min="106" max="106" width="17" customWidth="1"/>
    <col min="107" max="107" width="15.109375" customWidth="1"/>
    <col min="120" max="120" width="13.5546875" customWidth="1"/>
    <col min="123" max="123" width="16.5546875" customWidth="1"/>
    <col min="124" max="124" width="19" customWidth="1"/>
    <col min="125" max="125" width="13.109375" customWidth="1"/>
    <col min="126" max="126" width="16.5546875" customWidth="1"/>
    <col min="127" max="128" width="15" customWidth="1"/>
    <col min="129" max="129" width="15.88671875" customWidth="1"/>
    <col min="130" max="130" width="14.109375" customWidth="1"/>
    <col min="131" max="131" width="13.109375" customWidth="1"/>
    <col min="132" max="132" width="12.33203125" customWidth="1"/>
  </cols>
  <sheetData>
    <row r="2" spans="1:146" ht="25.8" x14ac:dyDescent="0.3">
      <c r="A2" s="878" t="s">
        <v>455</v>
      </c>
      <c r="B2" s="879"/>
      <c r="C2" s="879"/>
      <c r="D2" s="879"/>
      <c r="E2" s="879"/>
      <c r="F2" s="879"/>
      <c r="G2" s="879"/>
      <c r="H2" s="879"/>
      <c r="I2" s="879"/>
      <c r="J2" s="879"/>
      <c r="K2" s="879"/>
      <c r="L2" s="879"/>
      <c r="M2" s="879"/>
      <c r="N2" s="879"/>
      <c r="O2" s="879"/>
      <c r="P2" s="879"/>
      <c r="Q2" s="879"/>
      <c r="R2" s="879"/>
      <c r="S2" s="879"/>
      <c r="T2" s="879"/>
      <c r="U2" s="879"/>
      <c r="V2" s="879"/>
      <c r="W2" s="879"/>
      <c r="X2" s="879"/>
      <c r="Y2" s="879"/>
      <c r="Z2" s="879"/>
      <c r="AA2" s="879"/>
      <c r="AB2" s="879"/>
      <c r="AC2" s="879"/>
      <c r="AD2" s="879"/>
      <c r="AE2" s="879"/>
      <c r="AF2" s="879"/>
      <c r="AG2" s="879"/>
      <c r="AH2" s="879"/>
      <c r="AI2" s="879"/>
      <c r="AJ2" s="879"/>
      <c r="AK2" s="879"/>
      <c r="AL2" s="879"/>
      <c r="AM2" s="879"/>
      <c r="AN2" s="879"/>
      <c r="AO2" s="879"/>
      <c r="AP2" s="879"/>
      <c r="AQ2" s="879"/>
      <c r="AR2" s="879"/>
      <c r="AS2" s="879"/>
      <c r="AT2" s="879"/>
    </row>
    <row r="3" spans="1:146" ht="15" thickBot="1" x14ac:dyDescent="0.35">
      <c r="A3" s="58"/>
      <c r="B3" s="58"/>
      <c r="C3" s="58"/>
      <c r="D3" s="58"/>
      <c r="E3" s="59"/>
      <c r="F3" s="74"/>
      <c r="G3" s="58"/>
      <c r="H3" s="58"/>
      <c r="I3" s="74"/>
      <c r="J3" s="58"/>
      <c r="K3" s="58"/>
      <c r="L3" s="59"/>
      <c r="M3" s="74"/>
      <c r="N3" s="74"/>
      <c r="O3" s="75"/>
      <c r="P3" s="305" t="s">
        <v>104</v>
      </c>
      <c r="Q3" s="75"/>
      <c r="R3" s="75"/>
      <c r="S3" s="75"/>
      <c r="T3" s="75"/>
      <c r="U3" s="75"/>
      <c r="V3" s="74"/>
      <c r="W3" s="75"/>
      <c r="X3" s="75"/>
      <c r="Y3" s="58"/>
      <c r="Z3" s="316"/>
      <c r="AA3" s="58"/>
      <c r="AB3" s="59"/>
      <c r="AC3" s="74"/>
      <c r="AD3" s="58"/>
      <c r="AE3" s="58"/>
      <c r="AF3" s="58"/>
      <c r="AG3" s="58"/>
      <c r="AH3" s="58"/>
      <c r="AI3" s="58"/>
      <c r="AJ3" s="58"/>
      <c r="AK3" s="58"/>
      <c r="AL3" s="58"/>
      <c r="AM3" s="753"/>
      <c r="AN3" s="753"/>
      <c r="AO3" s="753"/>
      <c r="AQ3" s="753"/>
      <c r="AR3" s="753"/>
      <c r="AS3" s="753"/>
      <c r="AT3" s="753"/>
    </row>
    <row r="4" spans="1:146" ht="15" thickBot="1" x14ac:dyDescent="0.35">
      <c r="D4" s="314"/>
      <c r="E4" s="885" t="s">
        <v>427</v>
      </c>
      <c r="F4" s="886"/>
      <c r="G4" s="886"/>
      <c r="H4" s="886"/>
      <c r="I4" s="887"/>
      <c r="J4" s="883" t="s">
        <v>58</v>
      </c>
      <c r="K4" s="884"/>
      <c r="L4" s="884"/>
      <c r="M4" s="884"/>
      <c r="N4" s="880" t="s">
        <v>115</v>
      </c>
      <c r="O4" s="881"/>
      <c r="P4" s="881"/>
      <c r="Q4" s="882"/>
      <c r="R4" s="888" t="s">
        <v>114</v>
      </c>
      <c r="S4" s="889"/>
      <c r="T4" s="889"/>
      <c r="U4" s="890"/>
      <c r="V4" s="77"/>
      <c r="W4" s="315"/>
      <c r="X4" s="315"/>
      <c r="Y4" s="314"/>
      <c r="AD4" s="891" t="s">
        <v>432</v>
      </c>
      <c r="AE4" s="892"/>
      <c r="AF4" s="892"/>
      <c r="AG4" s="892"/>
      <c r="AH4" s="892"/>
      <c r="AI4" s="892"/>
      <c r="AJ4" s="892"/>
      <c r="AK4" s="892"/>
      <c r="AL4" s="892"/>
      <c r="AM4" s="892"/>
      <c r="AN4" s="892"/>
      <c r="AO4" s="892"/>
      <c r="AP4" s="892"/>
      <c r="AQ4" s="892"/>
      <c r="AR4" s="892"/>
      <c r="AS4" s="892"/>
      <c r="AT4" s="893"/>
    </row>
    <row r="5" spans="1:146" s="206" customFormat="1" ht="66" x14ac:dyDescent="0.3">
      <c r="A5" s="79" t="s">
        <v>59</v>
      </c>
      <c r="B5" s="80" t="s">
        <v>113</v>
      </c>
      <c r="C5" s="80" t="s">
        <v>29</v>
      </c>
      <c r="D5" s="313" t="s">
        <v>112</v>
      </c>
      <c r="E5" s="312" t="s">
        <v>60</v>
      </c>
      <c r="F5" s="82" t="s">
        <v>446</v>
      </c>
      <c r="G5" s="81" t="s">
        <v>62</v>
      </c>
      <c r="H5" s="81" t="s">
        <v>63</v>
      </c>
      <c r="I5" s="82" t="s">
        <v>433</v>
      </c>
      <c r="J5" s="83" t="s">
        <v>64</v>
      </c>
      <c r="K5" s="83" t="s">
        <v>65</v>
      </c>
      <c r="L5" s="208" t="s">
        <v>434</v>
      </c>
      <c r="M5" s="311" t="s">
        <v>67</v>
      </c>
      <c r="N5" s="86" t="s">
        <v>111</v>
      </c>
      <c r="O5" s="310" t="s">
        <v>110</v>
      </c>
      <c r="P5" s="318" t="s">
        <v>445</v>
      </c>
      <c r="Q5" s="149" t="s">
        <v>428</v>
      </c>
      <c r="R5" s="378" t="s">
        <v>458</v>
      </c>
      <c r="S5" s="378" t="s">
        <v>459</v>
      </c>
      <c r="T5" s="378" t="s">
        <v>460</v>
      </c>
      <c r="U5" s="378" t="s">
        <v>461</v>
      </c>
      <c r="V5" s="88" t="s">
        <v>70</v>
      </c>
      <c r="W5" s="309" t="s">
        <v>108</v>
      </c>
      <c r="X5" s="309" t="s">
        <v>107</v>
      </c>
      <c r="Y5" s="308" t="s">
        <v>106</v>
      </c>
      <c r="Z5" s="307" t="s">
        <v>447</v>
      </c>
      <c r="AA5" s="80" t="s">
        <v>448</v>
      </c>
      <c r="AB5" s="90" t="s">
        <v>449</v>
      </c>
      <c r="AC5" s="207" t="s">
        <v>420</v>
      </c>
      <c r="AD5" s="87" t="s">
        <v>71</v>
      </c>
      <c r="AE5" s="87" t="s">
        <v>91</v>
      </c>
      <c r="AF5" s="221" t="s">
        <v>441</v>
      </c>
      <c r="AG5" s="148" t="s">
        <v>73</v>
      </c>
      <c r="AH5" s="221" t="s">
        <v>442</v>
      </c>
      <c r="AI5" s="148" t="s">
        <v>74</v>
      </c>
      <c r="AJ5" s="221" t="s">
        <v>443</v>
      </c>
      <c r="AK5" s="148" t="s">
        <v>75</v>
      </c>
      <c r="AL5" s="221" t="s">
        <v>444</v>
      </c>
      <c r="AM5" s="31" t="s">
        <v>26</v>
      </c>
      <c r="AN5" s="220" t="s">
        <v>90</v>
      </c>
      <c r="AO5" s="31" t="s">
        <v>438</v>
      </c>
      <c r="AP5" s="220" t="s">
        <v>440</v>
      </c>
      <c r="AQ5" s="31" t="s">
        <v>27</v>
      </c>
      <c r="AR5" s="220" t="s">
        <v>30</v>
      </c>
      <c r="AS5" s="31" t="s">
        <v>28</v>
      </c>
      <c r="AT5" s="220" t="s">
        <v>32</v>
      </c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</row>
    <row r="6" spans="1:146" s="296" customFormat="1" x14ac:dyDescent="0.3">
      <c r="A6" s="874" t="s">
        <v>76</v>
      </c>
      <c r="B6" s="93" t="s">
        <v>101</v>
      </c>
      <c r="C6" s="93"/>
      <c r="D6" s="93">
        <f t="shared" ref="D6:D13" si="0">LN(300000/300000)</f>
        <v>0</v>
      </c>
      <c r="E6" s="102">
        <v>300000</v>
      </c>
      <c r="F6" s="96">
        <f t="shared" ref="F6:F45" si="1">E6/1000000</f>
        <v>0.3</v>
      </c>
      <c r="G6" s="102">
        <v>5042.0168067226896</v>
      </c>
      <c r="H6" s="102">
        <v>305042.01680672274</v>
      </c>
      <c r="I6" s="96">
        <v>98.355805279577226</v>
      </c>
      <c r="J6" s="102">
        <v>300000</v>
      </c>
      <c r="K6" s="102">
        <v>5042.0168067226896</v>
      </c>
      <c r="L6" s="102">
        <v>305042.01680672274</v>
      </c>
      <c r="M6" s="96">
        <v>98.355805279577226</v>
      </c>
      <c r="N6" s="98"/>
      <c r="O6" s="105"/>
      <c r="P6" s="105"/>
      <c r="Q6" s="99"/>
      <c r="R6" s="99"/>
      <c r="S6" s="78" t="s">
        <v>462</v>
      </c>
      <c r="T6" s="99"/>
      <c r="U6" s="99"/>
      <c r="V6" s="98"/>
      <c r="W6" s="105">
        <v>230</v>
      </c>
      <c r="X6" s="105"/>
      <c r="Y6" s="97">
        <f t="shared" ref="Y6:Y37" si="2">W6*H6</f>
        <v>70159663.865546227</v>
      </c>
      <c r="Z6" s="300"/>
      <c r="AA6" s="99"/>
      <c r="AB6" s="102"/>
      <c r="AC6" s="96"/>
      <c r="AD6" s="293">
        <v>2.1023299999999998</v>
      </c>
      <c r="AE6" s="293">
        <f t="shared" ref="AE6:AE16" si="3">AD6/180.156*1000</f>
        <v>11.669497546570748</v>
      </c>
      <c r="AF6" s="293"/>
      <c r="AG6" s="293">
        <v>1.0699399999999999</v>
      </c>
      <c r="AH6" s="293"/>
      <c r="AI6" s="293">
        <v>2.6099999999999999E-3</v>
      </c>
      <c r="AJ6" s="293"/>
      <c r="AK6" s="293">
        <v>4.9573999999999998</v>
      </c>
      <c r="AL6" s="293"/>
      <c r="AM6" s="293">
        <f t="shared" ref="AM6:AM13" si="4">AE6-AE6</f>
        <v>0</v>
      </c>
      <c r="AN6" s="293">
        <v>0</v>
      </c>
      <c r="AO6" s="293">
        <f t="shared" ref="AO6:AO13" si="5">AG6-AG6</f>
        <v>0</v>
      </c>
      <c r="AP6" s="101">
        <v>0.54510000000000003</v>
      </c>
      <c r="AQ6" s="293">
        <f t="shared" ref="AQ6:AQ13" si="6">AI6-AI6</f>
        <v>0</v>
      </c>
      <c r="AR6" s="101">
        <v>0.73140000000000005</v>
      </c>
      <c r="AS6" s="293">
        <f t="shared" ref="AS6:AS13" si="7">AK6-AK6</f>
        <v>0</v>
      </c>
      <c r="AT6" s="319">
        <v>0</v>
      </c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101"/>
      <c r="BO6" s="101"/>
      <c r="BP6" s="101"/>
      <c r="BQ6" s="101"/>
      <c r="BR6" s="101"/>
      <c r="BS6" s="101"/>
      <c r="BT6" s="101"/>
      <c r="BU6" s="101"/>
      <c r="BV6" s="101"/>
      <c r="BW6" s="101"/>
      <c r="BX6" s="101"/>
      <c r="BY6" s="101"/>
      <c r="BZ6" s="101"/>
      <c r="CA6" s="101"/>
      <c r="CB6" s="101"/>
      <c r="CC6" s="101"/>
      <c r="CD6" s="101"/>
      <c r="CE6" s="101"/>
      <c r="CF6" s="101"/>
      <c r="CG6" s="101"/>
      <c r="CH6" s="101"/>
      <c r="CI6" s="101"/>
      <c r="CJ6" s="101"/>
      <c r="CK6" s="101"/>
      <c r="CL6" s="101"/>
      <c r="CM6" s="101"/>
      <c r="CN6" s="101"/>
      <c r="CO6" s="101"/>
      <c r="CP6" s="101"/>
      <c r="CQ6" s="101"/>
      <c r="CR6" s="101"/>
      <c r="CS6" s="101"/>
      <c r="CT6" s="101"/>
      <c r="CU6" s="101"/>
      <c r="CV6" s="101"/>
      <c r="CW6" s="101"/>
      <c r="CX6" s="101"/>
      <c r="CY6" s="101"/>
      <c r="CZ6" s="101"/>
      <c r="DA6" s="101"/>
      <c r="DB6" s="101"/>
      <c r="DC6" s="101"/>
      <c r="DD6" s="101"/>
      <c r="DE6" s="101"/>
      <c r="DF6" s="101"/>
      <c r="DG6" s="101"/>
      <c r="DH6" s="101"/>
      <c r="DI6" s="101"/>
      <c r="DJ6" s="101"/>
      <c r="DK6" s="101"/>
      <c r="DL6" s="101"/>
      <c r="DM6" s="101"/>
      <c r="DN6" s="101"/>
      <c r="DO6" s="101"/>
      <c r="DP6" s="101"/>
      <c r="DQ6" s="101"/>
      <c r="DR6" s="101"/>
      <c r="DS6" s="101"/>
      <c r="DT6" s="101"/>
      <c r="DU6" s="101"/>
      <c r="DV6" s="101"/>
      <c r="DW6" s="101"/>
      <c r="DX6" s="101"/>
      <c r="DY6" s="101"/>
      <c r="DZ6" s="101"/>
      <c r="EA6" s="101"/>
      <c r="EB6" s="101"/>
      <c r="EC6" s="101"/>
      <c r="ED6" s="101"/>
      <c r="EE6" s="101"/>
      <c r="EF6" s="101"/>
      <c r="EG6" s="101"/>
      <c r="EH6" s="101"/>
      <c r="EI6" s="101"/>
      <c r="EJ6" s="101"/>
      <c r="EK6" s="101"/>
      <c r="EL6" s="101"/>
      <c r="EM6" s="101"/>
      <c r="EN6" s="101"/>
      <c r="EO6" s="101"/>
      <c r="EP6" s="101"/>
    </row>
    <row r="7" spans="1:146" s="101" customFormat="1" x14ac:dyDescent="0.3">
      <c r="A7" s="874"/>
      <c r="B7" s="93" t="s">
        <v>100</v>
      </c>
      <c r="C7" s="93"/>
      <c r="D7" s="93">
        <f t="shared" si="0"/>
        <v>0</v>
      </c>
      <c r="E7" s="102">
        <v>300000</v>
      </c>
      <c r="F7" s="96">
        <f t="shared" si="1"/>
        <v>0.3</v>
      </c>
      <c r="G7" s="102">
        <v>5042.0168067226896</v>
      </c>
      <c r="H7" s="102">
        <v>305042.01680672274</v>
      </c>
      <c r="I7" s="96">
        <v>98.355805279577226</v>
      </c>
      <c r="J7" s="102">
        <v>300000</v>
      </c>
      <c r="K7" s="102">
        <v>5042.0168067226896</v>
      </c>
      <c r="L7" s="102">
        <v>305042.01680672274</v>
      </c>
      <c r="M7" s="96">
        <v>98.355805279577226</v>
      </c>
      <c r="N7" s="202"/>
      <c r="O7" s="299"/>
      <c r="P7" s="299"/>
      <c r="Q7" s="201"/>
      <c r="R7" s="201"/>
      <c r="S7">
        <v>14.782400000000001</v>
      </c>
      <c r="T7" s="201"/>
      <c r="U7" s="201"/>
      <c r="V7" s="202"/>
      <c r="W7" s="105">
        <v>230</v>
      </c>
      <c r="X7" s="105"/>
      <c r="Y7" s="97">
        <f t="shared" si="2"/>
        <v>70159663.865546227</v>
      </c>
      <c r="Z7" s="298"/>
      <c r="AA7" s="201"/>
      <c r="AB7" s="297"/>
      <c r="AC7" s="200"/>
      <c r="AD7" s="293">
        <v>2.1023299999999998</v>
      </c>
      <c r="AE7" s="293">
        <f t="shared" si="3"/>
        <v>11.669497546570748</v>
      </c>
      <c r="AF7" s="293"/>
      <c r="AG7" s="293">
        <v>1.0699399999999999</v>
      </c>
      <c r="AH7" s="293"/>
      <c r="AI7" s="293">
        <v>2.6099999999999999E-3</v>
      </c>
      <c r="AJ7" s="293"/>
      <c r="AK7" s="293">
        <v>4.9573999999999998</v>
      </c>
      <c r="AL7" s="293"/>
      <c r="AM7" s="293">
        <f t="shared" si="4"/>
        <v>0</v>
      </c>
      <c r="AN7" s="101">
        <v>25822</v>
      </c>
      <c r="AO7" s="293">
        <f t="shared" si="5"/>
        <v>0</v>
      </c>
      <c r="AP7" s="101">
        <v>1.3664000000000001</v>
      </c>
      <c r="AQ7" s="293">
        <f t="shared" si="6"/>
        <v>0</v>
      </c>
      <c r="AR7" s="101">
        <v>1.0660000000000001</v>
      </c>
      <c r="AS7" s="293">
        <f t="shared" si="7"/>
        <v>0</v>
      </c>
      <c r="AT7" s="101">
        <v>65624</v>
      </c>
    </row>
    <row r="8" spans="1:146" s="101" customFormat="1" x14ac:dyDescent="0.3">
      <c r="A8" s="874"/>
      <c r="B8" s="103" t="s">
        <v>99</v>
      </c>
      <c r="C8" s="103"/>
      <c r="D8" s="93">
        <f t="shared" si="0"/>
        <v>0</v>
      </c>
      <c r="E8" s="102">
        <v>300000</v>
      </c>
      <c r="F8" s="96">
        <f t="shared" si="1"/>
        <v>0.3</v>
      </c>
      <c r="G8" s="97">
        <v>10534.716679968076</v>
      </c>
      <c r="H8" s="97">
        <v>310534.71667996806</v>
      </c>
      <c r="I8" s="98">
        <v>96.595185851853358</v>
      </c>
      <c r="J8" s="97">
        <v>300000</v>
      </c>
      <c r="K8" s="97">
        <v>10534.716679968076</v>
      </c>
      <c r="L8" s="97">
        <v>310534.71667996806</v>
      </c>
      <c r="M8" s="98">
        <v>96.595185851853358</v>
      </c>
      <c r="N8" s="98"/>
      <c r="O8" s="105"/>
      <c r="P8" s="105"/>
      <c r="Q8" s="99"/>
      <c r="R8" s="99"/>
      <c r="S8" s="99"/>
      <c r="T8" s="99"/>
      <c r="U8" s="99"/>
      <c r="V8" s="98"/>
      <c r="W8" s="105">
        <v>245</v>
      </c>
      <c r="X8" s="105"/>
      <c r="Y8" s="97">
        <f t="shared" si="2"/>
        <v>76081005.586592168</v>
      </c>
      <c r="Z8" s="295"/>
      <c r="AA8" s="199"/>
      <c r="AB8" s="294"/>
      <c r="AC8" s="98"/>
      <c r="AD8" s="293">
        <v>2.1979600000000001</v>
      </c>
      <c r="AE8" s="293">
        <f t="shared" si="3"/>
        <v>12.200315282310886</v>
      </c>
      <c r="AF8" s="293"/>
      <c r="AG8" s="293">
        <v>2.989E-2</v>
      </c>
      <c r="AH8" s="293"/>
      <c r="AI8" s="293">
        <v>0</v>
      </c>
      <c r="AJ8" s="293"/>
      <c r="AK8" s="320">
        <v>4.1233399999999998</v>
      </c>
      <c r="AL8" s="320"/>
      <c r="AM8" s="293">
        <f t="shared" si="4"/>
        <v>0</v>
      </c>
      <c r="AN8" s="293">
        <v>0</v>
      </c>
      <c r="AO8" s="293">
        <f t="shared" si="5"/>
        <v>0</v>
      </c>
      <c r="AP8" s="293"/>
      <c r="AQ8" s="293">
        <f t="shared" si="6"/>
        <v>0</v>
      </c>
      <c r="AR8" s="101">
        <v>1.1040000000000001</v>
      </c>
      <c r="AS8" s="293">
        <f t="shared" si="7"/>
        <v>0</v>
      </c>
      <c r="AT8" s="101">
        <v>9183.2000000000007</v>
      </c>
    </row>
    <row r="9" spans="1:146" s="101" customFormat="1" x14ac:dyDescent="0.3">
      <c r="A9" s="874"/>
      <c r="B9" s="103" t="s">
        <v>98</v>
      </c>
      <c r="C9" s="103"/>
      <c r="D9" s="93">
        <f t="shared" si="0"/>
        <v>0</v>
      </c>
      <c r="E9" s="102">
        <v>300000</v>
      </c>
      <c r="F9" s="96">
        <f t="shared" si="1"/>
        <v>0.3</v>
      </c>
      <c r="G9" s="97">
        <v>10534.716679968076</v>
      </c>
      <c r="H9" s="97">
        <v>310534.71667996806</v>
      </c>
      <c r="I9" s="98">
        <v>96.595185851853358</v>
      </c>
      <c r="J9" s="97">
        <v>300000</v>
      </c>
      <c r="K9" s="97">
        <v>10534.716679968076</v>
      </c>
      <c r="L9" s="97">
        <v>310534.71667996806</v>
      </c>
      <c r="M9" s="98">
        <v>96.595185851853358</v>
      </c>
      <c r="N9" s="98"/>
      <c r="O9" s="105"/>
      <c r="P9" s="105"/>
      <c r="Q9" s="99"/>
      <c r="R9" s="99"/>
      <c r="S9" s="99"/>
      <c r="T9" s="99"/>
      <c r="U9" s="99"/>
      <c r="V9" s="98"/>
      <c r="W9" s="105">
        <v>245</v>
      </c>
      <c r="X9" s="105"/>
      <c r="Y9" s="97">
        <f t="shared" si="2"/>
        <v>76081005.586592168</v>
      </c>
      <c r="Z9" s="295"/>
      <c r="AA9" s="199"/>
      <c r="AB9" s="294"/>
      <c r="AC9" s="98"/>
      <c r="AD9" s="293">
        <v>2.1979600000000001</v>
      </c>
      <c r="AE9" s="293">
        <f t="shared" si="3"/>
        <v>12.200315282310886</v>
      </c>
      <c r="AF9" s="293"/>
      <c r="AG9" s="293">
        <v>2.989E-2</v>
      </c>
      <c r="AH9" s="293"/>
      <c r="AI9" s="293">
        <v>0</v>
      </c>
      <c r="AJ9" s="293"/>
      <c r="AK9" s="320">
        <v>4.1233399999999998</v>
      </c>
      <c r="AL9" s="320"/>
      <c r="AM9" s="293">
        <f t="shared" si="4"/>
        <v>0</v>
      </c>
      <c r="AN9" s="293">
        <v>0</v>
      </c>
      <c r="AO9" s="293">
        <f t="shared" si="5"/>
        <v>0</v>
      </c>
      <c r="AP9" s="101">
        <v>3.4165000000000001</v>
      </c>
      <c r="AQ9" s="293">
        <f t="shared" si="6"/>
        <v>0</v>
      </c>
      <c r="AR9" s="101">
        <v>1.2024999999999999</v>
      </c>
      <c r="AS9" s="293">
        <f t="shared" si="7"/>
        <v>0</v>
      </c>
      <c r="AT9" s="101">
        <v>0</v>
      </c>
    </row>
    <row r="10" spans="1:146" s="101" customFormat="1" x14ac:dyDescent="0.3">
      <c r="A10" s="874"/>
      <c r="B10" s="103" t="s">
        <v>97</v>
      </c>
      <c r="C10" s="103"/>
      <c r="D10" s="93">
        <f t="shared" si="0"/>
        <v>0</v>
      </c>
      <c r="E10" s="102">
        <v>300000</v>
      </c>
      <c r="F10" s="96">
        <f t="shared" si="1"/>
        <v>0.3</v>
      </c>
      <c r="G10" s="97">
        <v>15532.118887823586</v>
      </c>
      <c r="H10" s="97">
        <v>315532.11888782401</v>
      </c>
      <c r="I10" s="98">
        <v>95.249011045860456</v>
      </c>
      <c r="J10" s="97">
        <v>300000</v>
      </c>
      <c r="K10" s="97">
        <v>15532.118887823586</v>
      </c>
      <c r="L10" s="97">
        <v>315532.1188878236</v>
      </c>
      <c r="M10" s="98">
        <v>95.249011045860456</v>
      </c>
      <c r="N10" s="98"/>
      <c r="O10" s="105"/>
      <c r="P10" s="105"/>
      <c r="Q10" s="99"/>
      <c r="R10" s="99"/>
      <c r="S10" s="99"/>
      <c r="T10" s="99"/>
      <c r="U10" s="99"/>
      <c r="V10" s="98"/>
      <c r="W10" s="105">
        <v>245</v>
      </c>
      <c r="X10" s="105"/>
      <c r="Y10" s="97">
        <f t="shared" si="2"/>
        <v>77305369.127516881</v>
      </c>
      <c r="Z10" s="295"/>
      <c r="AA10" s="199"/>
      <c r="AB10" s="294"/>
      <c r="AC10" s="98"/>
      <c r="AD10" s="293">
        <v>2.0590700000000002</v>
      </c>
      <c r="AE10" s="293">
        <f t="shared" si="3"/>
        <v>11.429372321765582</v>
      </c>
      <c r="AF10" s="293"/>
      <c r="AG10" s="293">
        <v>1.2390600000000001</v>
      </c>
      <c r="AH10" s="293"/>
      <c r="AI10" s="293">
        <v>6.8199999999999997E-3</v>
      </c>
      <c r="AJ10" s="293"/>
      <c r="AK10" s="293">
        <v>4.40951</v>
      </c>
      <c r="AL10" s="293"/>
      <c r="AM10" s="293">
        <f t="shared" si="4"/>
        <v>0</v>
      </c>
      <c r="AN10" s="293">
        <v>0</v>
      </c>
      <c r="AO10" s="293">
        <f t="shared" si="5"/>
        <v>0</v>
      </c>
      <c r="AP10" s="101">
        <v>0.88670000000000004</v>
      </c>
      <c r="AQ10" s="293">
        <f t="shared" si="6"/>
        <v>0</v>
      </c>
      <c r="AR10" s="101">
        <v>2.3753000000000002</v>
      </c>
      <c r="AS10" s="293">
        <f t="shared" si="7"/>
        <v>0</v>
      </c>
      <c r="AT10" s="293">
        <v>0</v>
      </c>
    </row>
    <row r="11" spans="1:146" s="101" customFormat="1" x14ac:dyDescent="0.3">
      <c r="A11" s="874"/>
      <c r="B11" s="103" t="s">
        <v>96</v>
      </c>
      <c r="C11" s="103"/>
      <c r="D11" s="93">
        <f t="shared" si="0"/>
        <v>0</v>
      </c>
      <c r="E11" s="102">
        <v>300000</v>
      </c>
      <c r="F11" s="96">
        <f t="shared" si="1"/>
        <v>0.3</v>
      </c>
      <c r="G11" s="97">
        <v>15532.118887823586</v>
      </c>
      <c r="H11" s="97">
        <v>315532.1188878236</v>
      </c>
      <c r="I11" s="98">
        <v>95.249011045860456</v>
      </c>
      <c r="J11" s="97">
        <v>300000</v>
      </c>
      <c r="K11" s="97">
        <v>15532.118887823586</v>
      </c>
      <c r="L11" s="97">
        <v>315532.1188878236</v>
      </c>
      <c r="M11" s="98">
        <v>95.249011045860456</v>
      </c>
      <c r="N11" s="98"/>
      <c r="O11" s="105"/>
      <c r="P11" s="105"/>
      <c r="Q11" s="99"/>
      <c r="R11" s="99"/>
      <c r="S11" s="99"/>
      <c r="T11" s="99"/>
      <c r="U11" s="99"/>
      <c r="V11" s="98"/>
      <c r="W11" s="105">
        <v>245</v>
      </c>
      <c r="X11" s="105"/>
      <c r="Y11" s="97">
        <f t="shared" si="2"/>
        <v>77305369.127516776</v>
      </c>
      <c r="Z11" s="295"/>
      <c r="AA11" s="199"/>
      <c r="AB11" s="294"/>
      <c r="AC11" s="98"/>
      <c r="AD11" s="293">
        <v>2.0590700000000002</v>
      </c>
      <c r="AE11" s="293">
        <f t="shared" si="3"/>
        <v>11.429372321765582</v>
      </c>
      <c r="AF11" s="293"/>
      <c r="AG11" s="293">
        <v>1.2390600000000001</v>
      </c>
      <c r="AH11" s="293"/>
      <c r="AI11" s="293">
        <v>6.8199999999999997E-3</v>
      </c>
      <c r="AJ11" s="293"/>
      <c r="AK11" s="293">
        <v>4.40951</v>
      </c>
      <c r="AL11" s="293"/>
      <c r="AM11" s="293">
        <f t="shared" si="4"/>
        <v>0</v>
      </c>
      <c r="AN11" s="293">
        <v>0</v>
      </c>
      <c r="AO11" s="293">
        <f t="shared" si="5"/>
        <v>0</v>
      </c>
      <c r="AP11" s="101">
        <v>0.44490000000000002</v>
      </c>
      <c r="AQ11" s="293">
        <f t="shared" si="6"/>
        <v>0</v>
      </c>
      <c r="AR11" s="101">
        <v>1.5953999999999999</v>
      </c>
      <c r="AS11" s="293">
        <f t="shared" si="7"/>
        <v>0</v>
      </c>
      <c r="AT11" s="293">
        <v>0</v>
      </c>
    </row>
    <row r="12" spans="1:146" s="101" customFormat="1" x14ac:dyDescent="0.3">
      <c r="A12" s="874"/>
      <c r="B12" s="103" t="s">
        <v>95</v>
      </c>
      <c r="C12" s="103"/>
      <c r="D12" s="93">
        <f t="shared" si="0"/>
        <v>0</v>
      </c>
      <c r="E12" s="102">
        <v>300000</v>
      </c>
      <c r="F12" s="96">
        <f t="shared" si="1"/>
        <v>0.3</v>
      </c>
      <c r="G12" s="97">
        <v>10007.097232079488</v>
      </c>
      <c r="H12" s="97">
        <v>310007.09723207942</v>
      </c>
      <c r="I12" s="98">
        <v>96.787113658079576</v>
      </c>
      <c r="J12" s="97">
        <v>300000</v>
      </c>
      <c r="K12" s="97">
        <v>10007.097232079488</v>
      </c>
      <c r="L12" s="97">
        <v>310007.09723207942</v>
      </c>
      <c r="M12" s="98">
        <v>96.787113658079576</v>
      </c>
      <c r="N12" s="98"/>
      <c r="O12" s="105"/>
      <c r="P12" s="105"/>
      <c r="Q12" s="99"/>
      <c r="R12" s="99"/>
      <c r="S12" s="99"/>
      <c r="T12" s="99"/>
      <c r="U12" s="99"/>
      <c r="V12" s="98"/>
      <c r="W12" s="105">
        <v>245</v>
      </c>
      <c r="X12" s="105"/>
      <c r="Y12" s="97">
        <f t="shared" si="2"/>
        <v>75951738.821859464</v>
      </c>
      <c r="Z12" s="295"/>
      <c r="AA12" s="199"/>
      <c r="AB12" s="294"/>
      <c r="AC12" s="98"/>
      <c r="AD12" s="293">
        <v>2.15401</v>
      </c>
      <c r="AE12" s="293">
        <f t="shared" si="3"/>
        <v>11.95636004351784</v>
      </c>
      <c r="AF12" s="293"/>
      <c r="AG12" s="293">
        <v>0.71730000000000005</v>
      </c>
      <c r="AH12" s="293"/>
      <c r="AI12" s="293">
        <v>2.1350000000000001E-2</v>
      </c>
      <c r="AJ12" s="293"/>
      <c r="AK12" s="293">
        <v>4.8831499999999997</v>
      </c>
      <c r="AL12" s="293"/>
      <c r="AM12" s="293">
        <f t="shared" si="4"/>
        <v>0</v>
      </c>
      <c r="AN12" s="101">
        <v>19871</v>
      </c>
      <c r="AO12" s="293">
        <f t="shared" si="5"/>
        <v>0</v>
      </c>
      <c r="AP12" s="101">
        <v>1.1122000000000001</v>
      </c>
      <c r="AQ12" s="293">
        <f t="shared" si="6"/>
        <v>0</v>
      </c>
      <c r="AR12" s="101">
        <v>0.96040000000000003</v>
      </c>
      <c r="AS12" s="293">
        <f t="shared" si="7"/>
        <v>0</v>
      </c>
      <c r="AT12" s="101">
        <v>74688</v>
      </c>
    </row>
    <row r="13" spans="1:146" s="101" customFormat="1" x14ac:dyDescent="0.3">
      <c r="A13" s="874"/>
      <c r="B13" s="103" t="s">
        <v>94</v>
      </c>
      <c r="C13" s="103"/>
      <c r="D13" s="93">
        <f t="shared" si="0"/>
        <v>0</v>
      </c>
      <c r="E13" s="102">
        <v>300000</v>
      </c>
      <c r="F13" s="96">
        <f t="shared" si="1"/>
        <v>0.3</v>
      </c>
      <c r="G13" s="97">
        <v>10007.097232079488</v>
      </c>
      <c r="H13" s="97">
        <v>310007.09723207942</v>
      </c>
      <c r="I13" s="98">
        <v>96.787113658079576</v>
      </c>
      <c r="J13" s="97">
        <v>300000</v>
      </c>
      <c r="K13" s="97">
        <v>10007.097232079488</v>
      </c>
      <c r="L13" s="97">
        <v>310007.09723207942</v>
      </c>
      <c r="M13" s="98">
        <v>96.787113658079576</v>
      </c>
      <c r="N13" s="98"/>
      <c r="O13" s="105"/>
      <c r="P13" s="105"/>
      <c r="Q13" s="99"/>
      <c r="R13" s="99"/>
      <c r="S13" s="99"/>
      <c r="T13" s="99"/>
      <c r="U13" s="99"/>
      <c r="V13" s="98"/>
      <c r="W13" s="105">
        <v>245</v>
      </c>
      <c r="X13" s="105"/>
      <c r="Y13" s="97">
        <f t="shared" si="2"/>
        <v>75951738.821859464</v>
      </c>
      <c r="Z13" s="295"/>
      <c r="AA13" s="105"/>
      <c r="AB13" s="294"/>
      <c r="AC13" s="98"/>
      <c r="AD13" s="293">
        <v>2.15401</v>
      </c>
      <c r="AE13" s="293">
        <f t="shared" si="3"/>
        <v>11.95636004351784</v>
      </c>
      <c r="AF13" s="293"/>
      <c r="AG13" s="293">
        <v>0.71730000000000005</v>
      </c>
      <c r="AH13" s="293"/>
      <c r="AI13" s="293">
        <v>2.1350000000000001E-2</v>
      </c>
      <c r="AJ13" s="293"/>
      <c r="AK13" s="293">
        <v>4.8831499999999997</v>
      </c>
      <c r="AL13" s="293"/>
      <c r="AM13" s="293">
        <f t="shared" si="4"/>
        <v>0</v>
      </c>
      <c r="AN13" s="293">
        <v>0</v>
      </c>
      <c r="AO13" s="293">
        <f t="shared" si="5"/>
        <v>0</v>
      </c>
      <c r="AP13" s="101">
        <v>0.50419999999999998</v>
      </c>
      <c r="AQ13" s="293">
        <f t="shared" si="6"/>
        <v>0</v>
      </c>
      <c r="AR13" s="101">
        <v>0.62670000000000003</v>
      </c>
      <c r="AS13" s="293">
        <f t="shared" si="7"/>
        <v>0</v>
      </c>
      <c r="AT13" s="293">
        <v>0</v>
      </c>
    </row>
    <row r="14" spans="1:146" s="284" customFormat="1" x14ac:dyDescent="0.3">
      <c r="A14" s="875" t="s">
        <v>77</v>
      </c>
      <c r="B14" s="290" t="s">
        <v>101</v>
      </c>
      <c r="C14" s="287">
        <f>E14-300000</f>
        <v>135555.55555555556</v>
      </c>
      <c r="D14" s="286">
        <f t="shared" ref="D14:D29" si="8">LN(E14/300000)</f>
        <v>0.37283988079208785</v>
      </c>
      <c r="E14" s="287">
        <v>435555.55555555556</v>
      </c>
      <c r="F14" s="286">
        <f t="shared" si="1"/>
        <v>0.43555555555555558</v>
      </c>
      <c r="G14" s="287">
        <v>3555.5555555555552</v>
      </c>
      <c r="H14" s="287">
        <v>439111.11111111112</v>
      </c>
      <c r="I14" s="286">
        <v>99.190283400809719</v>
      </c>
      <c r="J14" s="287">
        <v>46000</v>
      </c>
      <c r="K14" s="287">
        <v>10000</v>
      </c>
      <c r="L14" s="292">
        <v>56000.000000000007</v>
      </c>
      <c r="M14" s="286">
        <v>82.142857142857139</v>
      </c>
      <c r="N14" s="286">
        <v>10.000000000000002</v>
      </c>
      <c r="O14" s="288">
        <f t="shared" ref="O14:O29" si="9">N14/H14*1000000</f>
        <v>22.773279352226727</v>
      </c>
      <c r="P14" s="287">
        <f t="shared" ref="P14:P29" si="10">(N14-2.857)/0.0006783</f>
        <v>10530.73861123397</v>
      </c>
      <c r="Q14" s="286">
        <f t="shared" ref="Q14:Q29" si="11">E14/(E14+P14)*100</f>
        <v>97.639304603405591</v>
      </c>
      <c r="R14" s="288">
        <f>4*PI()*(AA14/2)*(AA14/2)*Z14/1000000</f>
        <v>80.809394382057363</v>
      </c>
      <c r="S14" s="288">
        <f>4*PI()*(14.7824/2)*(14.7824/2)*L14/1000000</f>
        <v>38.443931896901148</v>
      </c>
      <c r="T14" s="288">
        <f t="shared" ref="T14:T45" si="12">R14+S14</f>
        <v>119.25332627895851</v>
      </c>
      <c r="U14" s="288"/>
      <c r="V14" s="286">
        <f t="shared" ref="V14:V45" si="13">L14/H14*100</f>
        <v>12.753036437246964</v>
      </c>
      <c r="W14" s="288"/>
      <c r="X14" s="288"/>
      <c r="Y14" s="287">
        <f t="shared" si="2"/>
        <v>0</v>
      </c>
      <c r="Z14" s="289">
        <v>5966.666666666667</v>
      </c>
      <c r="AA14" s="288">
        <v>65.658370689655243</v>
      </c>
      <c r="AB14" s="287">
        <f t="shared" ref="AB14:AB45" si="14">H14-L14</f>
        <v>383111.11111111112</v>
      </c>
      <c r="AC14" s="286">
        <f t="shared" ref="AC14:AC45" si="15">AB14/Z14</f>
        <v>64.208566108007446</v>
      </c>
      <c r="AD14" s="321">
        <v>1.9731399999999999</v>
      </c>
      <c r="AE14" s="321">
        <f t="shared" si="3"/>
        <v>10.952396811652122</v>
      </c>
      <c r="AF14" s="322">
        <f>((AE6-AE14)/$E14)/24*1000000</f>
        <v>6.8600197855735887E-2</v>
      </c>
      <c r="AG14" s="321">
        <v>1.9990300000000001</v>
      </c>
      <c r="AH14" s="322">
        <f>((AG6-AG14)/$E14)/24*1000000*(-1)</f>
        <v>8.8879783163265322E-2</v>
      </c>
      <c r="AI14" s="321">
        <v>2.27799</v>
      </c>
      <c r="AJ14" s="322">
        <f>((AI6-AI14)/$E14)/24*1000000*(-1)</f>
        <v>0.21767028061224489</v>
      </c>
      <c r="AK14" s="321">
        <v>3.7417799999999999</v>
      </c>
      <c r="AL14" s="322">
        <f>((AK6-AK14)/$E14)/24*1000000</f>
        <v>0.11629017857142855</v>
      </c>
      <c r="AM14" s="285">
        <f>AE6-AE14</f>
        <v>0.7171007349186258</v>
      </c>
      <c r="AN14" s="285"/>
      <c r="AO14" s="285">
        <f>AG14-AG6</f>
        <v>0.92909000000000019</v>
      </c>
      <c r="AP14" s="285"/>
      <c r="AQ14" s="285">
        <f>AI14-AI6</f>
        <v>2.2753800000000002</v>
      </c>
      <c r="AR14" s="285"/>
      <c r="AS14" s="285">
        <f>AK6-AK14</f>
        <v>1.2156199999999999</v>
      </c>
    </row>
    <row r="15" spans="1:146" s="284" customFormat="1" x14ac:dyDescent="0.3">
      <c r="A15" s="875"/>
      <c r="B15" s="290" t="s">
        <v>100</v>
      </c>
      <c r="C15" s="287">
        <v>0</v>
      </c>
      <c r="D15" s="286">
        <f t="shared" si="8"/>
        <v>-7.5362319772431366E-2</v>
      </c>
      <c r="E15" s="287">
        <v>278222.22222222219</v>
      </c>
      <c r="F15" s="286">
        <f t="shared" si="1"/>
        <v>0.2782222222222222</v>
      </c>
      <c r="G15" s="287">
        <v>1777.7777777777776</v>
      </c>
      <c r="H15" s="287">
        <v>280000</v>
      </c>
      <c r="I15" s="286">
        <v>99.365079365079382</v>
      </c>
      <c r="J15" s="291">
        <v>38000</v>
      </c>
      <c r="K15" s="291">
        <v>14000.000000000002</v>
      </c>
      <c r="L15" s="287">
        <v>52000</v>
      </c>
      <c r="M15" s="286">
        <v>73.076923076923066</v>
      </c>
      <c r="N15" s="286">
        <v>6.1662531017369737</v>
      </c>
      <c r="O15" s="288">
        <f t="shared" si="9"/>
        <v>22.022332506203476</v>
      </c>
      <c r="P15" s="287">
        <f t="shared" si="10"/>
        <v>4878.7455428821668</v>
      </c>
      <c r="Q15" s="286">
        <f t="shared" si="11"/>
        <v>98.276676487051006</v>
      </c>
      <c r="R15" s="288">
        <f t="shared" ref="R15:R29" si="16">4*PI()*(AA15/2)*(AA15/2)*Z15/1000000</f>
        <v>83.66982341156826</v>
      </c>
      <c r="S15" s="288">
        <f t="shared" ref="S15:S45" si="17">4*PI()*(14.7824/2)*(14.7824/2)*L15/1000000</f>
        <v>35.697936761408201</v>
      </c>
      <c r="T15" s="288">
        <f t="shared" si="12"/>
        <v>119.36776017297646</v>
      </c>
      <c r="U15" s="288"/>
      <c r="V15" s="286">
        <f t="shared" si="13"/>
        <v>18.571428571428573</v>
      </c>
      <c r="W15" s="288"/>
      <c r="X15" s="288"/>
      <c r="Y15" s="287">
        <f t="shared" si="2"/>
        <v>0</v>
      </c>
      <c r="Z15" s="289">
        <v>5644.4444444444453</v>
      </c>
      <c r="AA15" s="288">
        <v>68.690849673202635</v>
      </c>
      <c r="AB15" s="287">
        <f t="shared" si="14"/>
        <v>228000</v>
      </c>
      <c r="AC15" s="286">
        <f t="shared" si="15"/>
        <v>40.393700787401571</v>
      </c>
      <c r="AD15" s="321">
        <v>1.8884099999999999</v>
      </c>
      <c r="AE15" s="321">
        <f t="shared" si="3"/>
        <v>10.482082195430626</v>
      </c>
      <c r="AF15" s="322">
        <f>((AE7-AE15)/$E15)/24*1000000</f>
        <v>0.1778277782258568</v>
      </c>
      <c r="AG15" s="321">
        <v>1.7203999999999999</v>
      </c>
      <c r="AH15" s="322">
        <f>((AG7-AG15)/$E15)/24*1000000*(-1)</f>
        <v>9.7413138977635802E-2</v>
      </c>
      <c r="AI15" s="321">
        <v>2.3286799999999999</v>
      </c>
      <c r="AJ15" s="322">
        <f>((AI7-AI15)/$E15)/24*1000000*(-1)</f>
        <v>0.34835313498402559</v>
      </c>
      <c r="AK15" s="321">
        <v>3.7387800000000002</v>
      </c>
      <c r="AL15" s="322">
        <f>((AK7-AK15)/$E15)/24*1000000</f>
        <v>0.18250099840255588</v>
      </c>
      <c r="AM15" s="285">
        <f>AE7-AE15</f>
        <v>1.1874153511401211</v>
      </c>
      <c r="AN15" s="285"/>
      <c r="AO15" s="285">
        <f>AG15-AG7</f>
        <v>0.65046000000000004</v>
      </c>
      <c r="AP15" s="285"/>
      <c r="AQ15" s="285">
        <f>AI15-AI7</f>
        <v>2.3260700000000001</v>
      </c>
      <c r="AR15" s="285"/>
      <c r="AS15" s="285">
        <f>AK7-AK15</f>
        <v>1.2186199999999996</v>
      </c>
    </row>
    <row r="16" spans="1:146" s="284" customFormat="1" x14ac:dyDescent="0.3">
      <c r="A16" s="875"/>
      <c r="B16" s="290" t="s">
        <v>99</v>
      </c>
      <c r="C16" s="287">
        <v>0</v>
      </c>
      <c r="D16" s="286">
        <f t="shared" si="8"/>
        <v>-9.1465727339010372E-2</v>
      </c>
      <c r="E16" s="287">
        <v>273777.77777777769</v>
      </c>
      <c r="F16" s="286">
        <f t="shared" si="1"/>
        <v>0.27377777777777768</v>
      </c>
      <c r="G16" s="287">
        <v>3555.5555555555552</v>
      </c>
      <c r="H16" s="287">
        <v>277333.33333333331</v>
      </c>
      <c r="I16" s="286">
        <v>98.717948717948715</v>
      </c>
      <c r="J16" s="291">
        <v>42000</v>
      </c>
      <c r="K16" s="291">
        <v>3000</v>
      </c>
      <c r="L16" s="287">
        <v>45000</v>
      </c>
      <c r="M16" s="286">
        <v>93.333333333333329</v>
      </c>
      <c r="N16" s="286">
        <v>7.844611528822055</v>
      </c>
      <c r="O16" s="288">
        <f t="shared" si="9"/>
        <v>28.285858877964142</v>
      </c>
      <c r="P16" s="287">
        <f t="shared" si="10"/>
        <v>7353.1056005042828</v>
      </c>
      <c r="Q16" s="286">
        <f t="shared" si="11"/>
        <v>97.384454702328043</v>
      </c>
      <c r="R16" s="288">
        <f t="shared" si="16"/>
        <v>159.86044936287823</v>
      </c>
      <c r="S16" s="288">
        <f t="shared" si="17"/>
        <v>30.892445274295557</v>
      </c>
      <c r="T16" s="288">
        <f t="shared" si="12"/>
        <v>190.7528946371738</v>
      </c>
      <c r="U16" s="288"/>
      <c r="V16" s="286">
        <f t="shared" si="13"/>
        <v>16.22596153846154</v>
      </c>
      <c r="W16" s="288"/>
      <c r="X16" s="288"/>
      <c r="Y16" s="287">
        <f t="shared" si="2"/>
        <v>0</v>
      </c>
      <c r="Z16" s="289">
        <v>8850</v>
      </c>
      <c r="AA16" s="288">
        <v>75.827012048192756</v>
      </c>
      <c r="AB16" s="287">
        <f t="shared" si="14"/>
        <v>232333.33333333331</v>
      </c>
      <c r="AC16" s="286">
        <f t="shared" si="15"/>
        <v>26.252354048964218</v>
      </c>
      <c r="AD16" s="321">
        <v>2.0310199999999998</v>
      </c>
      <c r="AE16" s="321">
        <f t="shared" si="3"/>
        <v>11.273673927041008</v>
      </c>
      <c r="AF16" s="322">
        <f>((AE8-AE16)/$E16)/24*1000000</f>
        <v>0.14102699197492052</v>
      </c>
      <c r="AG16" s="321">
        <v>1.32826</v>
      </c>
      <c r="AH16" s="322">
        <f>((AG8-AG16)/$E16)/24*1000000*(-1)</f>
        <v>0.19760095373376632</v>
      </c>
      <c r="AI16" s="321">
        <v>1.53616</v>
      </c>
      <c r="AJ16" s="322">
        <f>((AI8-AI16)/$E16)/24*1000000*(-1)</f>
        <v>0.23379058441558445</v>
      </c>
      <c r="AK16" s="321">
        <v>3.9981999999999998</v>
      </c>
      <c r="AL16" s="322">
        <f>((AK8-AK16)/$E16)/24*1000000</f>
        <v>1.9045251623376634E-2</v>
      </c>
      <c r="AM16" s="285">
        <f>AE8-AE16</f>
        <v>0.92664135526987756</v>
      </c>
      <c r="AN16" s="285"/>
      <c r="AO16" s="285">
        <f>AG16-AG8</f>
        <v>1.29837</v>
      </c>
      <c r="AP16" s="285"/>
      <c r="AQ16" s="285">
        <f>AI16-AI8</f>
        <v>1.53616</v>
      </c>
      <c r="AR16" s="285"/>
      <c r="AS16" s="285">
        <f>AK8-AK16</f>
        <v>0.12514000000000003</v>
      </c>
      <c r="AT16" s="285"/>
    </row>
    <row r="17" spans="1:46" s="284" customFormat="1" x14ac:dyDescent="0.3">
      <c r="A17" s="875"/>
      <c r="B17" s="290" t="s">
        <v>98</v>
      </c>
      <c r="C17" s="287">
        <f>E17-300000</f>
        <v>16444.444444444438</v>
      </c>
      <c r="D17" s="286">
        <f t="shared" si="8"/>
        <v>5.3365220539446E-2</v>
      </c>
      <c r="E17" s="287">
        <v>316444.44444444444</v>
      </c>
      <c r="F17" s="286">
        <f t="shared" si="1"/>
        <v>0.31644444444444442</v>
      </c>
      <c r="G17" s="287">
        <v>8000</v>
      </c>
      <c r="H17" s="287">
        <v>324444.44444444444</v>
      </c>
      <c r="I17" s="286">
        <v>97.534246575342465</v>
      </c>
      <c r="J17" s="287">
        <v>66000</v>
      </c>
      <c r="K17" s="287">
        <v>3000</v>
      </c>
      <c r="L17" s="287">
        <v>69000</v>
      </c>
      <c r="M17" s="286">
        <v>95.652173913043484</v>
      </c>
      <c r="N17" s="286">
        <v>12.431077694235588</v>
      </c>
      <c r="O17" s="288">
        <f t="shared" si="9"/>
        <v>38.314965495931609</v>
      </c>
      <c r="P17" s="287">
        <f t="shared" si="10"/>
        <v>14114.813053568609</v>
      </c>
      <c r="Q17" s="286">
        <f t="shared" si="11"/>
        <v>95.730020341767784</v>
      </c>
      <c r="R17" s="288">
        <f t="shared" si="16"/>
        <v>101.12567459930365</v>
      </c>
      <c r="S17" s="288">
        <f t="shared" si="17"/>
        <v>47.368416087253188</v>
      </c>
      <c r="T17" s="288">
        <f t="shared" si="12"/>
        <v>148.49409068655683</v>
      </c>
      <c r="U17" s="288"/>
      <c r="V17" s="286">
        <f t="shared" si="13"/>
        <v>21.267123287671232</v>
      </c>
      <c r="W17" s="288"/>
      <c r="X17" s="288"/>
      <c r="Y17" s="287">
        <f t="shared" si="2"/>
        <v>0</v>
      </c>
      <c r="Z17" s="289">
        <v>6066.6666666666661</v>
      </c>
      <c r="AA17" s="288">
        <v>72.841807339449531</v>
      </c>
      <c r="AB17" s="287">
        <f t="shared" si="14"/>
        <v>255444.44444444444</v>
      </c>
      <c r="AC17" s="286">
        <f t="shared" si="15"/>
        <v>42.106227106227109</v>
      </c>
      <c r="AD17" s="127" t="s">
        <v>79</v>
      </c>
      <c r="AE17" s="127" t="s">
        <v>79</v>
      </c>
      <c r="AF17" s="127" t="s">
        <v>79</v>
      </c>
      <c r="AG17" s="127" t="s">
        <v>79</v>
      </c>
      <c r="AH17" s="127" t="s">
        <v>79</v>
      </c>
      <c r="AI17" s="127" t="s">
        <v>79</v>
      </c>
      <c r="AJ17" s="127" t="s">
        <v>79</v>
      </c>
      <c r="AK17" s="127" t="s">
        <v>79</v>
      </c>
      <c r="AL17" s="127" t="s">
        <v>79</v>
      </c>
      <c r="AM17" s="127" t="s">
        <v>79</v>
      </c>
      <c r="AN17" s="285"/>
      <c r="AO17" s="127" t="s">
        <v>79</v>
      </c>
      <c r="AP17" s="285"/>
      <c r="AQ17" s="127" t="s">
        <v>79</v>
      </c>
      <c r="AR17" s="285"/>
      <c r="AS17" s="127" t="s">
        <v>79</v>
      </c>
      <c r="AT17" s="285"/>
    </row>
    <row r="18" spans="1:46" s="284" customFormat="1" x14ac:dyDescent="0.3">
      <c r="A18" s="875"/>
      <c r="B18" s="290" t="s">
        <v>97</v>
      </c>
      <c r="C18" s="287">
        <f>E18-300000</f>
        <v>26222.222222222248</v>
      </c>
      <c r="D18" s="286">
        <f t="shared" si="8"/>
        <v>8.379633774198593E-2</v>
      </c>
      <c r="E18" s="287">
        <v>326222.22222222225</v>
      </c>
      <c r="F18" s="286">
        <f t="shared" si="1"/>
        <v>0.32622222222222225</v>
      </c>
      <c r="G18" s="287">
        <v>12444.444444444445</v>
      </c>
      <c r="H18" s="287">
        <v>338666.66666666663</v>
      </c>
      <c r="I18" s="286">
        <v>96.325459317585299</v>
      </c>
      <c r="J18" s="287">
        <v>55000.000000000007</v>
      </c>
      <c r="K18" s="287">
        <v>10000</v>
      </c>
      <c r="L18" s="287">
        <v>65000</v>
      </c>
      <c r="M18" s="286">
        <v>84.615384615384613</v>
      </c>
      <c r="N18" s="286">
        <v>7.1108433734939753</v>
      </c>
      <c r="O18" s="288">
        <f t="shared" si="9"/>
        <v>20.996584764253864</v>
      </c>
      <c r="P18" s="287">
        <f t="shared" si="10"/>
        <v>6271.3303457083521</v>
      </c>
      <c r="Q18" s="286">
        <f t="shared" si="11"/>
        <v>98.113849036387833</v>
      </c>
      <c r="R18" s="288">
        <f t="shared" si="16"/>
        <v>145.66633962195408</v>
      </c>
      <c r="S18" s="288">
        <f t="shared" si="17"/>
        <v>44.622420951760247</v>
      </c>
      <c r="T18" s="288">
        <f t="shared" si="12"/>
        <v>190.28876057371434</v>
      </c>
      <c r="U18" s="288"/>
      <c r="V18" s="286">
        <f t="shared" si="13"/>
        <v>19.192913385826774</v>
      </c>
      <c r="W18" s="288"/>
      <c r="X18" s="288"/>
      <c r="Y18" s="287">
        <f t="shared" si="2"/>
        <v>0</v>
      </c>
      <c r="Z18" s="289">
        <v>7533.3333333333339</v>
      </c>
      <c r="AA18" s="288">
        <v>78.453274509803947</v>
      </c>
      <c r="AB18" s="287">
        <f t="shared" si="14"/>
        <v>273666.66666666663</v>
      </c>
      <c r="AC18" s="286">
        <f t="shared" si="15"/>
        <v>36.327433628318573</v>
      </c>
      <c r="AD18" s="321">
        <v>1.8791599999999999</v>
      </c>
      <c r="AE18" s="321">
        <f t="shared" ref="AE18:AE29" si="18">AD18/180.156*1000</f>
        <v>10.430737805013431</v>
      </c>
      <c r="AF18" s="322">
        <f t="shared" ref="AF18:AF24" si="19">((AE10-AE18)/$E18)/24*1000000</f>
        <v>0.12755038957154521</v>
      </c>
      <c r="AG18" s="321">
        <v>1.5327599999999999</v>
      </c>
      <c r="AH18" s="322">
        <f t="shared" ref="AH18:AH24" si="20">((AG10-AG18)/$E18)/24*1000000*(-1)</f>
        <v>3.7512772479564006E-2</v>
      </c>
      <c r="AI18" s="321">
        <v>2.24587</v>
      </c>
      <c r="AJ18" s="322">
        <f t="shared" ref="AJ18:AJ24" si="21">((AI10-AI18)/$E18)/24*1000000*(-1)</f>
        <v>0.2859822036784741</v>
      </c>
      <c r="AK18" s="321">
        <v>4.0599499999999997</v>
      </c>
      <c r="AL18" s="322">
        <f t="shared" ref="AL18:AL24" si="22">((AK10-AK18)/$E18)/24*1000000</f>
        <v>4.4647479564032734E-2</v>
      </c>
      <c r="AM18" s="285">
        <f>AE10-AE18</f>
        <v>0.99863451675215131</v>
      </c>
      <c r="AN18" s="285"/>
      <c r="AO18" s="285">
        <f>AG18-AG10</f>
        <v>0.29369999999999985</v>
      </c>
      <c r="AP18" s="285"/>
      <c r="AQ18" s="285">
        <f>AI18-AI10</f>
        <v>2.2390500000000002</v>
      </c>
      <c r="AR18" s="285"/>
      <c r="AS18" s="285">
        <f>AK10-AK18</f>
        <v>0.34956000000000031</v>
      </c>
      <c r="AT18" s="285"/>
    </row>
    <row r="19" spans="1:46" s="284" customFormat="1" x14ac:dyDescent="0.3">
      <c r="A19" s="875"/>
      <c r="B19" s="290" t="s">
        <v>96</v>
      </c>
      <c r="C19" s="287">
        <v>0</v>
      </c>
      <c r="D19" s="286">
        <f t="shared" si="8"/>
        <v>-1.6430541396096152E-2</v>
      </c>
      <c r="E19" s="287">
        <v>295111.11111111107</v>
      </c>
      <c r="F19" s="286">
        <f t="shared" si="1"/>
        <v>0.29511111111111105</v>
      </c>
      <c r="G19" s="287">
        <v>18666.666666666668</v>
      </c>
      <c r="H19" s="287">
        <v>313777.77777777775</v>
      </c>
      <c r="I19" s="286">
        <v>94.050991501416419</v>
      </c>
      <c r="J19" s="287">
        <v>49000</v>
      </c>
      <c r="K19" s="287">
        <v>3000</v>
      </c>
      <c r="L19" s="287">
        <v>52000</v>
      </c>
      <c r="M19" s="286">
        <v>94.230769230769226</v>
      </c>
      <c r="N19" s="286">
        <v>7.6891566265060245</v>
      </c>
      <c r="O19" s="288">
        <f t="shared" si="9"/>
        <v>24.505102563227418</v>
      </c>
      <c r="P19" s="287">
        <f t="shared" si="10"/>
        <v>7123.9224922689436</v>
      </c>
      <c r="Q19" s="286">
        <f t="shared" si="11"/>
        <v>97.64291968163505</v>
      </c>
      <c r="R19" s="288">
        <f t="shared" si="16"/>
        <v>159.72187031171691</v>
      </c>
      <c r="S19" s="288">
        <f t="shared" si="17"/>
        <v>35.697936761408201</v>
      </c>
      <c r="T19" s="288">
        <f t="shared" si="12"/>
        <v>195.41980707312513</v>
      </c>
      <c r="U19" s="288"/>
      <c r="V19" s="286">
        <f t="shared" si="13"/>
        <v>16.572237960339944</v>
      </c>
      <c r="W19" s="288"/>
      <c r="X19" s="288"/>
      <c r="Y19" s="287">
        <f t="shared" si="2"/>
        <v>0</v>
      </c>
      <c r="Z19" s="289">
        <v>7440</v>
      </c>
      <c r="AA19" s="288">
        <v>82.664832369942189</v>
      </c>
      <c r="AB19" s="287">
        <f t="shared" si="14"/>
        <v>261777.77777777775</v>
      </c>
      <c r="AC19" s="286">
        <f t="shared" si="15"/>
        <v>35.185185185185183</v>
      </c>
      <c r="AD19" s="321">
        <v>1.89297</v>
      </c>
      <c r="AE19" s="321">
        <f t="shared" si="18"/>
        <v>10.507393592220076</v>
      </c>
      <c r="AF19" s="322">
        <f t="shared" si="19"/>
        <v>0.1301739546609807</v>
      </c>
      <c r="AG19" s="321">
        <v>1.4131100000000001</v>
      </c>
      <c r="AH19" s="322">
        <f t="shared" si="20"/>
        <v>2.4574077560240975E-2</v>
      </c>
      <c r="AI19" s="321">
        <v>2.3103899999999999</v>
      </c>
      <c r="AJ19" s="322">
        <f t="shared" si="21"/>
        <v>0.32524049322289161</v>
      </c>
      <c r="AK19" s="321">
        <v>3.7983099999999999</v>
      </c>
      <c r="AL19" s="322">
        <f t="shared" si="22"/>
        <v>8.6295180722891593E-2</v>
      </c>
      <c r="AM19" s="285">
        <f>AE11-AE19</f>
        <v>0.92197872954550597</v>
      </c>
      <c r="AN19" s="285"/>
      <c r="AO19" s="285">
        <f>AG19-AG11</f>
        <v>0.17405000000000004</v>
      </c>
      <c r="AP19" s="285"/>
      <c r="AQ19" s="285">
        <f>AI19-AI11</f>
        <v>2.3035700000000001</v>
      </c>
      <c r="AR19" s="285"/>
      <c r="AS19" s="285">
        <f>AK11-AK19</f>
        <v>0.61120000000000019</v>
      </c>
      <c r="AT19" s="285"/>
    </row>
    <row r="20" spans="1:46" s="284" customFormat="1" x14ac:dyDescent="0.3">
      <c r="A20" s="875"/>
      <c r="B20" s="290" t="s">
        <v>95</v>
      </c>
      <c r="C20" s="287">
        <f>E20-300000</f>
        <v>30666.666666666628</v>
      </c>
      <c r="D20" s="286">
        <f t="shared" si="8"/>
        <v>9.7328343960561836E-2</v>
      </c>
      <c r="E20" s="287">
        <v>330666.66666666663</v>
      </c>
      <c r="F20" s="286">
        <f t="shared" si="1"/>
        <v>0.33066666666666661</v>
      </c>
      <c r="G20" s="287">
        <v>9777.7777777777774</v>
      </c>
      <c r="H20" s="287">
        <v>340444.44444444438</v>
      </c>
      <c r="I20" s="286">
        <v>97.127937336814625</v>
      </c>
      <c r="J20" s="287">
        <v>80000</v>
      </c>
      <c r="K20" s="287">
        <v>13000</v>
      </c>
      <c r="L20" s="287">
        <v>93000</v>
      </c>
      <c r="M20" s="286">
        <v>86.021505376344081</v>
      </c>
      <c r="N20" s="286">
        <v>8.4285714285714288</v>
      </c>
      <c r="O20" s="288">
        <f t="shared" si="9"/>
        <v>24.757553151809031</v>
      </c>
      <c r="P20" s="287">
        <f t="shared" si="10"/>
        <v>8214.0224510856988</v>
      </c>
      <c r="Q20" s="286">
        <f t="shared" si="11"/>
        <v>97.576131448366027</v>
      </c>
      <c r="R20" s="288">
        <f t="shared" si="16"/>
        <v>132.52079500501455</v>
      </c>
      <c r="S20" s="288">
        <f t="shared" si="17"/>
        <v>63.844386900210822</v>
      </c>
      <c r="T20" s="288">
        <f t="shared" si="12"/>
        <v>196.36518190522537</v>
      </c>
      <c r="U20" s="288"/>
      <c r="V20" s="286">
        <f t="shared" si="13"/>
        <v>27.317232375979117</v>
      </c>
      <c r="W20" s="288">
        <v>238</v>
      </c>
      <c r="X20" s="288"/>
      <c r="Y20" s="287">
        <f t="shared" si="2"/>
        <v>81025777.777777761</v>
      </c>
      <c r="Z20" s="289">
        <v>7916.666666666667</v>
      </c>
      <c r="AA20" s="288">
        <v>72.995468503937005</v>
      </c>
      <c r="AB20" s="287">
        <f t="shared" si="14"/>
        <v>247444.44444444438</v>
      </c>
      <c r="AC20" s="286">
        <f t="shared" si="15"/>
        <v>31.256140350877185</v>
      </c>
      <c r="AD20" s="321">
        <v>1.8574999999999999</v>
      </c>
      <c r="AE20" s="321">
        <f t="shared" si="18"/>
        <v>10.310508670263548</v>
      </c>
      <c r="AF20" s="322">
        <f t="shared" si="19"/>
        <v>0.20739054602498641</v>
      </c>
      <c r="AG20" s="321">
        <v>1.20729</v>
      </c>
      <c r="AH20" s="322">
        <f t="shared" si="20"/>
        <v>6.1742691532258066E-2</v>
      </c>
      <c r="AI20" s="321">
        <v>1.52075</v>
      </c>
      <c r="AJ20" s="322">
        <f t="shared" si="21"/>
        <v>0.1889364919354839</v>
      </c>
      <c r="AK20" s="321">
        <v>4.0085699999999997</v>
      </c>
      <c r="AL20" s="322">
        <f t="shared" si="22"/>
        <v>0.11020413306451614</v>
      </c>
      <c r="AM20" s="285">
        <f>AE12-AE20</f>
        <v>1.6458513732542919</v>
      </c>
      <c r="AN20" s="285"/>
      <c r="AO20" s="285">
        <f>AG20-AG12</f>
        <v>0.48998999999999993</v>
      </c>
      <c r="AP20" s="285"/>
      <c r="AQ20" s="285">
        <f>AI20-AI12</f>
        <v>1.4994000000000001</v>
      </c>
      <c r="AR20" s="285"/>
      <c r="AS20" s="285">
        <f>AK12-AK20</f>
        <v>0.87457999999999991</v>
      </c>
      <c r="AT20" s="285"/>
    </row>
    <row r="21" spans="1:46" s="284" customFormat="1" x14ac:dyDescent="0.3">
      <c r="A21" s="875"/>
      <c r="B21" s="290" t="s">
        <v>94</v>
      </c>
      <c r="C21" s="287">
        <f>E21-300000</f>
        <v>61777.777777777694</v>
      </c>
      <c r="D21" s="286">
        <f t="shared" si="8"/>
        <v>0.18724767513001023</v>
      </c>
      <c r="E21" s="287">
        <v>361777.77777777769</v>
      </c>
      <c r="F21" s="286">
        <f t="shared" si="1"/>
        <v>0.3617777777777777</v>
      </c>
      <c r="G21" s="287">
        <v>13333.333333333332</v>
      </c>
      <c r="H21" s="287">
        <v>375111.11111111107</v>
      </c>
      <c r="I21" s="286">
        <v>96.445497630331758</v>
      </c>
      <c r="J21" s="287">
        <v>73000</v>
      </c>
      <c r="K21" s="287">
        <v>5000</v>
      </c>
      <c r="L21" s="287">
        <v>78000</v>
      </c>
      <c r="M21" s="286">
        <v>93.589743589743591</v>
      </c>
      <c r="N21" s="286">
        <v>8.4285714285714288</v>
      </c>
      <c r="O21" s="288">
        <f t="shared" si="9"/>
        <v>22.469532836831419</v>
      </c>
      <c r="P21" s="287">
        <f t="shared" si="10"/>
        <v>8214.0224510856988</v>
      </c>
      <c r="Q21" s="286">
        <f t="shared" si="11"/>
        <v>97.779944732287376</v>
      </c>
      <c r="R21" s="288">
        <f t="shared" si="16"/>
        <v>127.89106679528902</v>
      </c>
      <c r="S21" s="288">
        <f t="shared" si="17"/>
        <v>53.546905142112301</v>
      </c>
      <c r="T21" s="288">
        <f t="shared" si="12"/>
        <v>181.43797193740133</v>
      </c>
      <c r="U21" s="288"/>
      <c r="V21" s="286">
        <f t="shared" si="13"/>
        <v>20.793838862559245</v>
      </c>
      <c r="W21" s="288">
        <v>238</v>
      </c>
      <c r="X21" s="288"/>
      <c r="Y21" s="287">
        <f t="shared" si="2"/>
        <v>89276444.444444433</v>
      </c>
      <c r="Z21" s="289">
        <v>7283.333333333333</v>
      </c>
      <c r="AA21" s="288">
        <v>74.761856164383616</v>
      </c>
      <c r="AB21" s="287">
        <f t="shared" si="14"/>
        <v>297111.11111111107</v>
      </c>
      <c r="AC21" s="286">
        <f t="shared" si="15"/>
        <v>40.79328756674294</v>
      </c>
      <c r="AD21" s="321">
        <v>1.95421</v>
      </c>
      <c r="AE21" s="321">
        <f t="shared" si="18"/>
        <v>10.847321210506449</v>
      </c>
      <c r="AF21" s="322">
        <f t="shared" si="19"/>
        <v>0.12773020957594344</v>
      </c>
      <c r="AG21" s="321">
        <v>1.31023</v>
      </c>
      <c r="AH21" s="322">
        <f t="shared" si="20"/>
        <v>6.8288928132678145E-2</v>
      </c>
      <c r="AI21" s="321">
        <v>1.7388300000000001</v>
      </c>
      <c r="AJ21" s="322">
        <f t="shared" si="21"/>
        <v>0.19780558968058976</v>
      </c>
      <c r="AK21" s="321">
        <v>4.0258200000000004</v>
      </c>
      <c r="AL21" s="322">
        <f t="shared" si="22"/>
        <v>9.8740402334152266E-2</v>
      </c>
      <c r="AM21" s="285">
        <f>AE13-AE21</f>
        <v>1.1090388330113914</v>
      </c>
      <c r="AN21" s="285"/>
      <c r="AO21" s="285">
        <f>AG21-AG13</f>
        <v>0.59292999999999996</v>
      </c>
      <c r="AP21" s="285"/>
      <c r="AQ21" s="285">
        <f>AI21-AI13</f>
        <v>1.7174800000000001</v>
      </c>
      <c r="AR21" s="285"/>
      <c r="AS21" s="285">
        <f>AK13-AK21</f>
        <v>0.85732999999999926</v>
      </c>
      <c r="AT21" s="285"/>
    </row>
    <row r="22" spans="1:46" s="273" customFormat="1" x14ac:dyDescent="0.3">
      <c r="A22" s="876" t="s">
        <v>78</v>
      </c>
      <c r="B22" s="280" t="s">
        <v>101</v>
      </c>
      <c r="C22" s="276">
        <v>0</v>
      </c>
      <c r="D22" s="275">
        <f t="shared" si="8"/>
        <v>-1.9447134935521776E-2</v>
      </c>
      <c r="E22" s="276">
        <v>294222.22222222219</v>
      </c>
      <c r="F22" s="275">
        <f t="shared" si="1"/>
        <v>0.29422222222222216</v>
      </c>
      <c r="G22" s="276">
        <v>5333.333333333333</v>
      </c>
      <c r="H22" s="276">
        <v>299555.55555555556</v>
      </c>
      <c r="I22" s="275">
        <v>98.219584569732945</v>
      </c>
      <c r="J22" s="276">
        <v>26000</v>
      </c>
      <c r="K22" s="276">
        <v>18000</v>
      </c>
      <c r="L22" s="283">
        <v>44000</v>
      </c>
      <c r="M22" s="275">
        <v>59.090909090909093</v>
      </c>
      <c r="N22" s="275">
        <v>20.645161290322584</v>
      </c>
      <c r="O22" s="279">
        <f t="shared" si="9"/>
        <v>68.919306978079845</v>
      </c>
      <c r="P22" s="276">
        <f t="shared" si="10"/>
        <v>26224.622276754511</v>
      </c>
      <c r="Q22" s="275">
        <f t="shared" si="11"/>
        <v>91.816233260852641</v>
      </c>
      <c r="R22" s="277">
        <f t="shared" si="16"/>
        <v>91.966994303027647</v>
      </c>
      <c r="S22" s="277">
        <f t="shared" si="17"/>
        <v>30.205946490422324</v>
      </c>
      <c r="T22" s="277">
        <f t="shared" si="12"/>
        <v>122.17294079344997</v>
      </c>
      <c r="U22" s="277"/>
      <c r="V22" s="275">
        <f t="shared" si="13"/>
        <v>14.688427299703264</v>
      </c>
      <c r="W22" s="277"/>
      <c r="X22" s="277"/>
      <c r="Y22" s="276">
        <f t="shared" si="2"/>
        <v>0</v>
      </c>
      <c r="Z22" s="281">
        <v>3366.6666666666665</v>
      </c>
      <c r="AA22" s="277">
        <v>93.248316666666682</v>
      </c>
      <c r="AB22" s="276">
        <f t="shared" si="14"/>
        <v>255555.55555555556</v>
      </c>
      <c r="AC22" s="275">
        <f t="shared" si="15"/>
        <v>75.907590759075916</v>
      </c>
      <c r="AD22" s="323">
        <v>1.7124900000000001</v>
      </c>
      <c r="AE22" s="323">
        <f t="shared" si="18"/>
        <v>9.5055951508692456</v>
      </c>
      <c r="AF22" s="327">
        <f t="shared" si="19"/>
        <v>0.20489071857763544</v>
      </c>
      <c r="AG22" s="323">
        <v>2.3655400000000002</v>
      </c>
      <c r="AH22" s="327">
        <f t="shared" si="20"/>
        <v>5.1903795317220565E-2</v>
      </c>
      <c r="AI22" s="323">
        <v>3.3361299999999998</v>
      </c>
      <c r="AJ22" s="327">
        <f t="shared" si="21"/>
        <v>0.14984988670694865</v>
      </c>
      <c r="AK22" s="323">
        <v>3.0694499999999998</v>
      </c>
      <c r="AL22" s="327">
        <f t="shared" si="22"/>
        <v>9.5212896525679797E-2</v>
      </c>
      <c r="AM22" s="274">
        <f t="shared" ref="AM22:AM29" si="23">AE6-AE22</f>
        <v>2.163902395701502</v>
      </c>
      <c r="AN22" s="274"/>
      <c r="AO22" s="274">
        <f t="shared" ref="AO22:AO29" si="24">AG22-AG6</f>
        <v>1.2956000000000003</v>
      </c>
      <c r="AP22" s="274"/>
      <c r="AQ22" s="274">
        <f t="shared" ref="AQ22:AQ29" si="25">AI22-AI6</f>
        <v>3.33352</v>
      </c>
      <c r="AR22" s="274"/>
      <c r="AS22" s="274">
        <f t="shared" ref="AS22:AS29" si="26">AK6-AK22</f>
        <v>1.88795</v>
      </c>
      <c r="AT22" s="274"/>
    </row>
    <row r="23" spans="1:46" s="273" customFormat="1" x14ac:dyDescent="0.3">
      <c r="A23" s="876"/>
      <c r="B23" s="280" t="s">
        <v>100</v>
      </c>
      <c r="C23" s="276">
        <f>E23-300000</f>
        <v>32444.444444444438</v>
      </c>
      <c r="D23" s="275">
        <f t="shared" si="8"/>
        <v>0.10269028710194739</v>
      </c>
      <c r="E23" s="276">
        <v>332444.44444444444</v>
      </c>
      <c r="F23" s="275">
        <f t="shared" si="1"/>
        <v>0.33244444444444443</v>
      </c>
      <c r="G23" s="276">
        <v>7111.1111111111104</v>
      </c>
      <c r="H23" s="276">
        <v>339555.55555555556</v>
      </c>
      <c r="I23" s="275">
        <v>97.905759162303667</v>
      </c>
      <c r="J23" s="276">
        <v>32000</v>
      </c>
      <c r="K23" s="276">
        <v>22000</v>
      </c>
      <c r="L23" s="282">
        <v>54000</v>
      </c>
      <c r="M23" s="275">
        <v>59.259259259259252</v>
      </c>
      <c r="N23" s="275">
        <v>22.543424317617866</v>
      </c>
      <c r="O23" s="279">
        <f t="shared" si="9"/>
        <v>66.390974757382452</v>
      </c>
      <c r="P23" s="276">
        <f t="shared" si="10"/>
        <v>29023.181951375303</v>
      </c>
      <c r="Q23" s="275">
        <f t="shared" si="11"/>
        <v>91.970738226057918</v>
      </c>
      <c r="R23" s="277">
        <f t="shared" si="16"/>
        <v>74.083475350017736</v>
      </c>
      <c r="S23" s="277">
        <f t="shared" si="17"/>
        <v>37.070934329154667</v>
      </c>
      <c r="T23" s="277">
        <f t="shared" si="12"/>
        <v>111.1544096791724</v>
      </c>
      <c r="U23" s="277"/>
      <c r="V23" s="275">
        <f t="shared" si="13"/>
        <v>15.903141361256544</v>
      </c>
      <c r="W23" s="277"/>
      <c r="X23" s="277"/>
      <c r="Y23" s="276">
        <f t="shared" si="2"/>
        <v>0</v>
      </c>
      <c r="Z23" s="281">
        <v>2844.4444444444439</v>
      </c>
      <c r="AA23" s="277">
        <v>91.051480000000012</v>
      </c>
      <c r="AB23" s="276">
        <f t="shared" si="14"/>
        <v>285555.55555555556</v>
      </c>
      <c r="AC23" s="275">
        <f t="shared" si="15"/>
        <v>100.39062500000003</v>
      </c>
      <c r="AD23" s="323">
        <v>1.66205</v>
      </c>
      <c r="AE23" s="323">
        <f t="shared" si="18"/>
        <v>9.2256155776105153</v>
      </c>
      <c r="AF23" s="327">
        <f t="shared" si="19"/>
        <v>0.15747826927892436</v>
      </c>
      <c r="AG23" s="323">
        <v>2.39594</v>
      </c>
      <c r="AH23" s="327">
        <f t="shared" si="20"/>
        <v>8.46682820855615E-2</v>
      </c>
      <c r="AI23" s="323">
        <v>3.6680899999999999</v>
      </c>
      <c r="AJ23" s="327">
        <f t="shared" si="21"/>
        <v>0.16787391377005348</v>
      </c>
      <c r="AK23" s="323">
        <v>3.24438</v>
      </c>
      <c r="AL23" s="327">
        <f t="shared" si="22"/>
        <v>6.1965240641711258E-2</v>
      </c>
      <c r="AM23" s="274">
        <f t="shared" si="23"/>
        <v>2.4438819689602322</v>
      </c>
      <c r="AN23" s="274"/>
      <c r="AO23" s="274">
        <f t="shared" si="24"/>
        <v>1.3260000000000001</v>
      </c>
      <c r="AP23" s="274"/>
      <c r="AQ23" s="274">
        <f t="shared" si="25"/>
        <v>3.6654800000000001</v>
      </c>
      <c r="AR23" s="274"/>
      <c r="AS23" s="274">
        <f t="shared" si="26"/>
        <v>1.7130199999999998</v>
      </c>
      <c r="AT23" s="274"/>
    </row>
    <row r="24" spans="1:46" s="273" customFormat="1" x14ac:dyDescent="0.3">
      <c r="A24" s="876"/>
      <c r="B24" s="280" t="s">
        <v>99</v>
      </c>
      <c r="C24" s="276">
        <v>0</v>
      </c>
      <c r="D24" s="275">
        <f t="shared" si="8"/>
        <v>-0.13798574297390295</v>
      </c>
      <c r="E24" s="276">
        <v>261333.33333333331</v>
      </c>
      <c r="F24" s="275">
        <f t="shared" si="1"/>
        <v>0.26133333333333331</v>
      </c>
      <c r="G24" s="276">
        <v>8888.8888888888887</v>
      </c>
      <c r="H24" s="276">
        <v>270222.22222222219</v>
      </c>
      <c r="I24" s="275">
        <v>96.71052631578948</v>
      </c>
      <c r="J24" s="276">
        <v>55000.000000000007</v>
      </c>
      <c r="K24" s="276">
        <v>18000</v>
      </c>
      <c r="L24" s="282">
        <v>73000</v>
      </c>
      <c r="M24" s="275">
        <v>75.342465753424676</v>
      </c>
      <c r="N24" s="275">
        <v>21.416040100250626</v>
      </c>
      <c r="O24" s="279">
        <f t="shared" si="9"/>
        <v>79.253437870993281</v>
      </c>
      <c r="P24" s="276">
        <f t="shared" si="10"/>
        <v>27361.108801784798</v>
      </c>
      <c r="Q24" s="275">
        <f t="shared" si="11"/>
        <v>90.522467769234382</v>
      </c>
      <c r="R24" s="277">
        <f t="shared" si="16"/>
        <v>107.93591326836149</v>
      </c>
      <c r="S24" s="277">
        <f t="shared" si="17"/>
        <v>50.114411222746128</v>
      </c>
      <c r="T24" s="277">
        <f t="shared" si="12"/>
        <v>158.05032449110763</v>
      </c>
      <c r="U24" s="277"/>
      <c r="V24" s="275">
        <f t="shared" si="13"/>
        <v>27.014802631578949</v>
      </c>
      <c r="W24" s="277"/>
      <c r="X24" s="277"/>
      <c r="Y24" s="276">
        <f t="shared" si="2"/>
        <v>0</v>
      </c>
      <c r="Z24" s="281">
        <v>3544.4444444444443</v>
      </c>
      <c r="AA24" s="277">
        <v>98.454135274315391</v>
      </c>
      <c r="AB24" s="276">
        <f t="shared" si="14"/>
        <v>197222.22222222219</v>
      </c>
      <c r="AC24" s="275">
        <f t="shared" si="15"/>
        <v>55.642633228840118</v>
      </c>
      <c r="AD24" s="323">
        <v>1.8084800000000001</v>
      </c>
      <c r="AE24" s="323">
        <f t="shared" si="18"/>
        <v>10.038411154776972</v>
      </c>
      <c r="AF24" s="327">
        <f t="shared" si="19"/>
        <v>0.19694878384311806</v>
      </c>
      <c r="AG24" s="323">
        <v>1.92632</v>
      </c>
      <c r="AH24" s="327">
        <f t="shared" si="20"/>
        <v>9.5353954081632664E-2</v>
      </c>
      <c r="AI24" s="323">
        <v>2.6933199999999999</v>
      </c>
      <c r="AJ24" s="327">
        <f t="shared" si="21"/>
        <v>0.18449617346938776</v>
      </c>
      <c r="AK24" s="323">
        <v>3.2218599999999999</v>
      </c>
      <c r="AL24" s="327">
        <f t="shared" si="22"/>
        <v>0.12377869897959183</v>
      </c>
      <c r="AM24" s="274">
        <f t="shared" si="23"/>
        <v>2.1619041275339139</v>
      </c>
      <c r="AN24" s="274"/>
      <c r="AO24" s="274">
        <f t="shared" si="24"/>
        <v>1.8964300000000001</v>
      </c>
      <c r="AP24" s="274"/>
      <c r="AQ24" s="274">
        <f t="shared" si="25"/>
        <v>2.6933199999999999</v>
      </c>
      <c r="AR24" s="274"/>
      <c r="AS24" s="274">
        <f t="shared" si="26"/>
        <v>0.90147999999999984</v>
      </c>
      <c r="AT24" s="274"/>
    </row>
    <row r="25" spans="1:46" s="273" customFormat="1" x14ac:dyDescent="0.3">
      <c r="A25" s="876"/>
      <c r="B25" s="280" t="s">
        <v>98</v>
      </c>
      <c r="C25" s="276">
        <v>0</v>
      </c>
      <c r="D25" s="275">
        <f t="shared" si="8"/>
        <v>-0.13798574297390295</v>
      </c>
      <c r="E25" s="276">
        <v>261333.33333333331</v>
      </c>
      <c r="F25" s="275">
        <f t="shared" si="1"/>
        <v>0.26133333333333331</v>
      </c>
      <c r="G25" s="276">
        <v>8888.8888888888887</v>
      </c>
      <c r="H25" s="276">
        <v>270222.22222222219</v>
      </c>
      <c r="I25" s="275">
        <v>96.71052631578948</v>
      </c>
      <c r="J25" s="276">
        <v>53000</v>
      </c>
      <c r="K25" s="276">
        <v>11000</v>
      </c>
      <c r="L25" s="276">
        <v>64000</v>
      </c>
      <c r="M25" s="275">
        <v>82.8125</v>
      </c>
      <c r="N25" s="275">
        <v>29.536340852130326</v>
      </c>
      <c r="O25" s="279">
        <f t="shared" si="9"/>
        <v>109.30389295607441</v>
      </c>
      <c r="P25" s="276">
        <f t="shared" si="10"/>
        <v>39332.656423603614</v>
      </c>
      <c r="Q25" s="275">
        <f t="shared" si="11"/>
        <v>86.918155772988911</v>
      </c>
      <c r="R25" s="277">
        <f t="shared" si="16"/>
        <v>123.71982823130189</v>
      </c>
      <c r="S25" s="277">
        <f t="shared" si="17"/>
        <v>43.935922167887014</v>
      </c>
      <c r="T25" s="277">
        <f t="shared" si="12"/>
        <v>167.65575039918889</v>
      </c>
      <c r="U25" s="277"/>
      <c r="V25" s="275">
        <f t="shared" si="13"/>
        <v>23.684210526315791</v>
      </c>
      <c r="W25" s="277"/>
      <c r="X25" s="277"/>
      <c r="Y25" s="276">
        <f t="shared" si="2"/>
        <v>0</v>
      </c>
      <c r="Z25" s="281">
        <v>4122.2222222222226</v>
      </c>
      <c r="AA25" s="277">
        <v>97.741504065040601</v>
      </c>
      <c r="AB25" s="276">
        <f t="shared" si="14"/>
        <v>206222.22222222219</v>
      </c>
      <c r="AC25" s="275">
        <f t="shared" si="15"/>
        <v>50.026954177897558</v>
      </c>
      <c r="AD25" s="323">
        <v>1.83589</v>
      </c>
      <c r="AE25" s="323">
        <f t="shared" si="18"/>
        <v>10.190557072759164</v>
      </c>
      <c r="AF25" s="127" t="s">
        <v>79</v>
      </c>
      <c r="AG25" s="323">
        <v>2.0471300000000001</v>
      </c>
      <c r="AH25" s="127" t="s">
        <v>79</v>
      </c>
      <c r="AI25" s="323">
        <v>3.0398200000000002</v>
      </c>
      <c r="AJ25" s="127" t="s">
        <v>79</v>
      </c>
      <c r="AK25" s="323">
        <v>3.3452099999999998</v>
      </c>
      <c r="AL25" s="127" t="s">
        <v>79</v>
      </c>
      <c r="AM25" s="274">
        <f t="shared" si="23"/>
        <v>2.0097582095517215</v>
      </c>
      <c r="AN25" s="274"/>
      <c r="AO25" s="274">
        <f t="shared" si="24"/>
        <v>2.0172400000000001</v>
      </c>
      <c r="AP25" s="274"/>
      <c r="AQ25" s="274">
        <f t="shared" si="25"/>
        <v>3.0398200000000002</v>
      </c>
      <c r="AR25" s="274"/>
      <c r="AS25" s="274">
        <f t="shared" si="26"/>
        <v>0.77812999999999999</v>
      </c>
      <c r="AT25" s="274"/>
    </row>
    <row r="26" spans="1:46" s="273" customFormat="1" x14ac:dyDescent="0.3">
      <c r="A26" s="876"/>
      <c r="B26" s="280" t="s">
        <v>97</v>
      </c>
      <c r="C26" s="276">
        <f>E26-300000</f>
        <v>6666.6666666666279</v>
      </c>
      <c r="D26" s="275">
        <f t="shared" si="8"/>
        <v>2.1978906718775167E-2</v>
      </c>
      <c r="E26" s="276">
        <v>306666.66666666663</v>
      </c>
      <c r="F26" s="275">
        <f t="shared" si="1"/>
        <v>0.30666666666666664</v>
      </c>
      <c r="G26" s="276">
        <v>13333.333333333332</v>
      </c>
      <c r="H26" s="276">
        <v>320000</v>
      </c>
      <c r="I26" s="275">
        <v>95.833333333333343</v>
      </c>
      <c r="J26" s="276">
        <v>46000</v>
      </c>
      <c r="K26" s="276">
        <v>25000</v>
      </c>
      <c r="L26" s="276">
        <v>71000</v>
      </c>
      <c r="M26" s="275">
        <v>64.788732394366207</v>
      </c>
      <c r="N26" s="275">
        <v>23.484337349397592</v>
      </c>
      <c r="O26" s="279">
        <f t="shared" si="9"/>
        <v>73.388554216867476</v>
      </c>
      <c r="P26" s="276">
        <f t="shared" si="10"/>
        <v>30410.345495205063</v>
      </c>
      <c r="Q26" s="275">
        <f t="shared" si="11"/>
        <v>90.978220288543028</v>
      </c>
      <c r="R26" s="277">
        <f t="shared" si="16"/>
        <v>49.68505144788945</v>
      </c>
      <c r="S26" s="277">
        <f t="shared" si="17"/>
        <v>48.741413654999661</v>
      </c>
      <c r="T26" s="277">
        <f t="shared" si="12"/>
        <v>98.426465102889111</v>
      </c>
      <c r="U26" s="277"/>
      <c r="V26" s="275">
        <f t="shared" si="13"/>
        <v>22.1875</v>
      </c>
      <c r="W26" s="277"/>
      <c r="X26" s="277"/>
      <c r="Y26" s="276">
        <f t="shared" si="2"/>
        <v>0</v>
      </c>
      <c r="Z26" s="281">
        <v>2166.6666666666665</v>
      </c>
      <c r="AA26" s="277">
        <v>85.436192307692352</v>
      </c>
      <c r="AB26" s="276">
        <f t="shared" si="14"/>
        <v>249000</v>
      </c>
      <c r="AC26" s="275">
        <f t="shared" si="15"/>
        <v>114.92307692307693</v>
      </c>
      <c r="AD26" s="323">
        <v>1.7319100000000001</v>
      </c>
      <c r="AE26" s="323">
        <f t="shared" si="18"/>
        <v>9.6133906170208032</v>
      </c>
      <c r="AF26" s="327">
        <f>((AE18-AE26)/$E26)/24*1000000</f>
        <v>0.11105260706421571</v>
      </c>
      <c r="AG26" s="323">
        <v>2.1303200000000002</v>
      </c>
      <c r="AH26" s="327">
        <f>((AG18-AG26)/$E26)/24*1000000*(-1)</f>
        <v>8.1190217391304401E-2</v>
      </c>
      <c r="AI26" s="323">
        <v>3.4930099999999999</v>
      </c>
      <c r="AJ26" s="327">
        <f>((AI18-AI26)/$E26)/24*1000000*(-1)</f>
        <v>0.16944836956521739</v>
      </c>
      <c r="AK26" s="323">
        <v>3.4737100000000001</v>
      </c>
      <c r="AL26" s="327">
        <f>((AK18-AK26)/$E26)/24*1000000</f>
        <v>7.9652173913043439E-2</v>
      </c>
      <c r="AM26" s="274">
        <f t="shared" si="23"/>
        <v>1.8159817047447788</v>
      </c>
      <c r="AN26" s="274"/>
      <c r="AO26" s="274">
        <f t="shared" si="24"/>
        <v>0.89126000000000016</v>
      </c>
      <c r="AP26" s="274"/>
      <c r="AQ26" s="274">
        <f t="shared" si="25"/>
        <v>3.4861900000000001</v>
      </c>
      <c r="AR26" s="274"/>
      <c r="AS26" s="274">
        <f t="shared" si="26"/>
        <v>0.93579999999999997</v>
      </c>
      <c r="AT26" s="274"/>
    </row>
    <row r="27" spans="1:46" s="273" customFormat="1" x14ac:dyDescent="0.3">
      <c r="A27" s="876"/>
      <c r="B27" s="280" t="s">
        <v>96</v>
      </c>
      <c r="C27" s="276">
        <f>E27-300000</f>
        <v>46666.666666666628</v>
      </c>
      <c r="D27" s="275">
        <f t="shared" si="8"/>
        <v>0.14458122881110749</v>
      </c>
      <c r="E27" s="276">
        <v>346666.66666666663</v>
      </c>
      <c r="F27" s="275">
        <f t="shared" si="1"/>
        <v>0.34666666666666662</v>
      </c>
      <c r="G27" s="276">
        <v>19555.555555555555</v>
      </c>
      <c r="H27" s="276">
        <v>366222.22222222225</v>
      </c>
      <c r="I27" s="275">
        <v>94.660194174757279</v>
      </c>
      <c r="J27" s="276">
        <v>60000</v>
      </c>
      <c r="K27" s="276">
        <v>20000</v>
      </c>
      <c r="L27" s="276">
        <v>80000</v>
      </c>
      <c r="M27" s="275">
        <v>75</v>
      </c>
      <c r="N27" s="275">
        <v>22.906024096385543</v>
      </c>
      <c r="O27" s="279">
        <f t="shared" si="9"/>
        <v>62.546789098140138</v>
      </c>
      <c r="P27" s="276">
        <f t="shared" si="10"/>
        <v>29557.753348644474</v>
      </c>
      <c r="Q27" s="275">
        <f t="shared" si="11"/>
        <v>92.143584579799054</v>
      </c>
      <c r="R27" s="277">
        <f t="shared" si="16"/>
        <v>84.602950853580623</v>
      </c>
      <c r="S27" s="277">
        <f t="shared" si="17"/>
        <v>54.919902709858768</v>
      </c>
      <c r="T27" s="277">
        <f t="shared" si="12"/>
        <v>139.52285356343938</v>
      </c>
      <c r="U27" s="277"/>
      <c r="V27" s="275">
        <f t="shared" si="13"/>
        <v>21.844660194174757</v>
      </c>
      <c r="W27" s="277"/>
      <c r="X27" s="277"/>
      <c r="Y27" s="276">
        <f t="shared" si="2"/>
        <v>0</v>
      </c>
      <c r="Z27" s="281">
        <v>3855.5555555555557</v>
      </c>
      <c r="AA27" s="277">
        <v>83.574605734767019</v>
      </c>
      <c r="AB27" s="276">
        <f t="shared" si="14"/>
        <v>286222.22222222225</v>
      </c>
      <c r="AC27" s="275">
        <f t="shared" si="15"/>
        <v>74.236311239193085</v>
      </c>
      <c r="AD27" s="323">
        <v>1.7071499999999999</v>
      </c>
      <c r="AE27" s="323">
        <f t="shared" si="18"/>
        <v>9.4759541730500221</v>
      </c>
      <c r="AF27" s="327">
        <f>((AE19-AE27)/$E27)/24*1000000</f>
        <v>0.12397108403486226</v>
      </c>
      <c r="AG27" s="323">
        <v>2.0328300000000001</v>
      </c>
      <c r="AH27" s="327">
        <f>((AG19-AG27)/$E27)/24*1000000*(-1)</f>
        <v>7.4485576923076932E-2</v>
      </c>
      <c r="AI27" s="323">
        <v>3.5445600000000002</v>
      </c>
      <c r="AJ27" s="327">
        <f>((AI19-AI27)/$E27)/24*1000000*(-1)</f>
        <v>0.14833774038461542</v>
      </c>
      <c r="AK27" s="323">
        <v>3.41303</v>
      </c>
      <c r="AL27" s="327">
        <f>((AK19-AK27)/$E27)/24*1000000</f>
        <v>4.63076923076923E-2</v>
      </c>
      <c r="AM27" s="274">
        <f t="shared" si="23"/>
        <v>1.95341814871556</v>
      </c>
      <c r="AN27" s="274"/>
      <c r="AO27" s="274">
        <f t="shared" si="24"/>
        <v>0.79377000000000009</v>
      </c>
      <c r="AP27" s="274"/>
      <c r="AQ27" s="274">
        <f t="shared" si="25"/>
        <v>3.5377400000000003</v>
      </c>
      <c r="AR27" s="274"/>
      <c r="AS27" s="274">
        <f t="shared" si="26"/>
        <v>0.99648000000000003</v>
      </c>
      <c r="AT27" s="274"/>
    </row>
    <row r="28" spans="1:46" s="273" customFormat="1" x14ac:dyDescent="0.3">
      <c r="A28" s="876"/>
      <c r="B28" s="280" t="s">
        <v>95</v>
      </c>
      <c r="C28" s="276">
        <f>E28-300000</f>
        <v>65333.333333333314</v>
      </c>
      <c r="D28" s="275">
        <f t="shared" si="8"/>
        <v>0.19702770418364995</v>
      </c>
      <c r="E28" s="276">
        <v>365333.33333333331</v>
      </c>
      <c r="F28" s="275">
        <f t="shared" si="1"/>
        <v>0.36533333333333329</v>
      </c>
      <c r="G28" s="276">
        <v>16000</v>
      </c>
      <c r="H28" s="276">
        <v>381333.33333333331</v>
      </c>
      <c r="I28" s="275">
        <v>95.8041958041958</v>
      </c>
      <c r="J28" s="276">
        <v>48000</v>
      </c>
      <c r="K28" s="276">
        <v>21000</v>
      </c>
      <c r="L28" s="276">
        <v>69000</v>
      </c>
      <c r="M28" s="275">
        <v>69.565217391304344</v>
      </c>
      <c r="N28" s="275">
        <v>25.460591133004929</v>
      </c>
      <c r="O28" s="279">
        <f t="shared" si="9"/>
        <v>66.767284439698244</v>
      </c>
      <c r="P28" s="276">
        <f t="shared" si="10"/>
        <v>33323.884907865147</v>
      </c>
      <c r="Q28" s="275">
        <f t="shared" si="11"/>
        <v>91.640967883415243</v>
      </c>
      <c r="R28" s="277">
        <f t="shared" si="16"/>
        <v>159.39932173235843</v>
      </c>
      <c r="S28" s="277">
        <f t="shared" si="17"/>
        <v>47.368416087253188</v>
      </c>
      <c r="T28" s="277">
        <f t="shared" si="12"/>
        <v>206.76773781961163</v>
      </c>
      <c r="U28" s="277"/>
      <c r="V28" s="275">
        <f t="shared" si="13"/>
        <v>18.094405594405597</v>
      </c>
      <c r="W28" s="277">
        <v>225</v>
      </c>
      <c r="X28" s="277"/>
      <c r="Y28" s="276">
        <f t="shared" si="2"/>
        <v>85800000</v>
      </c>
      <c r="Z28" s="281">
        <v>6293.3333333333339</v>
      </c>
      <c r="AA28" s="277">
        <v>89.789991525423716</v>
      </c>
      <c r="AB28" s="276">
        <f t="shared" si="14"/>
        <v>312333.33333333331</v>
      </c>
      <c r="AC28" s="275">
        <f t="shared" si="15"/>
        <v>49.629237288135585</v>
      </c>
      <c r="AD28" s="323">
        <v>1.75325</v>
      </c>
      <c r="AE28" s="323">
        <f t="shared" si="18"/>
        <v>9.7318435133994967</v>
      </c>
      <c r="AF28" s="327">
        <f>((AE20-AE28)/$E28)/24*1000000</f>
        <v>6.5997394715334348E-2</v>
      </c>
      <c r="AG28" s="323">
        <v>1.82253</v>
      </c>
      <c r="AH28" s="327">
        <f>((AG20-AG28)/$E28)/24*1000000*(-1)</f>
        <v>7.0168795620437957E-2</v>
      </c>
      <c r="AI28" s="323">
        <v>2.6002700000000001</v>
      </c>
      <c r="AJ28" s="327">
        <f>((AI20-AI28)/$E28)/24*1000000*(-1)</f>
        <v>0.12312043795620441</v>
      </c>
      <c r="AK28" s="323">
        <v>3.48089</v>
      </c>
      <c r="AL28" s="327">
        <f>((AK20-AK28)/$E28)/24*1000000</f>
        <v>6.0182481751824793E-2</v>
      </c>
      <c r="AM28" s="274">
        <f t="shared" si="23"/>
        <v>2.2245165301183434</v>
      </c>
      <c r="AN28" s="274"/>
      <c r="AO28" s="274">
        <f t="shared" si="24"/>
        <v>1.1052299999999999</v>
      </c>
      <c r="AP28" s="274"/>
      <c r="AQ28" s="274">
        <f t="shared" si="25"/>
        <v>2.5789200000000001</v>
      </c>
      <c r="AR28" s="274"/>
      <c r="AS28" s="274">
        <f t="shared" si="26"/>
        <v>1.4022599999999996</v>
      </c>
      <c r="AT28" s="274"/>
    </row>
    <row r="29" spans="1:46" s="273" customFormat="1" x14ac:dyDescent="0.3">
      <c r="A29" s="876"/>
      <c r="B29" s="280" t="s">
        <v>94</v>
      </c>
      <c r="C29" s="276">
        <f>E29-300000</f>
        <v>55555.555555555562</v>
      </c>
      <c r="D29" s="275">
        <f t="shared" si="8"/>
        <v>0.16989903679539742</v>
      </c>
      <c r="E29" s="276">
        <v>355555.55555555556</v>
      </c>
      <c r="F29" s="275">
        <f t="shared" si="1"/>
        <v>0.35555555555555557</v>
      </c>
      <c r="G29" s="276">
        <v>13333.333333333332</v>
      </c>
      <c r="H29" s="276">
        <v>368888.88888888893</v>
      </c>
      <c r="I29" s="275">
        <v>96.385542168674704</v>
      </c>
      <c r="J29" s="276">
        <v>40000</v>
      </c>
      <c r="K29" s="276">
        <v>14000.000000000002</v>
      </c>
      <c r="L29" s="276">
        <v>54000</v>
      </c>
      <c r="M29" s="275">
        <v>74.074074074074076</v>
      </c>
      <c r="N29" s="275">
        <v>22.54187192118227</v>
      </c>
      <c r="O29" s="279">
        <f t="shared" si="9"/>
        <v>61.107484123686866</v>
      </c>
      <c r="P29" s="276">
        <f t="shared" si="10"/>
        <v>29020.893293796657</v>
      </c>
      <c r="Q29" s="275">
        <f t="shared" si="11"/>
        <v>92.453803819597695</v>
      </c>
      <c r="R29" s="277">
        <f t="shared" si="16"/>
        <v>121.6922619534017</v>
      </c>
      <c r="S29" s="277">
        <f t="shared" si="17"/>
        <v>37.070934329154667</v>
      </c>
      <c r="T29" s="277">
        <f t="shared" si="12"/>
        <v>158.76319628255635</v>
      </c>
      <c r="U29" s="277"/>
      <c r="V29" s="275">
        <f t="shared" si="13"/>
        <v>14.638554216867469</v>
      </c>
      <c r="W29" s="277">
        <v>225</v>
      </c>
      <c r="X29" s="277"/>
      <c r="Y29" s="276">
        <f t="shared" si="2"/>
        <v>83000000.000000015</v>
      </c>
      <c r="Z29" s="278">
        <v>6160</v>
      </c>
      <c r="AA29" s="277">
        <v>79.298722222222253</v>
      </c>
      <c r="AB29" s="276">
        <f t="shared" si="14"/>
        <v>314888.88888888893</v>
      </c>
      <c r="AC29" s="275">
        <f t="shared" si="15"/>
        <v>51.118326118326124</v>
      </c>
      <c r="AD29" s="323">
        <v>1.6321699999999999</v>
      </c>
      <c r="AE29" s="323">
        <f t="shared" si="18"/>
        <v>9.0597593197007029</v>
      </c>
      <c r="AF29" s="327">
        <f>((AE21-AE29)/$E29)/24*1000000</f>
        <v>0.20947990907879835</v>
      </c>
      <c r="AG29" s="323">
        <v>1.76603</v>
      </c>
      <c r="AH29" s="327">
        <f>((AG21-AG29)/$E29)/24*1000000*(-1)</f>
        <v>5.3414062499999991E-2</v>
      </c>
      <c r="AI29" s="323">
        <v>2.5604</v>
      </c>
      <c r="AJ29" s="327">
        <f>((AI21-AI29)/$E29)/24*1000000*(-1)</f>
        <v>9.6277734374999993E-2</v>
      </c>
      <c r="AK29" s="323">
        <v>3.4546299999999999</v>
      </c>
      <c r="AL29" s="327">
        <f>((AK21-AK29)/$E29)/24*1000000</f>
        <v>6.6936328125000069E-2</v>
      </c>
      <c r="AM29" s="274">
        <f t="shared" si="23"/>
        <v>2.8966007238171372</v>
      </c>
      <c r="AN29" s="274"/>
      <c r="AO29" s="274">
        <f t="shared" si="24"/>
        <v>1.0487299999999999</v>
      </c>
      <c r="AP29" s="274"/>
      <c r="AQ29" s="274">
        <f t="shared" si="25"/>
        <v>2.53905</v>
      </c>
      <c r="AR29" s="274"/>
      <c r="AS29" s="274">
        <f t="shared" si="26"/>
        <v>1.4285199999999998</v>
      </c>
      <c r="AT29" s="274"/>
    </row>
    <row r="30" spans="1:46" s="263" customFormat="1" ht="16.2" customHeight="1" x14ac:dyDescent="0.3">
      <c r="A30" s="877" t="s">
        <v>103</v>
      </c>
      <c r="B30" s="272" t="s">
        <v>101</v>
      </c>
      <c r="C30" s="272"/>
      <c r="D30" s="270"/>
      <c r="E30" s="270">
        <v>277333.33333333331</v>
      </c>
      <c r="F30" s="265">
        <f t="shared" si="1"/>
        <v>0.27733333333333332</v>
      </c>
      <c r="G30" s="270">
        <v>12000</v>
      </c>
      <c r="H30" s="270">
        <v>289333.33333333331</v>
      </c>
      <c r="I30" s="271">
        <v>95.852534562211972</v>
      </c>
      <c r="J30" s="270">
        <v>25000</v>
      </c>
      <c r="K30" s="270">
        <v>4000</v>
      </c>
      <c r="L30" s="270">
        <v>28999.999999999996</v>
      </c>
      <c r="M30" s="265">
        <v>86.206896551724128</v>
      </c>
      <c r="N30" s="265"/>
      <c r="O30" s="267"/>
      <c r="P30" s="266"/>
      <c r="Q30" s="265"/>
      <c r="R30" s="267">
        <f t="shared" ref="R30:R37" si="27">4*PI()*(AA22/2)*(AA22/2)*Z30/1000000</f>
        <v>99.85855156995413</v>
      </c>
      <c r="S30" s="267">
        <f t="shared" si="17"/>
        <v>19.908464732323804</v>
      </c>
      <c r="T30" s="267">
        <f t="shared" si="12"/>
        <v>119.76701630227794</v>
      </c>
      <c r="U30" s="267"/>
      <c r="V30" s="265">
        <f t="shared" si="13"/>
        <v>10.023041474654377</v>
      </c>
      <c r="W30" s="267"/>
      <c r="X30" s="267">
        <f>160/(160+44)*100</f>
        <v>78.431372549019613</v>
      </c>
      <c r="Y30" s="266">
        <f t="shared" si="2"/>
        <v>0</v>
      </c>
      <c r="Z30" s="268">
        <v>3655.5555555555561</v>
      </c>
      <c r="AA30" s="267"/>
      <c r="AB30" s="266">
        <f t="shared" si="14"/>
        <v>260333.33333333331</v>
      </c>
      <c r="AC30" s="265">
        <f t="shared" si="15"/>
        <v>71.215805471124611</v>
      </c>
      <c r="AD30" s="127" t="s">
        <v>79</v>
      </c>
      <c r="AE30" s="127" t="s">
        <v>79</v>
      </c>
      <c r="AF30" s="324"/>
      <c r="AG30" s="127" t="s">
        <v>79</v>
      </c>
      <c r="AH30" s="324"/>
      <c r="AI30" s="127" t="s">
        <v>79</v>
      </c>
      <c r="AJ30" s="324"/>
      <c r="AK30" s="127" t="s">
        <v>79</v>
      </c>
      <c r="AL30" s="324"/>
      <c r="AM30" s="127" t="s">
        <v>79</v>
      </c>
      <c r="AO30" s="127" t="s">
        <v>79</v>
      </c>
      <c r="AQ30" s="127" t="s">
        <v>79</v>
      </c>
      <c r="AS30" s="127" t="s">
        <v>79</v>
      </c>
    </row>
    <row r="31" spans="1:46" s="263" customFormat="1" x14ac:dyDescent="0.3">
      <c r="A31" s="877"/>
      <c r="B31" s="272" t="s">
        <v>100</v>
      </c>
      <c r="C31" s="272"/>
      <c r="D31" s="270"/>
      <c r="E31" s="270">
        <v>308000</v>
      </c>
      <c r="F31" s="265">
        <f t="shared" si="1"/>
        <v>0.308</v>
      </c>
      <c r="G31" s="270">
        <v>14666.666666666666</v>
      </c>
      <c r="H31" s="270">
        <v>322666.66666666663</v>
      </c>
      <c r="I31" s="271">
        <v>95.454545454545453</v>
      </c>
      <c r="J31" s="270">
        <v>23000</v>
      </c>
      <c r="K31" s="270">
        <v>5000</v>
      </c>
      <c r="L31" s="270">
        <v>28000.000000000004</v>
      </c>
      <c r="M31" s="265">
        <v>82.142857142857139</v>
      </c>
      <c r="N31" s="265"/>
      <c r="O31" s="267"/>
      <c r="P31" s="266"/>
      <c r="Q31" s="265"/>
      <c r="R31" s="267">
        <f t="shared" si="27"/>
        <v>118.93870456584879</v>
      </c>
      <c r="S31" s="267">
        <f t="shared" si="17"/>
        <v>19.221965948450574</v>
      </c>
      <c r="T31" s="267">
        <f t="shared" si="12"/>
        <v>138.16067051429937</v>
      </c>
      <c r="U31" s="267">
        <f>AVERAGE(T30:T31)</f>
        <v>128.96384340828865</v>
      </c>
      <c r="V31" s="265">
        <f t="shared" si="13"/>
        <v>8.677685950413224</v>
      </c>
      <c r="W31" s="267"/>
      <c r="X31" s="267">
        <f>160/(160+38.5)*100</f>
        <v>80.604534005037792</v>
      </c>
      <c r="Y31" s="266">
        <f t="shared" si="2"/>
        <v>0</v>
      </c>
      <c r="Z31" s="268">
        <v>4566.6666666666661</v>
      </c>
      <c r="AA31" s="267"/>
      <c r="AB31" s="266">
        <f t="shared" si="14"/>
        <v>294666.66666666663</v>
      </c>
      <c r="AC31" s="265">
        <f t="shared" si="15"/>
        <v>64.525547445255469</v>
      </c>
      <c r="AD31" s="127" t="s">
        <v>79</v>
      </c>
      <c r="AE31" s="127" t="s">
        <v>79</v>
      </c>
      <c r="AF31" s="324"/>
      <c r="AG31" s="127" t="s">
        <v>79</v>
      </c>
      <c r="AH31" s="324"/>
      <c r="AI31" s="127" t="s">
        <v>79</v>
      </c>
      <c r="AJ31" s="324"/>
      <c r="AK31" s="127" t="s">
        <v>79</v>
      </c>
      <c r="AL31" s="324"/>
      <c r="AM31" s="127" t="s">
        <v>79</v>
      </c>
      <c r="AO31" s="127" t="s">
        <v>79</v>
      </c>
      <c r="AQ31" s="127" t="s">
        <v>79</v>
      </c>
      <c r="AS31" s="127" t="s">
        <v>79</v>
      </c>
    </row>
    <row r="32" spans="1:46" s="263" customFormat="1" x14ac:dyDescent="0.3">
      <c r="A32" s="877"/>
      <c r="B32" s="272" t="s">
        <v>99</v>
      </c>
      <c r="C32" s="272"/>
      <c r="D32" s="270"/>
      <c r="E32" s="270">
        <v>311111.11111111107</v>
      </c>
      <c r="F32" s="265">
        <f t="shared" si="1"/>
        <v>0.31111111111111106</v>
      </c>
      <c r="G32" s="270">
        <v>3555.5555555555552</v>
      </c>
      <c r="H32" s="270">
        <v>314666.66666666663</v>
      </c>
      <c r="I32" s="271">
        <v>98.870056497175142</v>
      </c>
      <c r="J32" s="270">
        <v>47000</v>
      </c>
      <c r="K32" s="270">
        <v>13000</v>
      </c>
      <c r="L32" s="270">
        <v>60000</v>
      </c>
      <c r="M32" s="265">
        <v>78.333333333333329</v>
      </c>
      <c r="N32" s="265"/>
      <c r="O32" s="267"/>
      <c r="P32" s="266"/>
      <c r="Q32" s="265"/>
      <c r="R32" s="267">
        <f t="shared" si="27"/>
        <v>99.815342991118001</v>
      </c>
      <c r="S32" s="267">
        <f t="shared" si="17"/>
        <v>41.189927032394081</v>
      </c>
      <c r="T32" s="267">
        <f t="shared" si="12"/>
        <v>141.00527002351208</v>
      </c>
      <c r="U32" s="267"/>
      <c r="V32" s="265">
        <f t="shared" si="13"/>
        <v>19.067796610169495</v>
      </c>
      <c r="W32" s="267"/>
      <c r="X32" s="267">
        <f>170/(170+58.1)*100</f>
        <v>74.528715475668577</v>
      </c>
      <c r="Y32" s="266">
        <f t="shared" si="2"/>
        <v>0</v>
      </c>
      <c r="Z32" s="268">
        <v>3277.7777777777778</v>
      </c>
      <c r="AA32" s="267"/>
      <c r="AB32" s="266">
        <f t="shared" si="14"/>
        <v>254666.66666666663</v>
      </c>
      <c r="AC32" s="265">
        <f t="shared" si="15"/>
        <v>77.694915254237273</v>
      </c>
      <c r="AD32" s="324">
        <v>2.09036</v>
      </c>
      <c r="AE32" s="324">
        <f t="shared" ref="AE32:AE45" si="28">AD32/180.156*1000</f>
        <v>11.603055129998445</v>
      </c>
      <c r="AF32" s="324"/>
      <c r="AG32" s="324">
        <v>1.3841000000000001</v>
      </c>
      <c r="AH32" s="324"/>
      <c r="AI32" s="324">
        <v>0.80996000000000001</v>
      </c>
      <c r="AJ32" s="324"/>
      <c r="AK32" s="324">
        <v>4.3131699999999995</v>
      </c>
      <c r="AL32" s="324"/>
      <c r="AM32" s="264">
        <f t="shared" ref="AM32:AM37" si="29">AE32-AE32</f>
        <v>0</v>
      </c>
      <c r="AN32" s="264"/>
      <c r="AO32" s="264">
        <f t="shared" ref="AO32:AO37" si="30">AG32-AG32</f>
        <v>0</v>
      </c>
      <c r="AP32" s="264"/>
      <c r="AQ32" s="264">
        <f t="shared" ref="AQ32:AQ37" si="31">AI32-AI32</f>
        <v>0</v>
      </c>
      <c r="AR32" s="264"/>
      <c r="AS32" s="264">
        <f t="shared" ref="AS32:AS37" si="32">AK32-AK32</f>
        <v>0</v>
      </c>
      <c r="AT32" s="264"/>
    </row>
    <row r="33" spans="1:46" s="263" customFormat="1" x14ac:dyDescent="0.3">
      <c r="A33" s="877"/>
      <c r="B33" s="272" t="s">
        <v>98</v>
      </c>
      <c r="C33" s="272"/>
      <c r="D33" s="270"/>
      <c r="E33" s="270">
        <v>344000</v>
      </c>
      <c r="F33" s="265">
        <f t="shared" si="1"/>
        <v>0.34399999999999997</v>
      </c>
      <c r="G33" s="270">
        <v>5333.333333333333</v>
      </c>
      <c r="H33" s="270">
        <v>349333.33333333331</v>
      </c>
      <c r="I33" s="271">
        <v>98.473282442748101</v>
      </c>
      <c r="J33" s="270">
        <v>48000</v>
      </c>
      <c r="K33" s="270">
        <v>13000</v>
      </c>
      <c r="L33" s="270">
        <v>61000</v>
      </c>
      <c r="M33" s="265">
        <v>78.688524590163937</v>
      </c>
      <c r="N33" s="265"/>
      <c r="O33" s="267"/>
      <c r="P33" s="266"/>
      <c r="Q33" s="265"/>
      <c r="R33" s="267">
        <f t="shared" si="27"/>
        <v>118.38420221593576</v>
      </c>
      <c r="S33" s="267">
        <f t="shared" si="17"/>
        <v>41.876425816267314</v>
      </c>
      <c r="T33" s="267">
        <f t="shared" si="12"/>
        <v>160.26062803220307</v>
      </c>
      <c r="U33" s="267">
        <f>AVERAGE(T32:T33)</f>
        <v>150.63294902785759</v>
      </c>
      <c r="V33" s="265">
        <f t="shared" si="13"/>
        <v>17.461832061068701</v>
      </c>
      <c r="W33" s="267"/>
      <c r="X33" s="267">
        <f>170/(170+58.1)*100</f>
        <v>74.528715475668577</v>
      </c>
      <c r="Y33" s="266">
        <f t="shared" si="2"/>
        <v>0</v>
      </c>
      <c r="Z33" s="268">
        <v>3944.4444444444443</v>
      </c>
      <c r="AA33" s="267"/>
      <c r="AB33" s="266">
        <f t="shared" si="14"/>
        <v>288333.33333333331</v>
      </c>
      <c r="AC33" s="265">
        <f t="shared" si="15"/>
        <v>73.098591549295776</v>
      </c>
      <c r="AD33" s="324">
        <v>1.96698</v>
      </c>
      <c r="AE33" s="324">
        <f t="shared" si="28"/>
        <v>10.918204223006727</v>
      </c>
      <c r="AF33" s="324"/>
      <c r="AG33" s="324">
        <v>1.21994</v>
      </c>
      <c r="AH33" s="324"/>
      <c r="AI33" s="324">
        <v>0.73748000000000002</v>
      </c>
      <c r="AJ33" s="324"/>
      <c r="AK33" s="324">
        <v>4.0448700000000004</v>
      </c>
      <c r="AL33" s="324"/>
      <c r="AM33" s="264">
        <f t="shared" si="29"/>
        <v>0</v>
      </c>
      <c r="AN33" s="264"/>
      <c r="AO33" s="264">
        <f t="shared" si="30"/>
        <v>0</v>
      </c>
      <c r="AP33" s="264"/>
      <c r="AQ33" s="264">
        <f t="shared" si="31"/>
        <v>0</v>
      </c>
      <c r="AR33" s="264"/>
      <c r="AS33" s="264">
        <f t="shared" si="32"/>
        <v>0</v>
      </c>
      <c r="AT33" s="264"/>
    </row>
    <row r="34" spans="1:46" s="263" customFormat="1" x14ac:dyDescent="0.3">
      <c r="A34" s="877"/>
      <c r="B34" s="272" t="s">
        <v>97</v>
      </c>
      <c r="C34" s="272"/>
      <c r="D34" s="270"/>
      <c r="E34" s="270">
        <v>327111.11111111112</v>
      </c>
      <c r="F34" s="265">
        <f t="shared" si="1"/>
        <v>0.32711111111111113</v>
      </c>
      <c r="G34" s="270">
        <v>4444.4444444444443</v>
      </c>
      <c r="H34" s="270">
        <v>331555.55555555556</v>
      </c>
      <c r="I34" s="271">
        <v>98.659517426273453</v>
      </c>
      <c r="J34" s="270">
        <v>26000</v>
      </c>
      <c r="K34" s="270">
        <v>5000</v>
      </c>
      <c r="L34" s="270">
        <v>31000</v>
      </c>
      <c r="M34" s="265">
        <v>83.870967741935488</v>
      </c>
      <c r="N34" s="265"/>
      <c r="O34" s="267"/>
      <c r="P34" s="266"/>
      <c r="Q34" s="265"/>
      <c r="R34" s="267">
        <f t="shared" si="27"/>
        <v>107.52354723594536</v>
      </c>
      <c r="S34" s="267">
        <f t="shared" si="17"/>
        <v>21.281462300070274</v>
      </c>
      <c r="T34" s="267">
        <f t="shared" si="12"/>
        <v>128.80500953601563</v>
      </c>
      <c r="U34" s="267"/>
      <c r="V34" s="265">
        <f t="shared" si="13"/>
        <v>9.3498659517426272</v>
      </c>
      <c r="W34" s="267"/>
      <c r="X34" s="267">
        <f>180/(180+41.5)*100</f>
        <v>81.264108352144476</v>
      </c>
      <c r="Y34" s="266">
        <f t="shared" si="2"/>
        <v>0</v>
      </c>
      <c r="Z34" s="268">
        <v>4688.8888888888878</v>
      </c>
      <c r="AA34" s="267"/>
      <c r="AB34" s="266">
        <f t="shared" si="14"/>
        <v>300555.55555555556</v>
      </c>
      <c r="AC34" s="265">
        <f t="shared" si="15"/>
        <v>64.099526066350734</v>
      </c>
      <c r="AD34" s="324">
        <v>1.9982899999999999</v>
      </c>
      <c r="AE34" s="324">
        <f t="shared" si="28"/>
        <v>11.091998046137791</v>
      </c>
      <c r="AF34" s="324"/>
      <c r="AG34" s="324">
        <v>1.17594</v>
      </c>
      <c r="AH34" s="324"/>
      <c r="AI34" s="324">
        <v>0.72884000000000004</v>
      </c>
      <c r="AJ34" s="324"/>
      <c r="AK34" s="324">
        <v>4.2308599999999998</v>
      </c>
      <c r="AL34" s="324"/>
      <c r="AM34" s="264">
        <f t="shared" si="29"/>
        <v>0</v>
      </c>
      <c r="AN34" s="264"/>
      <c r="AO34" s="264">
        <f t="shared" si="30"/>
        <v>0</v>
      </c>
      <c r="AP34" s="264"/>
      <c r="AQ34" s="264">
        <f t="shared" si="31"/>
        <v>0</v>
      </c>
      <c r="AR34" s="264"/>
      <c r="AS34" s="264">
        <f t="shared" si="32"/>
        <v>0</v>
      </c>
      <c r="AT34" s="264"/>
    </row>
    <row r="35" spans="1:46" s="263" customFormat="1" x14ac:dyDescent="0.3">
      <c r="A35" s="877"/>
      <c r="B35" s="272" t="s">
        <v>96</v>
      </c>
      <c r="C35" s="272"/>
      <c r="D35" s="270"/>
      <c r="E35" s="270">
        <v>293333.33333333337</v>
      </c>
      <c r="F35" s="265">
        <f t="shared" si="1"/>
        <v>0.29333333333333339</v>
      </c>
      <c r="G35" s="270">
        <v>7111.1111111111104</v>
      </c>
      <c r="H35" s="270">
        <v>300444.44444444444</v>
      </c>
      <c r="I35" s="271">
        <v>97.633136094674555</v>
      </c>
      <c r="J35" s="270">
        <v>24000</v>
      </c>
      <c r="K35" s="270">
        <v>14000.000000000002</v>
      </c>
      <c r="L35" s="270">
        <v>38000</v>
      </c>
      <c r="M35" s="265">
        <v>63.157894736842103</v>
      </c>
      <c r="N35" s="265"/>
      <c r="O35" s="267"/>
      <c r="P35" s="266"/>
      <c r="Q35" s="265"/>
      <c r="R35" s="267">
        <f t="shared" si="27"/>
        <v>94.11163985441533</v>
      </c>
      <c r="S35" s="267">
        <f t="shared" si="17"/>
        <v>26.086953787182917</v>
      </c>
      <c r="T35" s="267">
        <f t="shared" si="12"/>
        <v>120.19859364159825</v>
      </c>
      <c r="U35" s="267">
        <f>AVERAGE(T34:T35)</f>
        <v>124.50180158880694</v>
      </c>
      <c r="V35" s="265">
        <f t="shared" si="13"/>
        <v>12.647928994082841</v>
      </c>
      <c r="W35" s="267"/>
      <c r="X35" s="267">
        <f>170/(170+46.5)*100</f>
        <v>78.52193995381063</v>
      </c>
      <c r="Y35" s="266">
        <f t="shared" si="2"/>
        <v>0</v>
      </c>
      <c r="Z35" s="268">
        <v>4288.8888888888887</v>
      </c>
      <c r="AA35" s="267"/>
      <c r="AB35" s="266">
        <f t="shared" si="14"/>
        <v>262444.44444444444</v>
      </c>
      <c r="AC35" s="265">
        <f t="shared" si="15"/>
        <v>61.19170984455959</v>
      </c>
      <c r="AD35" s="324">
        <v>1.9312800000000001</v>
      </c>
      <c r="AE35" s="324">
        <f t="shared" si="28"/>
        <v>10.720042629720908</v>
      </c>
      <c r="AF35" s="324"/>
      <c r="AG35" s="324">
        <v>1.14194</v>
      </c>
      <c r="AH35" s="324"/>
      <c r="AI35" s="324">
        <v>0.85826000000000002</v>
      </c>
      <c r="AJ35" s="324"/>
      <c r="AK35" s="324">
        <v>4.1554900000000004</v>
      </c>
      <c r="AL35" s="324"/>
      <c r="AM35" s="264">
        <f t="shared" si="29"/>
        <v>0</v>
      </c>
      <c r="AN35" s="264"/>
      <c r="AO35" s="264">
        <f t="shared" si="30"/>
        <v>0</v>
      </c>
      <c r="AP35" s="264"/>
      <c r="AQ35" s="264">
        <f t="shared" si="31"/>
        <v>0</v>
      </c>
      <c r="AR35" s="264"/>
      <c r="AS35" s="264">
        <f t="shared" si="32"/>
        <v>0</v>
      </c>
      <c r="AT35" s="264"/>
    </row>
    <row r="36" spans="1:46" s="263" customFormat="1" x14ac:dyDescent="0.3">
      <c r="A36" s="877"/>
      <c r="B36" s="272" t="s">
        <v>95</v>
      </c>
      <c r="C36" s="272"/>
      <c r="D36" s="270"/>
      <c r="E36" s="270">
        <v>314666.66666666663</v>
      </c>
      <c r="F36" s="265">
        <f t="shared" si="1"/>
        <v>0.31466666666666665</v>
      </c>
      <c r="G36" s="270">
        <v>19555.555555555555</v>
      </c>
      <c r="H36" s="270">
        <v>334222.22222222219</v>
      </c>
      <c r="I36" s="271">
        <v>94.148936170212764</v>
      </c>
      <c r="J36" s="270">
        <v>49000</v>
      </c>
      <c r="K36" s="270">
        <v>4000</v>
      </c>
      <c r="L36" s="270">
        <v>53000</v>
      </c>
      <c r="M36" s="265">
        <v>92.452830188679243</v>
      </c>
      <c r="N36" s="265">
        <v>3.1822660098522171</v>
      </c>
      <c r="O36" s="269">
        <f t="shared" ref="O36:O45" si="33">N36/H36*1000000</f>
        <v>9.5214076092652782</v>
      </c>
      <c r="P36" s="266">
        <f t="shared" ref="P36:P45" si="34">(N36-2.857)/0.0006783</f>
        <v>479.53119541827641</v>
      </c>
      <c r="Q36" s="265">
        <f t="shared" ref="Q36:Q45" si="35">E36/(E36+P36)*100</f>
        <v>99.847838495697758</v>
      </c>
      <c r="R36" s="267">
        <f t="shared" si="27"/>
        <v>152.30740275697806</v>
      </c>
      <c r="S36" s="267">
        <f t="shared" si="17"/>
        <v>36.384435545281434</v>
      </c>
      <c r="T36" s="267">
        <f t="shared" si="12"/>
        <v>188.6918383022595</v>
      </c>
      <c r="U36" s="267"/>
      <c r="V36" s="265">
        <f t="shared" si="13"/>
        <v>15.85771276595745</v>
      </c>
      <c r="W36" s="267">
        <v>220</v>
      </c>
      <c r="X36" s="267">
        <f>200/220*100</f>
        <v>90.909090909090907</v>
      </c>
      <c r="Y36" s="266">
        <f t="shared" si="2"/>
        <v>73528888.888888881</v>
      </c>
      <c r="Z36" s="268">
        <v>6013.3333333333339</v>
      </c>
      <c r="AA36" s="267"/>
      <c r="AB36" s="266">
        <f t="shared" si="14"/>
        <v>281222.22222222219</v>
      </c>
      <c r="AC36" s="265">
        <f t="shared" si="15"/>
        <v>46.766444937176637</v>
      </c>
      <c r="AD36" s="324">
        <v>2.1082900000000002</v>
      </c>
      <c r="AE36" s="324">
        <f t="shared" si="28"/>
        <v>11.702579986234152</v>
      </c>
      <c r="AF36" s="324"/>
      <c r="AG36" s="324">
        <v>0.46861999999999998</v>
      </c>
      <c r="AH36" s="324"/>
      <c r="AI36" s="324">
        <v>0.27429999999999999</v>
      </c>
      <c r="AJ36" s="324"/>
      <c r="AK36" s="324">
        <v>4.9345699999999999</v>
      </c>
      <c r="AL36" s="324"/>
      <c r="AM36" s="264">
        <f t="shared" si="29"/>
        <v>0</v>
      </c>
      <c r="AN36" s="264"/>
      <c r="AO36" s="264">
        <f t="shared" si="30"/>
        <v>0</v>
      </c>
      <c r="AP36" s="264"/>
      <c r="AQ36" s="264">
        <f t="shared" si="31"/>
        <v>0</v>
      </c>
      <c r="AR36" s="264"/>
      <c r="AS36" s="264">
        <f t="shared" si="32"/>
        <v>0</v>
      </c>
      <c r="AT36" s="264"/>
    </row>
    <row r="37" spans="1:46" s="263" customFormat="1" ht="14.4" customHeight="1" x14ac:dyDescent="0.3">
      <c r="A37" s="877"/>
      <c r="B37" s="272" t="s">
        <v>94</v>
      </c>
      <c r="C37" s="272"/>
      <c r="D37" s="270"/>
      <c r="E37" s="270">
        <v>296000</v>
      </c>
      <c r="F37" s="265">
        <f t="shared" si="1"/>
        <v>0.29599999999999999</v>
      </c>
      <c r="G37" s="270">
        <v>16000</v>
      </c>
      <c r="H37" s="270">
        <v>312000</v>
      </c>
      <c r="I37" s="271">
        <v>94.871794871794862</v>
      </c>
      <c r="J37" s="270">
        <v>39000</v>
      </c>
      <c r="K37" s="270">
        <v>5000</v>
      </c>
      <c r="L37" s="270">
        <v>44000</v>
      </c>
      <c r="M37" s="265">
        <v>88.63636363636364</v>
      </c>
      <c r="N37" s="265">
        <v>8.4655172413793096</v>
      </c>
      <c r="O37" s="269">
        <f t="shared" si="33"/>
        <v>27.133068081343939</v>
      </c>
      <c r="P37" s="266">
        <f t="shared" si="34"/>
        <v>8268.4906993650438</v>
      </c>
      <c r="Q37" s="265">
        <f t="shared" si="35"/>
        <v>97.282501819245297</v>
      </c>
      <c r="R37" s="267">
        <f t="shared" si="27"/>
        <v>121.6922619534017</v>
      </c>
      <c r="S37" s="267">
        <f t="shared" si="17"/>
        <v>30.205946490422324</v>
      </c>
      <c r="T37" s="267">
        <f t="shared" si="12"/>
        <v>151.89820844382402</v>
      </c>
      <c r="U37" s="267">
        <f>AVERAGE(T36:T37)</f>
        <v>170.29502337304177</v>
      </c>
      <c r="V37" s="265">
        <f t="shared" si="13"/>
        <v>14.102564102564102</v>
      </c>
      <c r="W37" s="267">
        <v>220</v>
      </c>
      <c r="X37" s="267">
        <f>160/220*100</f>
        <v>72.727272727272734</v>
      </c>
      <c r="Y37" s="266">
        <f t="shared" si="2"/>
        <v>68640000</v>
      </c>
      <c r="Z37" s="268">
        <v>6160</v>
      </c>
      <c r="AA37" s="267"/>
      <c r="AB37" s="266">
        <f t="shared" si="14"/>
        <v>268000</v>
      </c>
      <c r="AC37" s="265">
        <f t="shared" si="15"/>
        <v>43.506493506493506</v>
      </c>
      <c r="AD37" s="324">
        <v>1.9699</v>
      </c>
      <c r="AE37" s="324">
        <f t="shared" si="28"/>
        <v>10.934412398143829</v>
      </c>
      <c r="AF37" s="324"/>
      <c r="AG37" s="324">
        <v>0.97053999999999996</v>
      </c>
      <c r="AH37" s="324"/>
      <c r="AI37" s="324">
        <v>0.71808000000000005</v>
      </c>
      <c r="AJ37" s="324"/>
      <c r="AK37" s="324">
        <v>4.2698099999999997</v>
      </c>
      <c r="AL37" s="324"/>
      <c r="AM37" s="264">
        <f t="shared" si="29"/>
        <v>0</v>
      </c>
      <c r="AN37" s="264"/>
      <c r="AO37" s="264">
        <f t="shared" si="30"/>
        <v>0</v>
      </c>
      <c r="AP37" s="264"/>
      <c r="AQ37" s="264">
        <f t="shared" si="31"/>
        <v>0</v>
      </c>
      <c r="AR37" s="264"/>
      <c r="AS37" s="264">
        <f t="shared" si="32"/>
        <v>0</v>
      </c>
      <c r="AT37" s="264"/>
    </row>
    <row r="38" spans="1:46" s="248" customFormat="1" ht="15.6" customHeight="1" x14ac:dyDescent="0.3">
      <c r="A38" s="873" t="s">
        <v>102</v>
      </c>
      <c r="B38" s="257" t="s">
        <v>101</v>
      </c>
      <c r="C38" s="251">
        <f>E38-E30</f>
        <v>13333.333333333372</v>
      </c>
      <c r="D38" s="250"/>
      <c r="E38" s="251">
        <v>290666.66666666669</v>
      </c>
      <c r="F38" s="250">
        <f t="shared" si="1"/>
        <v>0.29066666666666668</v>
      </c>
      <c r="G38" s="251">
        <v>10666.666666666666</v>
      </c>
      <c r="H38" s="251">
        <v>301333.33333333326</v>
      </c>
      <c r="I38" s="250">
        <v>96.460176991150433</v>
      </c>
      <c r="J38" s="251">
        <v>26000</v>
      </c>
      <c r="K38" s="251">
        <v>38000</v>
      </c>
      <c r="L38" s="262">
        <v>64000</v>
      </c>
      <c r="M38" s="250">
        <v>40.625</v>
      </c>
      <c r="N38" s="250">
        <v>20.01240694789082</v>
      </c>
      <c r="O38" s="252">
        <f t="shared" si="33"/>
        <v>66.412854915566896</v>
      </c>
      <c r="P38" s="251">
        <f t="shared" si="34"/>
        <v>25291.76905188091</v>
      </c>
      <c r="Q38" s="250">
        <f t="shared" si="35"/>
        <v>91.995222727836719</v>
      </c>
      <c r="R38" s="252">
        <f t="shared" ref="R38:R45" si="36">4*PI()*(AA38/2)*(AA38/2)*Z38/1000000</f>
        <v>74.868974036350835</v>
      </c>
      <c r="S38" s="252">
        <f t="shared" si="17"/>
        <v>43.935922167887014</v>
      </c>
      <c r="T38" s="252">
        <f t="shared" si="12"/>
        <v>118.80489620423785</v>
      </c>
      <c r="U38" s="252"/>
      <c r="V38" s="250">
        <f t="shared" si="13"/>
        <v>21.23893805309735</v>
      </c>
      <c r="W38" s="252"/>
      <c r="X38" s="252"/>
      <c r="Y38" s="251">
        <v>0</v>
      </c>
      <c r="Z38" s="259">
        <v>2700</v>
      </c>
      <c r="AA38" s="252">
        <v>93.949424148606781</v>
      </c>
      <c r="AB38" s="251">
        <f t="shared" si="14"/>
        <v>237333.33333333326</v>
      </c>
      <c r="AC38" s="250">
        <f t="shared" si="15"/>
        <v>87.901234567901213</v>
      </c>
      <c r="AD38" s="325">
        <v>1.399</v>
      </c>
      <c r="AE38" s="325">
        <f t="shared" si="28"/>
        <v>7.7654921290437171</v>
      </c>
      <c r="AF38" s="127" t="s">
        <v>79</v>
      </c>
      <c r="AG38" s="325">
        <v>1.0697300000000001</v>
      </c>
      <c r="AH38" s="127" t="s">
        <v>79</v>
      </c>
      <c r="AI38" s="325">
        <v>1.1069599999999999</v>
      </c>
      <c r="AJ38" s="127" t="s">
        <v>79</v>
      </c>
      <c r="AK38" s="325">
        <v>3.08514</v>
      </c>
      <c r="AL38" s="127" t="s">
        <v>79</v>
      </c>
      <c r="AM38" s="127" t="s">
        <v>79</v>
      </c>
      <c r="AO38" s="127" t="s">
        <v>79</v>
      </c>
      <c r="AQ38" s="127" t="s">
        <v>79</v>
      </c>
      <c r="AS38" s="127" t="s">
        <v>79</v>
      </c>
    </row>
    <row r="39" spans="1:46" s="248" customFormat="1" x14ac:dyDescent="0.3">
      <c r="A39" s="873"/>
      <c r="B39" s="257" t="s">
        <v>100</v>
      </c>
      <c r="C39" s="251">
        <v>0</v>
      </c>
      <c r="D39" s="250"/>
      <c r="E39" s="251">
        <v>305777.77777777775</v>
      </c>
      <c r="F39" s="250">
        <f t="shared" si="1"/>
        <v>0.30577777777777776</v>
      </c>
      <c r="G39" s="251">
        <v>9777.7777777777774</v>
      </c>
      <c r="H39" s="251">
        <v>315555.55555555556</v>
      </c>
      <c r="I39" s="250">
        <v>96.901408450704224</v>
      </c>
      <c r="J39" s="251">
        <v>24000</v>
      </c>
      <c r="K39" s="251">
        <v>36000</v>
      </c>
      <c r="L39" s="261">
        <v>60000</v>
      </c>
      <c r="M39" s="250">
        <v>40</v>
      </c>
      <c r="N39" s="250">
        <v>19.305210918114142</v>
      </c>
      <c r="O39" s="252">
        <f t="shared" si="33"/>
        <v>61.178485303882844</v>
      </c>
      <c r="P39" s="251">
        <f t="shared" si="34"/>
        <v>24249.168388786886</v>
      </c>
      <c r="Q39" s="250">
        <f t="shared" si="35"/>
        <v>92.652367126244187</v>
      </c>
      <c r="R39" s="252">
        <f t="shared" si="36"/>
        <v>72.190372251097259</v>
      </c>
      <c r="S39" s="252">
        <f t="shared" si="17"/>
        <v>41.189927032394081</v>
      </c>
      <c r="T39" s="252">
        <f t="shared" si="12"/>
        <v>113.38029928349134</v>
      </c>
      <c r="U39" s="252"/>
      <c r="V39" s="250">
        <f t="shared" si="13"/>
        <v>19.014084507042252</v>
      </c>
      <c r="W39" s="260"/>
      <c r="X39" s="260"/>
      <c r="Y39" s="251">
        <v>0</v>
      </c>
      <c r="Z39" s="259">
        <v>2283.333333333333</v>
      </c>
      <c r="AA39" s="252">
        <v>100.31827272727271</v>
      </c>
      <c r="AB39" s="251">
        <f t="shared" si="14"/>
        <v>255555.55555555556</v>
      </c>
      <c r="AC39" s="250">
        <f t="shared" si="15"/>
        <v>111.92214111922142</v>
      </c>
      <c r="AD39" s="325">
        <v>1.9077599999999999</v>
      </c>
      <c r="AE39" s="325">
        <f t="shared" si="28"/>
        <v>10.589489109438487</v>
      </c>
      <c r="AF39" s="127" t="s">
        <v>79</v>
      </c>
      <c r="AG39" s="325">
        <v>1.6632800000000001</v>
      </c>
      <c r="AH39" s="127" t="s">
        <v>79</v>
      </c>
      <c r="AI39" s="325">
        <v>1.5992</v>
      </c>
      <c r="AJ39" s="127" t="s">
        <v>79</v>
      </c>
      <c r="AK39" s="325">
        <v>3.6495799999999998</v>
      </c>
      <c r="AL39" s="127" t="s">
        <v>79</v>
      </c>
      <c r="AM39" s="127" t="s">
        <v>79</v>
      </c>
      <c r="AO39" s="127" t="s">
        <v>79</v>
      </c>
      <c r="AQ39" s="127" t="s">
        <v>79</v>
      </c>
      <c r="AS39" s="127" t="s">
        <v>79</v>
      </c>
    </row>
    <row r="40" spans="1:46" s="248" customFormat="1" ht="14.4" customHeight="1" x14ac:dyDescent="0.3">
      <c r="A40" s="873"/>
      <c r="B40" s="257" t="s">
        <v>99</v>
      </c>
      <c r="C40" s="251">
        <f>E40-E32</f>
        <v>56000</v>
      </c>
      <c r="D40" s="250"/>
      <c r="E40" s="254">
        <v>367111.11111111107</v>
      </c>
      <c r="F40" s="250">
        <f t="shared" si="1"/>
        <v>0.36711111111111105</v>
      </c>
      <c r="G40" s="254">
        <v>7111.1111111111104</v>
      </c>
      <c r="H40" s="254">
        <v>374222.22222222219</v>
      </c>
      <c r="I40" s="255">
        <v>98.099762470308775</v>
      </c>
      <c r="J40" s="254">
        <v>43333.333333333336</v>
      </c>
      <c r="K40" s="254">
        <v>29333.333333333332</v>
      </c>
      <c r="L40" s="258">
        <v>72666.666666666672</v>
      </c>
      <c r="M40" s="250">
        <v>59.633027522935777</v>
      </c>
      <c r="N40" s="250">
        <v>41.829573934837093</v>
      </c>
      <c r="O40" s="252">
        <f t="shared" si="33"/>
        <v>111.77736502777134</v>
      </c>
      <c r="P40" s="251">
        <f t="shared" si="34"/>
        <v>57456.249351079314</v>
      </c>
      <c r="Q40" s="250">
        <f t="shared" si="35"/>
        <v>86.467106353033927</v>
      </c>
      <c r="R40" s="252">
        <f t="shared" si="36"/>
        <v>105.30660364203963</v>
      </c>
      <c r="S40" s="252">
        <f t="shared" si="17"/>
        <v>49.885578294788381</v>
      </c>
      <c r="T40" s="252">
        <f t="shared" si="12"/>
        <v>155.19218193682801</v>
      </c>
      <c r="U40" s="252"/>
      <c r="V40" s="250">
        <f t="shared" si="13"/>
        <v>19.418052256532071</v>
      </c>
      <c r="W40" s="252"/>
      <c r="X40" s="252"/>
      <c r="Y40" s="251">
        <v>0</v>
      </c>
      <c r="Z40" s="253">
        <v>3566.666666666667</v>
      </c>
      <c r="AA40" s="252">
        <v>96.944149572649607</v>
      </c>
      <c r="AB40" s="251">
        <f t="shared" si="14"/>
        <v>301555.5555555555</v>
      </c>
      <c r="AC40" s="250">
        <f t="shared" si="15"/>
        <v>84.548286604361351</v>
      </c>
      <c r="AD40" s="325">
        <v>1.97716</v>
      </c>
      <c r="AE40" s="325">
        <f t="shared" si="28"/>
        <v>10.974710806190192</v>
      </c>
      <c r="AF40" s="326">
        <f>((AE32-AE40)/$E40)/24*1000000</f>
        <v>7.1316320044822953E-2</v>
      </c>
      <c r="AG40" s="325">
        <v>1.90167</v>
      </c>
      <c r="AH40" s="326">
        <f>((AG32-AG40)/$E40)/24*1000000*(-1)</f>
        <v>5.8743568401937042E-2</v>
      </c>
      <c r="AI40" s="325">
        <v>1.70465</v>
      </c>
      <c r="AJ40" s="326">
        <f>((AI32-AI40)/$E40)/24*1000000*(-1)</f>
        <v>0.10154623184019372</v>
      </c>
      <c r="AK40" s="325">
        <v>3.7248099999999997</v>
      </c>
      <c r="AL40" s="326">
        <f>((AK32-AK40)/$E40)/24*1000000</f>
        <v>6.6778147699757859E-2</v>
      </c>
      <c r="AM40" s="249">
        <f t="shared" ref="AM40:AM45" si="37">AE32-AE40</f>
        <v>0.62834432380825334</v>
      </c>
      <c r="AN40" s="249"/>
      <c r="AO40" s="249">
        <f t="shared" ref="AO40:AO45" si="38">AG40-AG32</f>
        <v>0.51756999999999986</v>
      </c>
      <c r="AP40" s="249"/>
      <c r="AQ40" s="249">
        <f t="shared" ref="AQ40:AQ45" si="39">AI40-AI32</f>
        <v>0.89468999999999999</v>
      </c>
      <c r="AR40" s="249"/>
      <c r="AS40" s="249">
        <f t="shared" ref="AS40:AS45" si="40">AK32-AK40</f>
        <v>0.58835999999999977</v>
      </c>
      <c r="AT40" s="249"/>
    </row>
    <row r="41" spans="1:46" s="248" customFormat="1" x14ac:dyDescent="0.3">
      <c r="A41" s="873"/>
      <c r="B41" s="257" t="s">
        <v>98</v>
      </c>
      <c r="C41" s="251">
        <v>0</v>
      </c>
      <c r="D41" s="250"/>
      <c r="E41" s="254">
        <v>320888.88888888893</v>
      </c>
      <c r="F41" s="250">
        <f t="shared" si="1"/>
        <v>0.32088888888888895</v>
      </c>
      <c r="G41" s="254">
        <v>8000</v>
      </c>
      <c r="H41" s="254">
        <v>328888.88888888893</v>
      </c>
      <c r="I41" s="255">
        <v>97.567567567567565</v>
      </c>
      <c r="J41" s="254">
        <v>32666.666666666664</v>
      </c>
      <c r="K41" s="254">
        <v>24666.666666666668</v>
      </c>
      <c r="L41" s="254">
        <v>57333.333333333328</v>
      </c>
      <c r="M41" s="250">
        <v>56.97674418604651</v>
      </c>
      <c r="N41" s="250">
        <v>43.709273182957389</v>
      </c>
      <c r="O41" s="252">
        <f t="shared" si="33"/>
        <v>132.89981711034341</v>
      </c>
      <c r="P41" s="251">
        <f t="shared" si="34"/>
        <v>60227.440930204029</v>
      </c>
      <c r="Q41" s="250">
        <f t="shared" si="35"/>
        <v>84.197097784082715</v>
      </c>
      <c r="R41" s="252">
        <f t="shared" si="36"/>
        <v>100.37457846975329</v>
      </c>
      <c r="S41" s="252">
        <f t="shared" si="17"/>
        <v>39.359263608732114</v>
      </c>
      <c r="T41" s="252">
        <f t="shared" si="12"/>
        <v>139.7338420784854</v>
      </c>
      <c r="U41" s="252"/>
      <c r="V41" s="250">
        <f t="shared" si="13"/>
        <v>17.432432432432428</v>
      </c>
      <c r="W41" s="252"/>
      <c r="X41" s="252"/>
      <c r="Y41" s="251">
        <v>0</v>
      </c>
      <c r="Z41" s="253">
        <v>3422.2222222222226</v>
      </c>
      <c r="AA41" s="252">
        <v>96.623513888888894</v>
      </c>
      <c r="AB41" s="251">
        <f t="shared" si="14"/>
        <v>271555.55555555562</v>
      </c>
      <c r="AC41" s="250">
        <f t="shared" si="15"/>
        <v>79.350649350649363</v>
      </c>
      <c r="AD41" s="325">
        <v>1.92309</v>
      </c>
      <c r="AE41" s="325">
        <f t="shared" si="28"/>
        <v>10.674582028908279</v>
      </c>
      <c r="AF41" s="326">
        <f t="shared" ref="AF41:AF45" si="41">((AE33-AE41)/$E41)/24*1000000</f>
        <v>3.1633768278018663E-2</v>
      </c>
      <c r="AG41" s="325">
        <v>1.7569300000000001</v>
      </c>
      <c r="AH41" s="326">
        <f t="shared" ref="AH41:AH45" si="42">((AG33-AG41)/$E41)/24*1000000*(-1)</f>
        <v>6.9726887119113568E-2</v>
      </c>
      <c r="AI41" s="325">
        <v>1.65351</v>
      </c>
      <c r="AJ41" s="326">
        <f t="shared" ref="AJ41:AJ45" si="43">((AI33-AI41)/$E41)/24*1000000*(-1)</f>
        <v>0.11894433864265926</v>
      </c>
      <c r="AK41" s="325">
        <v>3.7000099999999998</v>
      </c>
      <c r="AL41" s="326">
        <f t="shared" ref="AL41:AL45" si="44">((AK33-AK41)/$E41)/24*1000000</f>
        <v>4.4779259002770154E-2</v>
      </c>
      <c r="AM41" s="249">
        <f t="shared" si="37"/>
        <v>0.24362219409844776</v>
      </c>
      <c r="AN41" s="249"/>
      <c r="AO41" s="249">
        <f t="shared" si="38"/>
        <v>0.53699000000000008</v>
      </c>
      <c r="AP41" s="249"/>
      <c r="AQ41" s="249">
        <f t="shared" si="39"/>
        <v>0.91603000000000001</v>
      </c>
      <c r="AR41" s="249"/>
      <c r="AS41" s="249">
        <f t="shared" si="40"/>
        <v>0.34486000000000061</v>
      </c>
      <c r="AT41" s="249"/>
    </row>
    <row r="42" spans="1:46" s="248" customFormat="1" x14ac:dyDescent="0.3">
      <c r="A42" s="873"/>
      <c r="B42" s="257" t="s">
        <v>97</v>
      </c>
      <c r="C42" s="251">
        <v>0</v>
      </c>
      <c r="D42" s="250"/>
      <c r="E42" s="254">
        <v>290666.66666666669</v>
      </c>
      <c r="F42" s="250">
        <f t="shared" si="1"/>
        <v>0.29066666666666668</v>
      </c>
      <c r="G42" s="254">
        <v>20444.444444444445</v>
      </c>
      <c r="H42" s="254">
        <v>311111.11111111107</v>
      </c>
      <c r="I42" s="255">
        <v>93.428571428571431</v>
      </c>
      <c r="J42" s="254">
        <v>34000</v>
      </c>
      <c r="K42" s="254">
        <v>21000</v>
      </c>
      <c r="L42" s="254">
        <v>55000.000000000007</v>
      </c>
      <c r="M42" s="250">
        <v>61.818181818181813</v>
      </c>
      <c r="N42" s="250">
        <v>23.484337349397592</v>
      </c>
      <c r="O42" s="252">
        <f t="shared" si="33"/>
        <v>75.48537005163513</v>
      </c>
      <c r="P42" s="251">
        <f t="shared" si="34"/>
        <v>30410.345495205063</v>
      </c>
      <c r="Q42" s="250">
        <f t="shared" si="35"/>
        <v>90.528644423826393</v>
      </c>
      <c r="R42" s="252">
        <f t="shared" si="36"/>
        <v>84.176634161635221</v>
      </c>
      <c r="S42" s="252">
        <f t="shared" si="17"/>
        <v>37.757433113027908</v>
      </c>
      <c r="T42" s="252">
        <f t="shared" si="12"/>
        <v>121.93406727466314</v>
      </c>
      <c r="U42" s="252"/>
      <c r="V42" s="250">
        <f t="shared" si="13"/>
        <v>17.678571428571431</v>
      </c>
      <c r="W42" s="252"/>
      <c r="X42" s="252"/>
      <c r="Y42" s="251">
        <v>0</v>
      </c>
      <c r="Z42" s="253">
        <v>3040</v>
      </c>
      <c r="AA42" s="252">
        <v>93.882371179039311</v>
      </c>
      <c r="AB42" s="251">
        <f t="shared" si="14"/>
        <v>256111.11111111107</v>
      </c>
      <c r="AC42" s="250">
        <f t="shared" si="15"/>
        <v>84.247076023391799</v>
      </c>
      <c r="AD42" s="325">
        <v>1.82758</v>
      </c>
      <c r="AE42" s="325">
        <f t="shared" si="28"/>
        <v>10.144430382557339</v>
      </c>
      <c r="AF42" s="326">
        <f t="shared" si="41"/>
        <v>0.13583252058206022</v>
      </c>
      <c r="AG42" s="325">
        <v>1.59806</v>
      </c>
      <c r="AH42" s="326">
        <f t="shared" si="42"/>
        <v>6.0510321100917426E-2</v>
      </c>
      <c r="AI42" s="325">
        <v>1.5736699999999999</v>
      </c>
      <c r="AJ42" s="326">
        <f t="shared" si="43"/>
        <v>0.12110521788990822</v>
      </c>
      <c r="AK42" s="325">
        <v>3.9028499999999999</v>
      </c>
      <c r="AL42" s="326">
        <f t="shared" si="44"/>
        <v>4.7019782110091723E-2</v>
      </c>
      <c r="AM42" s="249">
        <f t="shared" si="37"/>
        <v>0.94756766358045219</v>
      </c>
      <c r="AN42" s="249"/>
      <c r="AO42" s="249">
        <f t="shared" si="38"/>
        <v>0.42212000000000005</v>
      </c>
      <c r="AP42" s="249"/>
      <c r="AQ42" s="249">
        <f t="shared" si="39"/>
        <v>0.84482999999999986</v>
      </c>
      <c r="AR42" s="249"/>
      <c r="AS42" s="249">
        <f t="shared" si="40"/>
        <v>0.32800999999999991</v>
      </c>
      <c r="AT42" s="249"/>
    </row>
    <row r="43" spans="1:46" s="248" customFormat="1" x14ac:dyDescent="0.3">
      <c r="A43" s="873"/>
      <c r="B43" s="257" t="s">
        <v>96</v>
      </c>
      <c r="C43" s="251">
        <f>E43-E35</f>
        <v>114666.66666666663</v>
      </c>
      <c r="D43" s="250"/>
      <c r="E43" s="254">
        <v>408000</v>
      </c>
      <c r="F43" s="250">
        <f t="shared" si="1"/>
        <v>0.40799999999999997</v>
      </c>
      <c r="G43" s="254">
        <v>16888.888888888887</v>
      </c>
      <c r="H43" s="254">
        <v>424888.88888888893</v>
      </c>
      <c r="I43" s="255">
        <v>96.025104602510453</v>
      </c>
      <c r="J43" s="254">
        <v>27000</v>
      </c>
      <c r="K43" s="254">
        <v>14000.000000000002</v>
      </c>
      <c r="L43" s="254">
        <v>41000</v>
      </c>
      <c r="M43" s="250">
        <v>65.853658536585371</v>
      </c>
      <c r="N43" s="250">
        <v>26.665060240963854</v>
      </c>
      <c r="O43" s="252">
        <f t="shared" si="33"/>
        <v>62.757725462519524</v>
      </c>
      <c r="P43" s="251">
        <f t="shared" si="34"/>
        <v>35099.602301288302</v>
      </c>
      <c r="Q43" s="250">
        <f t="shared" si="35"/>
        <v>92.078620220150384</v>
      </c>
      <c r="R43" s="252">
        <f t="shared" si="36"/>
        <v>81.996712289610443</v>
      </c>
      <c r="S43" s="252">
        <f t="shared" si="17"/>
        <v>28.146450138802621</v>
      </c>
      <c r="T43" s="252">
        <f t="shared" si="12"/>
        <v>110.14316242841306</v>
      </c>
      <c r="U43" s="252"/>
      <c r="V43" s="250">
        <f t="shared" si="13"/>
        <v>9.6495815899581583</v>
      </c>
      <c r="W43" s="252"/>
      <c r="X43" s="252"/>
      <c r="Y43" s="251">
        <v>0</v>
      </c>
      <c r="Z43" s="253">
        <v>3800</v>
      </c>
      <c r="AA43" s="252">
        <v>82.876515873015833</v>
      </c>
      <c r="AB43" s="251">
        <f t="shared" si="14"/>
        <v>383888.88888888893</v>
      </c>
      <c r="AC43" s="250">
        <f t="shared" si="15"/>
        <v>101.02339181286551</v>
      </c>
      <c r="AD43" s="325">
        <v>1.8508</v>
      </c>
      <c r="AE43" s="325">
        <f t="shared" si="28"/>
        <v>10.273318679366771</v>
      </c>
      <c r="AF43" s="326">
        <f t="shared" si="41"/>
        <v>4.5621318459368579E-2</v>
      </c>
      <c r="AG43" s="325">
        <v>1.6376500000000001</v>
      </c>
      <c r="AH43" s="326">
        <f t="shared" si="42"/>
        <v>5.0623978758169944E-2</v>
      </c>
      <c r="AI43" s="325">
        <v>1.87673</v>
      </c>
      <c r="AJ43" s="326">
        <f t="shared" si="43"/>
        <v>0.10401041666666667</v>
      </c>
      <c r="AK43" s="325">
        <v>3.8781699999999999</v>
      </c>
      <c r="AL43" s="326">
        <f t="shared" si="44"/>
        <v>2.8321078431372597E-2</v>
      </c>
      <c r="AM43" s="249">
        <f t="shared" si="37"/>
        <v>0.44672395035413714</v>
      </c>
      <c r="AN43" s="249"/>
      <c r="AO43" s="249">
        <f t="shared" si="38"/>
        <v>0.49571000000000009</v>
      </c>
      <c r="AP43" s="249"/>
      <c r="AQ43" s="249">
        <f t="shared" si="39"/>
        <v>1.01847</v>
      </c>
      <c r="AR43" s="249"/>
      <c r="AS43" s="249">
        <f t="shared" si="40"/>
        <v>0.27732000000000046</v>
      </c>
      <c r="AT43" s="249"/>
    </row>
    <row r="44" spans="1:46" s="248" customFormat="1" x14ac:dyDescent="0.3">
      <c r="A44" s="873"/>
      <c r="B44" s="257" t="s">
        <v>95</v>
      </c>
      <c r="C44" s="251">
        <f>E44-E36</f>
        <v>24000</v>
      </c>
      <c r="D44" s="250"/>
      <c r="E44" s="254">
        <v>338666.66666666663</v>
      </c>
      <c r="F44" s="250">
        <f t="shared" si="1"/>
        <v>0.33866666666666662</v>
      </c>
      <c r="G44" s="254">
        <v>11555.555555555553</v>
      </c>
      <c r="H44" s="254">
        <v>350222.22222222225</v>
      </c>
      <c r="I44" s="255">
        <v>96.700507614213194</v>
      </c>
      <c r="J44" s="254">
        <v>46000</v>
      </c>
      <c r="K44" s="254">
        <v>21000</v>
      </c>
      <c r="L44" s="254">
        <v>67000</v>
      </c>
      <c r="M44" s="250">
        <v>68.656716417910445</v>
      </c>
      <c r="N44" s="250">
        <v>22.024630541871925</v>
      </c>
      <c r="O44" s="252">
        <f t="shared" si="33"/>
        <v>62.887587207121612</v>
      </c>
      <c r="P44" s="251">
        <f t="shared" si="34"/>
        <v>28258.337817885786</v>
      </c>
      <c r="Q44" s="250">
        <f t="shared" si="35"/>
        <v>92.298606670978316</v>
      </c>
      <c r="R44" s="252">
        <f t="shared" si="36"/>
        <v>106.0860488147168</v>
      </c>
      <c r="S44" s="252">
        <f t="shared" si="17"/>
        <v>45.995418519506721</v>
      </c>
      <c r="T44" s="252">
        <f t="shared" si="12"/>
        <v>152.08146733422353</v>
      </c>
      <c r="U44" s="252"/>
      <c r="V44" s="250">
        <f t="shared" si="13"/>
        <v>19.130710659898476</v>
      </c>
      <c r="W44" s="252"/>
      <c r="X44" s="252"/>
      <c r="Y44" s="251">
        <v>0</v>
      </c>
      <c r="Z44" s="253">
        <v>5000</v>
      </c>
      <c r="AA44" s="252">
        <v>82.180579365079396</v>
      </c>
      <c r="AB44" s="251">
        <f t="shared" si="14"/>
        <v>283222.22222222225</v>
      </c>
      <c r="AC44" s="250">
        <f t="shared" si="15"/>
        <v>56.644444444444453</v>
      </c>
      <c r="AD44" s="325">
        <v>2.0365600000000001</v>
      </c>
      <c r="AE44" s="325">
        <f t="shared" si="28"/>
        <v>11.304425053842225</v>
      </c>
      <c r="AF44" s="326">
        <f t="shared" si="41"/>
        <v>4.8985596997038285E-2</v>
      </c>
      <c r="AG44" s="325">
        <v>1.19974</v>
      </c>
      <c r="AH44" s="326">
        <f t="shared" si="42"/>
        <v>8.9950787401574805E-2</v>
      </c>
      <c r="AI44" s="325">
        <v>0.98521999999999998</v>
      </c>
      <c r="AJ44" s="326">
        <f t="shared" si="43"/>
        <v>8.7465551181102358E-2</v>
      </c>
      <c r="AK44" s="325">
        <v>3.9308800000000002</v>
      </c>
      <c r="AL44" s="326">
        <f t="shared" si="44"/>
        <v>0.12348548228346455</v>
      </c>
      <c r="AM44" s="249">
        <f t="shared" si="37"/>
        <v>0.39815493239192712</v>
      </c>
      <c r="AN44" s="249"/>
      <c r="AO44" s="249">
        <f t="shared" si="38"/>
        <v>0.73111999999999999</v>
      </c>
      <c r="AP44" s="249"/>
      <c r="AQ44" s="249">
        <f t="shared" si="39"/>
        <v>0.71092</v>
      </c>
      <c r="AR44" s="249"/>
      <c r="AS44" s="249">
        <f t="shared" si="40"/>
        <v>1.0036899999999997</v>
      </c>
      <c r="AT44" s="249"/>
    </row>
    <row r="45" spans="1:46" s="248" customFormat="1" x14ac:dyDescent="0.3">
      <c r="A45" s="873"/>
      <c r="B45" s="256" t="s">
        <v>94</v>
      </c>
      <c r="C45" s="251">
        <f>E45-E37</f>
        <v>78222.222222222248</v>
      </c>
      <c r="D45" s="250"/>
      <c r="E45" s="254">
        <v>374222.22222222225</v>
      </c>
      <c r="F45" s="250">
        <f t="shared" si="1"/>
        <v>0.37422222222222223</v>
      </c>
      <c r="G45" s="254">
        <v>19555.555555555555</v>
      </c>
      <c r="H45" s="254">
        <v>393777.77777777781</v>
      </c>
      <c r="I45" s="255">
        <v>95.033860045146724</v>
      </c>
      <c r="J45" s="254">
        <v>43000</v>
      </c>
      <c r="K45" s="254">
        <v>24000</v>
      </c>
      <c r="L45" s="254">
        <v>67000</v>
      </c>
      <c r="M45" s="250">
        <v>64.179104477611943</v>
      </c>
      <c r="N45" s="250">
        <v>29.672413793103456</v>
      </c>
      <c r="O45" s="252">
        <f t="shared" si="33"/>
        <v>75.35319529851327</v>
      </c>
      <c r="P45" s="251">
        <f t="shared" si="34"/>
        <v>39533.26521171083</v>
      </c>
      <c r="Q45" s="250">
        <f t="shared" si="35"/>
        <v>90.445258996589544</v>
      </c>
      <c r="R45" s="252">
        <f t="shared" si="36"/>
        <v>112.88891727800356</v>
      </c>
      <c r="S45" s="252">
        <f t="shared" si="17"/>
        <v>45.995418519506721</v>
      </c>
      <c r="T45" s="252">
        <f t="shared" si="12"/>
        <v>158.88433579751029</v>
      </c>
      <c r="U45" s="252"/>
      <c r="V45" s="250">
        <f t="shared" si="13"/>
        <v>17.014672686230249</v>
      </c>
      <c r="W45" s="252"/>
      <c r="X45" s="252"/>
      <c r="Y45" s="251">
        <v>0</v>
      </c>
      <c r="Z45" s="253">
        <v>4760</v>
      </c>
      <c r="AA45" s="252">
        <v>86.88548728813565</v>
      </c>
      <c r="AB45" s="251">
        <f t="shared" si="14"/>
        <v>326777.77777777781</v>
      </c>
      <c r="AC45" s="250">
        <f t="shared" si="15"/>
        <v>68.650793650793659</v>
      </c>
      <c r="AD45" s="325">
        <v>1.92852</v>
      </c>
      <c r="AE45" s="325">
        <f t="shared" si="28"/>
        <v>10.7047225737694</v>
      </c>
      <c r="AF45" s="326">
        <f t="shared" si="41"/>
        <v>2.5574134245965198E-2</v>
      </c>
      <c r="AG45" s="325">
        <v>1.5139400000000001</v>
      </c>
      <c r="AH45" s="326">
        <f t="shared" si="42"/>
        <v>6.0503266033254163E-2</v>
      </c>
      <c r="AI45" s="325">
        <v>1.50928</v>
      </c>
      <c r="AJ45" s="326">
        <f t="shared" si="43"/>
        <v>8.8093824228028472E-2</v>
      </c>
      <c r="AK45" s="325">
        <v>3.86924</v>
      </c>
      <c r="AL45" s="326">
        <f t="shared" si="44"/>
        <v>4.4600282066508269E-2</v>
      </c>
      <c r="AM45" s="249">
        <f t="shared" si="37"/>
        <v>0.22968982437442875</v>
      </c>
      <c r="AN45" s="249"/>
      <c r="AO45" s="249">
        <f t="shared" si="38"/>
        <v>0.54340000000000011</v>
      </c>
      <c r="AP45" s="249"/>
      <c r="AQ45" s="249">
        <f t="shared" si="39"/>
        <v>0.7911999999999999</v>
      </c>
      <c r="AR45" s="249"/>
      <c r="AS45" s="249">
        <f t="shared" si="40"/>
        <v>0.40056999999999965</v>
      </c>
      <c r="AT45" s="249"/>
    </row>
    <row r="46" spans="1:46" ht="14.4" customHeight="1" x14ac:dyDescent="0.3">
      <c r="F46" s="212"/>
      <c r="AA46" s="247"/>
      <c r="AB46" s="247"/>
      <c r="AC46" s="247"/>
      <c r="AD46" s="192"/>
      <c r="AE46" s="192"/>
      <c r="AF46" s="192"/>
      <c r="AG46" s="192"/>
      <c r="AH46" s="192"/>
      <c r="AI46" s="192"/>
      <c r="AJ46" s="192"/>
      <c r="AK46" s="192"/>
      <c r="AL46" s="192"/>
    </row>
    <row r="47" spans="1:46" x14ac:dyDescent="0.3">
      <c r="F47" s="212"/>
      <c r="Z47" s="78"/>
      <c r="AA47" s="78"/>
      <c r="AB47" s="78"/>
      <c r="AC47" s="78"/>
      <c r="AD47" s="192"/>
      <c r="AE47" s="192"/>
      <c r="AF47" s="192"/>
      <c r="AG47" s="192"/>
      <c r="AH47" s="192"/>
      <c r="AI47" s="192"/>
      <c r="AJ47" s="192"/>
      <c r="AK47" s="192"/>
      <c r="AL47" s="192"/>
    </row>
    <row r="48" spans="1:46" x14ac:dyDescent="0.3">
      <c r="F48" s="212"/>
      <c r="L48" s="39"/>
      <c r="Z48" s="78"/>
      <c r="AA48" s="78"/>
      <c r="AB48" s="78"/>
      <c r="AC48" s="78"/>
    </row>
    <row r="49" spans="6:29" x14ac:dyDescent="0.3">
      <c r="F49" s="212"/>
      <c r="L49" s="39"/>
      <c r="AA49" s="247"/>
      <c r="AB49" s="78"/>
      <c r="AC49" s="78"/>
    </row>
    <row r="50" spans="6:29" x14ac:dyDescent="0.3">
      <c r="F50" s="212"/>
      <c r="L50" s="39"/>
    </row>
    <row r="51" spans="6:29" x14ac:dyDescent="0.3">
      <c r="F51" s="212"/>
      <c r="L51" s="39"/>
      <c r="AA51" s="247"/>
    </row>
    <row r="52" spans="6:29" ht="14.4" customHeight="1" x14ac:dyDescent="0.3">
      <c r="F52" s="212"/>
      <c r="L52" s="39"/>
      <c r="AA52" s="78"/>
    </row>
    <row r="53" spans="6:29" x14ac:dyDescent="0.3">
      <c r="F53" s="212"/>
      <c r="L53" s="39"/>
      <c r="AA53" s="78"/>
    </row>
    <row r="54" spans="6:29" x14ac:dyDescent="0.3">
      <c r="F54" s="212"/>
      <c r="L54" s="39"/>
      <c r="AA54" s="78"/>
    </row>
    <row r="55" spans="6:29" x14ac:dyDescent="0.3">
      <c r="F55" s="212"/>
      <c r="L55" s="39"/>
    </row>
    <row r="56" spans="6:29" x14ac:dyDescent="0.3">
      <c r="F56" s="212"/>
      <c r="L56" s="39"/>
    </row>
    <row r="61" spans="6:29" ht="14.4" customHeight="1" x14ac:dyDescent="0.3"/>
  </sheetData>
  <mergeCells count="11">
    <mergeCell ref="A2:AT2"/>
    <mergeCell ref="N4:Q4"/>
    <mergeCell ref="J4:M4"/>
    <mergeCell ref="E4:I4"/>
    <mergeCell ref="R4:U4"/>
    <mergeCell ref="AD4:AT4"/>
    <mergeCell ref="A38:A45"/>
    <mergeCell ref="A6:A13"/>
    <mergeCell ref="A14:A21"/>
    <mergeCell ref="A22:A29"/>
    <mergeCell ref="A30:A37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30"/>
  <sheetViews>
    <sheetView topLeftCell="U1" zoomScale="51" zoomScaleNormal="100" workbookViewId="0">
      <selection activeCell="S6" sqref="S6:S7"/>
    </sheetView>
  </sheetViews>
  <sheetFormatPr baseColWidth="10" defaultRowHeight="14.4" x14ac:dyDescent="0.3"/>
  <cols>
    <col min="16" max="16" width="22" bestFit="1" customWidth="1"/>
    <col min="29" max="29" width="16.33203125" bestFit="1" customWidth="1"/>
    <col min="30" max="30" width="16.44140625" bestFit="1" customWidth="1"/>
    <col min="31" max="31" width="18.44140625" customWidth="1"/>
    <col min="33" max="33" width="16.33203125" bestFit="1" customWidth="1"/>
    <col min="34" max="34" width="14.88671875" bestFit="1" customWidth="1"/>
    <col min="35" max="35" width="18.44140625" customWidth="1"/>
  </cols>
  <sheetData>
    <row r="2" spans="1:43" ht="21" x14ac:dyDescent="0.3">
      <c r="A2" s="900" t="s">
        <v>454</v>
      </c>
      <c r="B2" s="901"/>
      <c r="C2" s="901"/>
      <c r="D2" s="901"/>
      <c r="E2" s="901"/>
      <c r="F2" s="901"/>
      <c r="G2" s="901"/>
      <c r="H2" s="901"/>
      <c r="I2" s="901"/>
      <c r="J2" s="901"/>
      <c r="K2" s="901"/>
      <c r="L2" s="901"/>
      <c r="M2" s="901"/>
      <c r="N2" s="901"/>
      <c r="O2" s="901"/>
      <c r="P2" s="901"/>
      <c r="Q2" s="901"/>
      <c r="R2" s="901"/>
      <c r="S2" s="901"/>
      <c r="T2" s="901"/>
      <c r="U2" s="901"/>
      <c r="V2" s="901"/>
      <c r="W2" s="901"/>
      <c r="X2" s="901"/>
      <c r="Y2" s="901"/>
      <c r="Z2" s="901"/>
      <c r="AA2" s="901"/>
      <c r="AB2" s="901"/>
      <c r="AC2" s="901"/>
      <c r="AD2" s="901"/>
      <c r="AE2" s="901"/>
      <c r="AF2" s="901"/>
      <c r="AG2" s="901"/>
      <c r="AH2" s="901"/>
      <c r="AI2" s="901"/>
      <c r="AJ2" s="901"/>
      <c r="AK2" s="901"/>
      <c r="AL2" s="901"/>
      <c r="AM2" s="901"/>
      <c r="AN2" s="901"/>
      <c r="AO2" s="901"/>
      <c r="AP2" s="901"/>
      <c r="AQ2" s="901"/>
    </row>
    <row r="3" spans="1:43" ht="15" thickBot="1" x14ac:dyDescent="0.35">
      <c r="A3" s="58"/>
      <c r="B3" s="58"/>
      <c r="C3" s="58"/>
      <c r="D3" s="58"/>
      <c r="E3" s="59"/>
      <c r="F3" s="59"/>
      <c r="G3" s="58"/>
      <c r="H3" s="58"/>
      <c r="I3" s="74"/>
      <c r="J3" s="58"/>
      <c r="K3" s="58"/>
      <c r="L3" s="59"/>
      <c r="M3" s="74"/>
      <c r="N3" s="74"/>
      <c r="O3" s="75"/>
      <c r="P3" s="75"/>
      <c r="Q3" s="75"/>
      <c r="R3" s="75"/>
      <c r="S3" s="75"/>
      <c r="T3" s="75"/>
      <c r="U3" s="74"/>
      <c r="V3" s="382"/>
      <c r="W3" s="381"/>
      <c r="X3" s="380"/>
      <c r="Y3" s="59"/>
      <c r="Z3" s="74"/>
    </row>
    <row r="4" spans="1:43" ht="15" thickBot="1" x14ac:dyDescent="0.35">
      <c r="D4" s="314"/>
      <c r="E4" s="885" t="s">
        <v>415</v>
      </c>
      <c r="F4" s="886"/>
      <c r="G4" s="886"/>
      <c r="H4" s="886"/>
      <c r="I4" s="887"/>
      <c r="J4" s="883" t="s">
        <v>58</v>
      </c>
      <c r="K4" s="884"/>
      <c r="L4" s="884"/>
      <c r="M4" s="903"/>
      <c r="N4" s="880" t="s">
        <v>115</v>
      </c>
      <c r="O4" s="881"/>
      <c r="P4" s="881"/>
      <c r="Q4" s="882"/>
      <c r="R4" s="888" t="s">
        <v>114</v>
      </c>
      <c r="S4" s="889"/>
      <c r="T4" s="889"/>
      <c r="U4" s="77"/>
      <c r="V4" s="379"/>
      <c r="W4" s="303"/>
      <c r="X4" s="302"/>
      <c r="Y4" s="1"/>
      <c r="Z4" s="39"/>
      <c r="AA4" s="891" t="s">
        <v>432</v>
      </c>
      <c r="AB4" s="892"/>
      <c r="AC4" s="892"/>
      <c r="AD4" s="892"/>
      <c r="AE4" s="892"/>
      <c r="AF4" s="892"/>
      <c r="AG4" s="892"/>
      <c r="AH4" s="892"/>
      <c r="AI4" s="892"/>
      <c r="AJ4" s="892"/>
      <c r="AK4" s="892"/>
      <c r="AL4" s="892"/>
      <c r="AM4" s="892"/>
      <c r="AN4" s="892"/>
      <c r="AO4" s="892"/>
      <c r="AP4" s="892"/>
      <c r="AQ4" s="893"/>
    </row>
    <row r="5" spans="1:43" ht="57.6" customHeight="1" x14ac:dyDescent="0.3">
      <c r="A5" s="79" t="s">
        <v>59</v>
      </c>
      <c r="B5" s="80" t="s">
        <v>113</v>
      </c>
      <c r="C5" s="80" t="s">
        <v>29</v>
      </c>
      <c r="D5" s="313" t="s">
        <v>112</v>
      </c>
      <c r="E5" s="312" t="s">
        <v>60</v>
      </c>
      <c r="F5" s="312" t="s">
        <v>93</v>
      </c>
      <c r="G5" s="81" t="s">
        <v>62</v>
      </c>
      <c r="H5" s="81" t="s">
        <v>63</v>
      </c>
      <c r="I5" s="82" t="s">
        <v>433</v>
      </c>
      <c r="J5" s="83" t="s">
        <v>64</v>
      </c>
      <c r="K5" s="83" t="s">
        <v>65</v>
      </c>
      <c r="L5" s="208" t="s">
        <v>66</v>
      </c>
      <c r="M5" s="311" t="s">
        <v>67</v>
      </c>
      <c r="N5" s="86" t="s">
        <v>111</v>
      </c>
      <c r="O5" s="310" t="s">
        <v>110</v>
      </c>
      <c r="P5" s="318" t="s">
        <v>81</v>
      </c>
      <c r="Q5" s="149" t="s">
        <v>430</v>
      </c>
      <c r="R5" s="378" t="s">
        <v>458</v>
      </c>
      <c r="S5" s="378" t="s">
        <v>459</v>
      </c>
      <c r="T5" s="378" t="s">
        <v>460</v>
      </c>
      <c r="U5" s="88" t="s">
        <v>147</v>
      </c>
      <c r="V5" s="377" t="s">
        <v>107</v>
      </c>
      <c r="W5" s="386" t="s">
        <v>447</v>
      </c>
      <c r="X5" s="387" t="s">
        <v>450</v>
      </c>
      <c r="Y5" s="90" t="s">
        <v>105</v>
      </c>
      <c r="Z5" s="207" t="s">
        <v>451</v>
      </c>
      <c r="AA5" s="313" t="s">
        <v>71</v>
      </c>
      <c r="AB5" s="313" t="s">
        <v>91</v>
      </c>
      <c r="AC5" s="221" t="s">
        <v>441</v>
      </c>
      <c r="AD5" s="306" t="s">
        <v>73</v>
      </c>
      <c r="AE5" s="221" t="s">
        <v>442</v>
      </c>
      <c r="AF5" s="306" t="s">
        <v>74</v>
      </c>
      <c r="AG5" s="221" t="s">
        <v>443</v>
      </c>
      <c r="AH5" s="306" t="s">
        <v>75</v>
      </c>
      <c r="AI5" s="221" t="s">
        <v>444</v>
      </c>
      <c r="AJ5" s="31" t="s">
        <v>26</v>
      </c>
      <c r="AK5" s="220" t="s">
        <v>31</v>
      </c>
      <c r="AL5" s="31" t="s">
        <v>453</v>
      </c>
      <c r="AM5" s="220" t="s">
        <v>452</v>
      </c>
      <c r="AN5" s="31" t="s">
        <v>27</v>
      </c>
      <c r="AO5" s="220" t="s">
        <v>146</v>
      </c>
      <c r="AP5" s="31" t="s">
        <v>28</v>
      </c>
      <c r="AQ5" s="220" t="s">
        <v>32</v>
      </c>
    </row>
    <row r="6" spans="1:43" x14ac:dyDescent="0.3">
      <c r="E6" s="1"/>
      <c r="F6" s="1"/>
      <c r="I6" s="39"/>
      <c r="L6" s="1"/>
      <c r="M6" s="39"/>
      <c r="N6" s="39"/>
      <c r="O6" s="78"/>
      <c r="P6" s="305" t="s">
        <v>104</v>
      </c>
      <c r="R6" s="78"/>
      <c r="S6" s="78" t="s">
        <v>462</v>
      </c>
      <c r="T6" s="78"/>
      <c r="U6" s="39"/>
      <c r="V6" s="375"/>
      <c r="W6" s="303"/>
      <c r="X6" s="302"/>
      <c r="Y6" s="1"/>
      <c r="Z6" s="39"/>
    </row>
    <row r="7" spans="1:43" x14ac:dyDescent="0.3">
      <c r="B7" s="302"/>
      <c r="C7" s="302"/>
      <c r="E7" s="1"/>
      <c r="F7" s="1"/>
      <c r="I7" s="39"/>
      <c r="L7" s="1"/>
      <c r="M7" s="39"/>
      <c r="N7" s="39"/>
      <c r="O7" s="78"/>
      <c r="P7" s="1"/>
      <c r="R7" s="78"/>
      <c r="S7">
        <v>14.782400000000001</v>
      </c>
      <c r="T7" s="78"/>
      <c r="U7" s="39"/>
      <c r="V7" s="375"/>
      <c r="W7" s="303"/>
      <c r="X7" s="302"/>
      <c r="Y7" s="1"/>
      <c r="Z7" s="39"/>
    </row>
    <row r="8" spans="1:43" x14ac:dyDescent="0.3">
      <c r="A8" s="155"/>
      <c r="B8" s="376"/>
      <c r="C8" s="376"/>
      <c r="D8" s="301"/>
      <c r="E8" s="301"/>
      <c r="F8" s="301"/>
      <c r="G8" s="301"/>
      <c r="H8" s="301"/>
      <c r="I8" s="301"/>
      <c r="J8" s="301"/>
      <c r="K8" s="301"/>
      <c r="L8" s="301"/>
      <c r="M8" s="317"/>
      <c r="N8" s="317"/>
      <c r="O8" s="317"/>
      <c r="P8" s="301"/>
      <c r="Q8" s="301"/>
      <c r="R8" s="317"/>
      <c r="S8" s="317"/>
      <c r="T8" s="317"/>
      <c r="U8" s="301"/>
      <c r="V8" s="301"/>
      <c r="W8" s="301"/>
      <c r="X8" s="301"/>
      <c r="Y8" s="301"/>
      <c r="Z8" s="317"/>
      <c r="AA8" s="317"/>
      <c r="AB8" s="317">
        <f>AVERAGE(AB9:AB12)</f>
        <v>11.309892537578541</v>
      </c>
      <c r="AC8" s="317"/>
      <c r="AD8" s="317">
        <f>AVERAGE(AD9:AD12)</f>
        <v>1.033115</v>
      </c>
      <c r="AE8" s="317"/>
      <c r="AF8" s="317">
        <f>AVERAGE(AF9:AF12)</f>
        <v>0</v>
      </c>
      <c r="AG8" s="317"/>
      <c r="AH8" s="317">
        <f>AVERAGE(AH9:AH12)</f>
        <v>4.3601000000000001</v>
      </c>
      <c r="AI8" s="317"/>
      <c r="AJ8" s="317"/>
      <c r="AK8" s="317"/>
      <c r="AL8" s="317"/>
      <c r="AM8" s="317"/>
      <c r="AN8" s="317"/>
      <c r="AO8" s="317"/>
      <c r="AP8" s="317"/>
      <c r="AQ8" s="317"/>
    </row>
    <row r="9" spans="1:43" s="101" customFormat="1" x14ac:dyDescent="0.3">
      <c r="A9" s="904" t="s">
        <v>76</v>
      </c>
      <c r="B9" s="93" t="s">
        <v>125</v>
      </c>
      <c r="C9" s="93"/>
      <c r="D9" s="93">
        <f>LN(300000/300000)</f>
        <v>0</v>
      </c>
      <c r="E9" s="102">
        <v>300000</v>
      </c>
      <c r="F9" s="96">
        <f t="shared" ref="F9:F20" si="0">E9/1000000</f>
        <v>0.3</v>
      </c>
      <c r="G9" s="102">
        <v>13619.167717528373</v>
      </c>
      <c r="H9" s="102">
        <v>313619.16771752835</v>
      </c>
      <c r="I9" s="96">
        <v>95.634701508761253</v>
      </c>
      <c r="J9" s="102">
        <v>300000</v>
      </c>
      <c r="K9" s="102">
        <v>13619.167717528373</v>
      </c>
      <c r="L9" s="102">
        <v>313619.16771752835</v>
      </c>
      <c r="M9" s="96">
        <v>95.634701508761253</v>
      </c>
      <c r="N9" s="96"/>
      <c r="O9" s="99"/>
      <c r="P9" s="99"/>
      <c r="Q9" s="99"/>
      <c r="R9" s="99"/>
      <c r="S9" s="99"/>
      <c r="T9" s="99"/>
      <c r="U9" s="96"/>
      <c r="V9" s="374"/>
      <c r="W9" s="373"/>
      <c r="X9" s="372"/>
      <c r="Y9" s="102"/>
      <c r="Z9" s="96"/>
      <c r="AA9" s="101">
        <v>2.08161</v>
      </c>
      <c r="AB9" s="101">
        <f>AA9/180.156*1000</f>
        <v>11.554486112036235</v>
      </c>
      <c r="AD9" s="101">
        <v>1.2446900000000001</v>
      </c>
      <c r="AF9" s="101">
        <v>0</v>
      </c>
      <c r="AH9" s="101">
        <v>4.2395199999999997</v>
      </c>
      <c r="AK9" s="101">
        <v>19757</v>
      </c>
      <c r="AL9" s="101">
        <f>AD9-AD9</f>
        <v>0</v>
      </c>
      <c r="AM9" s="101">
        <v>0.63400000000000001</v>
      </c>
      <c r="AN9" s="101">
        <f>AF9-AF9</f>
        <v>0</v>
      </c>
      <c r="AO9" s="101">
        <v>1.8374999999999999</v>
      </c>
      <c r="AP9" s="101">
        <f>AH9-AH9</f>
        <v>0</v>
      </c>
      <c r="AQ9" s="101">
        <v>23111</v>
      </c>
    </row>
    <row r="10" spans="1:43" s="101" customFormat="1" x14ac:dyDescent="0.3">
      <c r="A10" s="904"/>
      <c r="B10" s="93" t="s">
        <v>124</v>
      </c>
      <c r="C10" s="93"/>
      <c r="D10" s="93">
        <f>LN(300000/300000)</f>
        <v>0</v>
      </c>
      <c r="E10" s="102">
        <v>300000</v>
      </c>
      <c r="F10" s="96">
        <f t="shared" si="0"/>
        <v>0.3</v>
      </c>
      <c r="G10" s="102">
        <v>17452.357071213642</v>
      </c>
      <c r="H10" s="102">
        <v>317452.35707121366</v>
      </c>
      <c r="I10" s="96">
        <v>94.549634416913932</v>
      </c>
      <c r="J10" s="102">
        <v>300000</v>
      </c>
      <c r="K10" s="102">
        <v>17452.357071213642</v>
      </c>
      <c r="L10" s="102">
        <v>317452.35707121366</v>
      </c>
      <c r="M10" s="96">
        <v>94.549634416913932</v>
      </c>
      <c r="N10" s="200"/>
      <c r="O10" s="201"/>
      <c r="P10" s="201"/>
      <c r="Q10" s="201"/>
      <c r="R10" s="201"/>
      <c r="S10" s="201"/>
      <c r="T10" s="201"/>
      <c r="U10" s="200"/>
      <c r="V10" s="374"/>
      <c r="W10" s="373"/>
      <c r="X10" s="372"/>
      <c r="Y10" s="297"/>
      <c r="Z10" s="200"/>
      <c r="AA10" s="101">
        <v>1.9934799999999999</v>
      </c>
      <c r="AB10" s="101">
        <f>AA10/180.156*1000</f>
        <v>11.065298963120849</v>
      </c>
      <c r="AD10" s="101">
        <v>0.82154000000000005</v>
      </c>
      <c r="AF10" s="101">
        <v>0</v>
      </c>
      <c r="AH10" s="101">
        <v>4.4806800000000004</v>
      </c>
      <c r="AK10" s="101">
        <v>34835</v>
      </c>
      <c r="AL10" s="101">
        <f>AD10-AD10</f>
        <v>0</v>
      </c>
      <c r="AM10" s="101">
        <v>0.80279999999999996</v>
      </c>
      <c r="AN10" s="101">
        <f>AF10-AF10</f>
        <v>0</v>
      </c>
      <c r="AO10" s="101">
        <v>1.2146999999999999</v>
      </c>
      <c r="AP10" s="101">
        <f>AH10-AH10</f>
        <v>0</v>
      </c>
      <c r="AQ10" s="101">
        <v>55505</v>
      </c>
    </row>
    <row r="11" spans="1:43" s="101" customFormat="1" x14ac:dyDescent="0.3">
      <c r="A11" s="904"/>
      <c r="B11" s="93" t="s">
        <v>123</v>
      </c>
      <c r="C11" s="93"/>
      <c r="D11" s="93">
        <f>LN(300000/300000)</f>
        <v>0</v>
      </c>
      <c r="E11" s="102">
        <v>300000</v>
      </c>
      <c r="F11" s="96">
        <f t="shared" si="0"/>
        <v>0.3</v>
      </c>
      <c r="G11" s="102">
        <v>15463.917525773195</v>
      </c>
      <c r="H11" s="102">
        <v>315463.91752577317</v>
      </c>
      <c r="I11" s="96">
        <v>95.280194293924268</v>
      </c>
      <c r="J11" s="102">
        <v>300000</v>
      </c>
      <c r="K11" s="102">
        <v>15463.917525773195</v>
      </c>
      <c r="L11" s="102">
        <v>315463.91752577317</v>
      </c>
      <c r="M11" s="96">
        <v>95.280194293924268</v>
      </c>
      <c r="N11" s="96"/>
      <c r="O11" s="99"/>
      <c r="P11" s="99"/>
      <c r="Q11" s="99"/>
      <c r="R11" s="99"/>
      <c r="S11" s="99"/>
      <c r="T11" s="99"/>
      <c r="U11" s="96"/>
      <c r="V11" s="374"/>
      <c r="W11" s="373"/>
      <c r="X11" s="372"/>
      <c r="Y11" s="294"/>
      <c r="Z11" s="96"/>
      <c r="AK11" s="101">
        <v>49058</v>
      </c>
      <c r="AM11" s="101">
        <v>0.99890000000000001</v>
      </c>
      <c r="AO11" s="101">
        <v>1.5652999999999999</v>
      </c>
      <c r="AQ11" s="101">
        <v>125759</v>
      </c>
    </row>
    <row r="12" spans="1:43" s="101" customFormat="1" x14ac:dyDescent="0.3">
      <c r="A12" s="904"/>
      <c r="B12" s="93" t="s">
        <v>122</v>
      </c>
      <c r="C12" s="93"/>
      <c r="D12" s="93">
        <f>LN(300000/300000)</f>
        <v>0</v>
      </c>
      <c r="E12" s="102">
        <v>300000</v>
      </c>
      <c r="F12" s="96">
        <f t="shared" si="0"/>
        <v>0.3</v>
      </c>
      <c r="G12" s="102">
        <v>11500.815660685155</v>
      </c>
      <c r="H12" s="102">
        <v>311500.81566068518</v>
      </c>
      <c r="I12" s="96">
        <v>96.315703146263104</v>
      </c>
      <c r="J12" s="102">
        <v>300000</v>
      </c>
      <c r="K12" s="102">
        <v>11500.815660685155</v>
      </c>
      <c r="L12" s="102">
        <v>311500.81566068518</v>
      </c>
      <c r="M12" s="96">
        <v>96.315703146263104</v>
      </c>
      <c r="N12" s="96"/>
      <c r="O12" s="99"/>
      <c r="P12" s="99"/>
      <c r="Q12" s="99"/>
      <c r="R12" s="371"/>
      <c r="S12" s="371"/>
      <c r="T12" s="371"/>
      <c r="U12" s="96"/>
      <c r="V12" s="374"/>
      <c r="W12" s="373"/>
      <c r="X12" s="372"/>
      <c r="Y12" s="294"/>
      <c r="Z12" s="96"/>
      <c r="AK12" s="101">
        <v>43811</v>
      </c>
      <c r="AM12" s="101">
        <v>0.92300000000000004</v>
      </c>
      <c r="AO12" s="101">
        <v>0.72270000000000001</v>
      </c>
      <c r="AQ12" s="101">
        <v>61327</v>
      </c>
    </row>
    <row r="13" spans="1:43" s="189" customFormat="1" x14ac:dyDescent="0.3">
      <c r="A13" s="905" t="s">
        <v>77</v>
      </c>
      <c r="B13" s="190" t="s">
        <v>125</v>
      </c>
      <c r="C13" s="165">
        <v>0</v>
      </c>
      <c r="D13" s="185">
        <f t="shared" ref="D13:D20" si="1">LN(E13/300000)</f>
        <v>-8.3381608939051249E-2</v>
      </c>
      <c r="E13" s="165">
        <v>275999.99999999994</v>
      </c>
      <c r="F13" s="185">
        <f t="shared" si="0"/>
        <v>0.27599999999999997</v>
      </c>
      <c r="G13" s="165">
        <v>8666.6666666666661</v>
      </c>
      <c r="H13" s="165">
        <v>284666.66666666663</v>
      </c>
      <c r="I13" s="185">
        <v>96.955503512880554</v>
      </c>
      <c r="J13" s="165">
        <v>59000</v>
      </c>
      <c r="K13" s="165">
        <v>6000</v>
      </c>
      <c r="L13" s="370">
        <v>65000</v>
      </c>
      <c r="M13" s="185">
        <v>90.769230769230774</v>
      </c>
      <c r="N13" s="185">
        <v>4.3349875930521087</v>
      </c>
      <c r="O13" s="186">
        <f t="shared" ref="O13:O20" si="2">N13/H13*1000000</f>
        <v>15.228293652407878</v>
      </c>
      <c r="P13" s="165">
        <f t="shared" ref="P13:P20" si="3">(N13-2.857)/0.0006783</f>
        <v>2178.9585626597504</v>
      </c>
      <c r="Q13" s="185">
        <f t="shared" ref="Q13:Q20" si="4">E13/(E13+P13)*100</f>
        <v>99.216706190173994</v>
      </c>
      <c r="R13" s="186">
        <f>4*PI()*(X13/2)*(X13/2)*W13/1000000</f>
        <v>81.479152008630948</v>
      </c>
      <c r="S13" s="186">
        <f>4*PI()*(14.7824/2)*(14.7824/2)*L13/1000000</f>
        <v>44.622420951760247</v>
      </c>
      <c r="T13" s="186">
        <f t="shared" ref="T13:T30" si="5">R13+S13</f>
        <v>126.1015729603912</v>
      </c>
      <c r="U13" s="185">
        <f t="shared" ref="U13:U20" si="6">L13/H13*100</f>
        <v>22.833723653395786</v>
      </c>
      <c r="V13" s="369"/>
      <c r="W13" s="388">
        <v>1366.6666666666665</v>
      </c>
      <c r="X13" s="186">
        <v>137.75805833333334</v>
      </c>
      <c r="Y13" s="165">
        <f t="shared" ref="Y13:Y20" si="7">H13-L13</f>
        <v>219666.66666666663</v>
      </c>
      <c r="Z13" s="185">
        <f t="shared" ref="Z13:Z20" si="8">Y13/W13</f>
        <v>160.73170731707316</v>
      </c>
      <c r="AA13" s="189">
        <v>1.83412</v>
      </c>
      <c r="AB13" s="189">
        <f t="shared" ref="AB13:AB20" si="9">AA13/180.156*1000</f>
        <v>10.180732254268522</v>
      </c>
      <c r="AC13" s="241">
        <f>(($AB$8-AB13)/$E13)/24*1000000</f>
        <v>0.17046501861564309</v>
      </c>
      <c r="AD13" s="187">
        <v>1.7579800000000001</v>
      </c>
      <c r="AE13" s="241">
        <f>(($AD$8-AD13)/$E13)/24*1000000*(-1)</f>
        <v>0.10943010265700487</v>
      </c>
      <c r="AF13" s="187">
        <v>2.7225799999999998</v>
      </c>
      <c r="AG13" s="241">
        <f>(($AF$8-AF13)/$E13)/24*1000000*(-1)</f>
        <v>0.41101751207729476</v>
      </c>
      <c r="AH13" s="187">
        <v>3.6009899999999999</v>
      </c>
      <c r="AI13" s="241">
        <f>(($AH$8-AH13)/$E13)/24*1000000</f>
        <v>0.11459993961352662</v>
      </c>
      <c r="AJ13" s="188">
        <f t="shared" ref="AJ13:AJ20" si="10">$AB$8-AB13</f>
        <v>1.1291602833100196</v>
      </c>
      <c r="AK13" s="188"/>
      <c r="AL13" s="188">
        <f t="shared" ref="AL13:AL20" si="11">AD13-$AD$8</f>
        <v>0.72486500000000009</v>
      </c>
      <c r="AM13" s="188"/>
      <c r="AN13" s="188">
        <f t="shared" ref="AN13:AN20" si="12">AF13-$AF$8</f>
        <v>2.7225799999999998</v>
      </c>
      <c r="AO13" s="188"/>
      <c r="AP13" s="188">
        <f t="shared" ref="AP13:AP20" si="13">$AH$8-AH13</f>
        <v>0.75911000000000017</v>
      </c>
      <c r="AQ13" s="188"/>
    </row>
    <row r="14" spans="1:43" s="189" customFormat="1" x14ac:dyDescent="0.3">
      <c r="A14" s="905"/>
      <c r="B14" s="190" t="s">
        <v>124</v>
      </c>
      <c r="C14" s="165">
        <f t="shared" ref="C14:C20" si="14">E14-300000</f>
        <v>34666.666666666628</v>
      </c>
      <c r="D14" s="185">
        <f t="shared" si="1"/>
        <v>0.10935253692736363</v>
      </c>
      <c r="E14" s="165">
        <v>334666.66666666663</v>
      </c>
      <c r="F14" s="185">
        <f t="shared" si="0"/>
        <v>0.33466666666666661</v>
      </c>
      <c r="G14" s="165">
        <v>22000</v>
      </c>
      <c r="H14" s="165">
        <v>356666.66666666663</v>
      </c>
      <c r="I14" s="185">
        <v>93.831775700934585</v>
      </c>
      <c r="J14" s="193">
        <v>35000</v>
      </c>
      <c r="K14" s="193">
        <v>9000</v>
      </c>
      <c r="L14" s="165">
        <v>44000</v>
      </c>
      <c r="M14" s="185">
        <v>79.545454545454547</v>
      </c>
      <c r="N14" s="185">
        <v>17.473804100227788</v>
      </c>
      <c r="O14" s="186">
        <f t="shared" si="2"/>
        <v>48.991974112788192</v>
      </c>
      <c r="P14" s="165">
        <f t="shared" si="3"/>
        <v>21549.173080094042</v>
      </c>
      <c r="Q14" s="185">
        <f t="shared" si="4"/>
        <v>93.950529236596083</v>
      </c>
      <c r="R14" s="186">
        <f t="shared" ref="R14:R21" si="15">4*PI()*(X14/2)*(X14/2)*W14/1000000</f>
        <v>94.438968699584194</v>
      </c>
      <c r="S14" s="186">
        <f t="shared" ref="S14:S29" si="16">4*PI()*(14.7824/2)*(14.7824/2)*L14/1000000</f>
        <v>30.205946490422324</v>
      </c>
      <c r="T14" s="186">
        <f t="shared" si="5"/>
        <v>124.64491519000651</v>
      </c>
      <c r="U14" s="185">
        <f t="shared" si="6"/>
        <v>12.336448598130842</v>
      </c>
      <c r="V14" s="369"/>
      <c r="W14" s="388">
        <v>1640</v>
      </c>
      <c r="X14" s="186">
        <v>135.38755882352945</v>
      </c>
      <c r="Y14" s="165">
        <f t="shared" si="7"/>
        <v>312666.66666666663</v>
      </c>
      <c r="Z14" s="185">
        <f t="shared" si="8"/>
        <v>190.65040650406502</v>
      </c>
      <c r="AA14" s="189">
        <v>1.68916</v>
      </c>
      <c r="AB14" s="189">
        <f t="shared" si="9"/>
        <v>9.3760962721197174</v>
      </c>
      <c r="AC14" s="241">
        <f>(($AB$8-AB14)/$E14)/24*1000000</f>
        <v>0.24076148723341934</v>
      </c>
      <c r="AD14" s="187">
        <v>1.6833800000000001</v>
      </c>
      <c r="AE14" s="241">
        <f>(($AD$8-AD14)/$E14)/24*1000000*(-1)</f>
        <v>8.0959287848605593E-2</v>
      </c>
      <c r="AF14" s="187">
        <v>3.70912</v>
      </c>
      <c r="AG14" s="241">
        <f>(($AF$8-AF14)/$E14)/24*1000000*(-1)</f>
        <v>0.461792828685259</v>
      </c>
      <c r="AH14" s="187">
        <v>3.7976000000000001</v>
      </c>
      <c r="AI14" s="241">
        <f>(($AH$8-AH14)/$E14)/24*1000000</f>
        <v>7.0032370517928294E-2</v>
      </c>
      <c r="AJ14" s="188">
        <f t="shared" si="10"/>
        <v>1.9337962654588239</v>
      </c>
      <c r="AK14" s="188"/>
      <c r="AL14" s="188">
        <f t="shared" si="11"/>
        <v>0.65026500000000009</v>
      </c>
      <c r="AM14" s="188"/>
      <c r="AN14" s="188">
        <f t="shared" si="12"/>
        <v>3.70912</v>
      </c>
      <c r="AO14" s="188"/>
      <c r="AP14" s="188">
        <f t="shared" si="13"/>
        <v>0.5625</v>
      </c>
      <c r="AQ14" s="188"/>
    </row>
    <row r="15" spans="1:43" s="189" customFormat="1" x14ac:dyDescent="0.3">
      <c r="A15" s="905"/>
      <c r="B15" s="190" t="s">
        <v>123</v>
      </c>
      <c r="C15" s="165">
        <f t="shared" si="14"/>
        <v>86000</v>
      </c>
      <c r="D15" s="185">
        <f t="shared" si="1"/>
        <v>0.25205489480862975</v>
      </c>
      <c r="E15" s="165">
        <v>386000</v>
      </c>
      <c r="F15" s="185">
        <f t="shared" si="0"/>
        <v>0.38600000000000001</v>
      </c>
      <c r="G15" s="165">
        <v>10666.666666666666</v>
      </c>
      <c r="H15" s="165">
        <v>396666.66666666663</v>
      </c>
      <c r="I15" s="185">
        <v>97.310924369747895</v>
      </c>
      <c r="J15" s="193">
        <v>21000</v>
      </c>
      <c r="K15" s="193">
        <v>13000</v>
      </c>
      <c r="L15" s="165">
        <v>34000</v>
      </c>
      <c r="M15" s="185">
        <v>61.764705882352942</v>
      </c>
      <c r="N15" s="185">
        <v>7.2216358839050141</v>
      </c>
      <c r="O15" s="186">
        <f t="shared" si="2"/>
        <v>18.205804749340373</v>
      </c>
      <c r="P15" s="165">
        <f t="shared" si="3"/>
        <v>6434.6688543491291</v>
      </c>
      <c r="Q15" s="185">
        <f t="shared" si="4"/>
        <v>98.360320999891755</v>
      </c>
      <c r="R15" s="186">
        <f t="shared" si="15"/>
        <v>108.68988547663128</v>
      </c>
      <c r="S15" s="186">
        <f t="shared" si="16"/>
        <v>23.340958651689977</v>
      </c>
      <c r="T15" s="186">
        <f t="shared" si="5"/>
        <v>132.03084412832126</v>
      </c>
      <c r="U15" s="185">
        <f t="shared" si="6"/>
        <v>8.571428571428573</v>
      </c>
      <c r="V15" s="369"/>
      <c r="W15" s="388">
        <v>2096.6666666666665</v>
      </c>
      <c r="X15" s="186">
        <v>128.45615957446799</v>
      </c>
      <c r="Y15" s="165">
        <f t="shared" si="7"/>
        <v>362666.66666666663</v>
      </c>
      <c r="Z15" s="185">
        <f t="shared" si="8"/>
        <v>172.97297297297297</v>
      </c>
      <c r="AA15" s="189">
        <v>1.66919</v>
      </c>
      <c r="AB15" s="189">
        <f t="shared" si="9"/>
        <v>9.2652478962676792</v>
      </c>
      <c r="AC15" s="241">
        <f>(($AB$8-AB15)/$E15)/24*1000000</f>
        <v>0.22070861844892725</v>
      </c>
      <c r="AD15" s="187">
        <v>1.64713</v>
      </c>
      <c r="AE15" s="241">
        <f>(($AD$8-AD15)/$E15)/24*1000000*(-1)</f>
        <v>6.6279684801381702E-2</v>
      </c>
      <c r="AF15" s="187">
        <v>3.32457</v>
      </c>
      <c r="AG15" s="241">
        <f>(($AF$8-AF15)/$E15)/24*1000000*(-1)</f>
        <v>0.35886981865284973</v>
      </c>
      <c r="AH15" s="187">
        <v>3.8156599999999998</v>
      </c>
      <c r="AI15" s="241">
        <f>(($AH$8-AH15)/$E15)/24*1000000</f>
        <v>5.8769430051813495E-2</v>
      </c>
      <c r="AJ15" s="188">
        <f t="shared" si="10"/>
        <v>2.0446446413108621</v>
      </c>
      <c r="AK15" s="188"/>
      <c r="AL15" s="188">
        <f t="shared" si="11"/>
        <v>0.61401499999999998</v>
      </c>
      <c r="AM15" s="188"/>
      <c r="AN15" s="188">
        <f t="shared" si="12"/>
        <v>3.32457</v>
      </c>
      <c r="AO15" s="188"/>
      <c r="AP15" s="188">
        <f t="shared" si="13"/>
        <v>0.54444000000000026</v>
      </c>
      <c r="AQ15" s="188"/>
    </row>
    <row r="16" spans="1:43" s="189" customFormat="1" x14ac:dyDescent="0.3">
      <c r="A16" s="905"/>
      <c r="B16" s="190" t="s">
        <v>122</v>
      </c>
      <c r="C16" s="165">
        <f t="shared" si="14"/>
        <v>137333.33333333331</v>
      </c>
      <c r="D16" s="185">
        <f t="shared" si="1"/>
        <v>0.37691320617972351</v>
      </c>
      <c r="E16" s="165">
        <v>437333.33333333331</v>
      </c>
      <c r="F16" s="185">
        <f t="shared" si="0"/>
        <v>0.4373333333333333</v>
      </c>
      <c r="G16" s="165">
        <v>13333.333333333332</v>
      </c>
      <c r="H16" s="165">
        <v>450666.66666666663</v>
      </c>
      <c r="I16" s="185">
        <v>97.041420118343197</v>
      </c>
      <c r="J16" s="193">
        <v>67000</v>
      </c>
      <c r="K16" s="193">
        <v>21000</v>
      </c>
      <c r="L16" s="165">
        <v>88000</v>
      </c>
      <c r="M16" s="185">
        <v>76.13636363636364</v>
      </c>
      <c r="N16" s="185">
        <v>7.6751412429378512</v>
      </c>
      <c r="O16" s="186">
        <f t="shared" si="2"/>
        <v>17.030638852672748</v>
      </c>
      <c r="P16" s="165">
        <f t="shared" si="3"/>
        <v>7103.2599777942669</v>
      </c>
      <c r="Q16" s="185">
        <f t="shared" si="4"/>
        <v>98.401738271623003</v>
      </c>
      <c r="R16" s="186">
        <f t="shared" si="15"/>
        <v>141.88097713343743</v>
      </c>
      <c r="S16" s="186">
        <f t="shared" si="16"/>
        <v>60.411892980844648</v>
      </c>
      <c r="T16" s="186">
        <f t="shared" si="5"/>
        <v>202.29287011428207</v>
      </c>
      <c r="U16" s="185">
        <f t="shared" si="6"/>
        <v>19.526627218934912</v>
      </c>
      <c r="V16" s="369"/>
      <c r="W16" s="388">
        <v>3591.6666666666665</v>
      </c>
      <c r="X16" s="186">
        <v>112.13447058823526</v>
      </c>
      <c r="Y16" s="165">
        <f t="shared" si="7"/>
        <v>362666.66666666663</v>
      </c>
      <c r="Z16" s="185">
        <f t="shared" si="8"/>
        <v>100.97447795823665</v>
      </c>
      <c r="AA16" s="189">
        <v>1.5708599999999999</v>
      </c>
      <c r="AB16" s="189">
        <f t="shared" si="9"/>
        <v>8.7194431492706315</v>
      </c>
      <c r="AC16" s="241">
        <f>(($AB$8-AB16)/$E16)/24*1000000</f>
        <v>0.2468034859287262</v>
      </c>
      <c r="AD16" s="187">
        <v>2.2960199999999999</v>
      </c>
      <c r="AE16" s="241">
        <f>(($AD$8-AD16)/$E16)/24*1000000*(-1)</f>
        <v>0.1203225038109756</v>
      </c>
      <c r="AF16" s="187">
        <v>3.4327100000000002</v>
      </c>
      <c r="AG16" s="241">
        <f>(($AF$8-AF16)/$E16)/24*1000000*(-1)</f>
        <v>0.32704935213414638</v>
      </c>
      <c r="AH16" s="187">
        <v>3.9279700000000002</v>
      </c>
      <c r="AI16" s="241">
        <f>(($AH$8-AH16)/$E16)/24*1000000</f>
        <v>4.1170922256097552E-2</v>
      </c>
      <c r="AJ16" s="188">
        <f t="shared" si="10"/>
        <v>2.5904493883079098</v>
      </c>
      <c r="AK16" s="188"/>
      <c r="AL16" s="188">
        <f t="shared" si="11"/>
        <v>1.2629049999999999</v>
      </c>
      <c r="AM16" s="188"/>
      <c r="AN16" s="188">
        <f t="shared" si="12"/>
        <v>3.4327100000000002</v>
      </c>
      <c r="AO16" s="188"/>
      <c r="AP16" s="188">
        <f t="shared" si="13"/>
        <v>0.4321299999999999</v>
      </c>
      <c r="AQ16" s="188"/>
    </row>
    <row r="17" spans="1:43" s="366" customFormat="1" x14ac:dyDescent="0.3">
      <c r="A17" s="902" t="s">
        <v>78</v>
      </c>
      <c r="B17" s="183" t="s">
        <v>125</v>
      </c>
      <c r="C17" s="175">
        <f t="shared" si="14"/>
        <v>28000</v>
      </c>
      <c r="D17" s="174">
        <f t="shared" si="1"/>
        <v>8.9231133727942613E-2</v>
      </c>
      <c r="E17" s="175">
        <v>328000</v>
      </c>
      <c r="F17" s="174">
        <f t="shared" si="0"/>
        <v>0.32800000000000001</v>
      </c>
      <c r="G17" s="175">
        <v>6666.6666666666661</v>
      </c>
      <c r="H17" s="175">
        <v>334666.66666666663</v>
      </c>
      <c r="I17" s="174">
        <v>98.007968127490031</v>
      </c>
      <c r="J17" s="175">
        <v>23000</v>
      </c>
      <c r="K17" s="175">
        <v>17000</v>
      </c>
      <c r="L17" s="368">
        <v>40000</v>
      </c>
      <c r="M17" s="174">
        <v>57.499999999999993</v>
      </c>
      <c r="N17" s="174">
        <v>15.16625310173697</v>
      </c>
      <c r="O17" s="176">
        <f t="shared" si="2"/>
        <v>45.317489347819638</v>
      </c>
      <c r="P17" s="175">
        <f t="shared" si="3"/>
        <v>18147.210823731344</v>
      </c>
      <c r="Q17" s="174">
        <f t="shared" si="4"/>
        <v>94.757371934170394</v>
      </c>
      <c r="R17" s="176">
        <f t="shared" si="15"/>
        <v>76.083258151354272</v>
      </c>
      <c r="S17" s="176">
        <f t="shared" si="16"/>
        <v>27.459951354929384</v>
      </c>
      <c r="T17" s="176">
        <f t="shared" si="5"/>
        <v>103.54320950628366</v>
      </c>
      <c r="U17" s="174">
        <f t="shared" si="6"/>
        <v>11.952191235059763</v>
      </c>
      <c r="V17" s="367"/>
      <c r="W17" s="389">
        <v>560</v>
      </c>
      <c r="X17" s="176">
        <v>207.95798529411769</v>
      </c>
      <c r="Y17" s="175">
        <f t="shared" si="7"/>
        <v>294666.66666666663</v>
      </c>
      <c r="Z17" s="174">
        <f t="shared" si="8"/>
        <v>526.19047619047615</v>
      </c>
      <c r="AA17" s="366">
        <v>1.5928800000000001</v>
      </c>
      <c r="AB17" s="366">
        <f t="shared" si="9"/>
        <v>8.8416705521881038</v>
      </c>
      <c r="AC17" s="243">
        <f>((AB13-AB17)/$E17)/24*1000000</f>
        <v>0.17010438288623195</v>
      </c>
      <c r="AD17" s="396">
        <v>2.4208500000000002</v>
      </c>
      <c r="AE17" s="243">
        <f>((AD13-AD17)/$E17)/24*1000000*(-1)</f>
        <v>8.42060467479675E-2</v>
      </c>
      <c r="AF17" s="396">
        <v>4.85663</v>
      </c>
      <c r="AG17" s="243">
        <f>((AF13-AF17)/$E17)/24*1000000*(-1)</f>
        <v>0.27109375000000002</v>
      </c>
      <c r="AH17" s="396">
        <v>2.8335699999999999</v>
      </c>
      <c r="AI17" s="243">
        <f>((AH13-AH17)/$E17)/24*1000000</f>
        <v>9.7487296747967481E-2</v>
      </c>
      <c r="AJ17" s="178">
        <f t="shared" si="10"/>
        <v>2.4682219853904375</v>
      </c>
      <c r="AK17" s="178"/>
      <c r="AL17" s="178">
        <f t="shared" si="11"/>
        <v>1.3877350000000002</v>
      </c>
      <c r="AM17" s="178"/>
      <c r="AN17" s="178">
        <f t="shared" si="12"/>
        <v>4.85663</v>
      </c>
      <c r="AO17" s="178"/>
      <c r="AP17" s="178">
        <f t="shared" si="13"/>
        <v>1.5265300000000002</v>
      </c>
      <c r="AQ17" s="178"/>
    </row>
    <row r="18" spans="1:43" s="366" customFormat="1" x14ac:dyDescent="0.3">
      <c r="A18" s="902"/>
      <c r="B18" s="183" t="s">
        <v>124</v>
      </c>
      <c r="C18" s="175">
        <f t="shared" si="14"/>
        <v>103000</v>
      </c>
      <c r="D18" s="174">
        <f t="shared" si="1"/>
        <v>0.29515408729048187</v>
      </c>
      <c r="E18" s="175">
        <v>403000</v>
      </c>
      <c r="F18" s="174">
        <f t="shared" si="0"/>
        <v>0.40300000000000002</v>
      </c>
      <c r="G18" s="175">
        <v>15000</v>
      </c>
      <c r="H18" s="175">
        <v>418000</v>
      </c>
      <c r="I18" s="174">
        <v>96.411483253588514</v>
      </c>
      <c r="J18" s="175">
        <v>31000</v>
      </c>
      <c r="K18" s="175">
        <v>23000</v>
      </c>
      <c r="L18" s="182">
        <v>54000</v>
      </c>
      <c r="M18" s="174">
        <v>57.407407407407405</v>
      </c>
      <c r="N18" s="174">
        <v>32.268792710706144</v>
      </c>
      <c r="O18" s="176">
        <f t="shared" si="2"/>
        <v>77.198068685899869</v>
      </c>
      <c r="P18" s="175">
        <f t="shared" si="3"/>
        <v>43361.038936615281</v>
      </c>
      <c r="Q18" s="174">
        <f t="shared" si="4"/>
        <v>90.285657762622805</v>
      </c>
      <c r="R18" s="176">
        <f t="shared" si="15"/>
        <v>80.032633390476533</v>
      </c>
      <c r="S18" s="176">
        <f t="shared" si="16"/>
        <v>37.070934329154667</v>
      </c>
      <c r="T18" s="176">
        <f t="shared" si="5"/>
        <v>117.1035677196312</v>
      </c>
      <c r="U18" s="174">
        <f t="shared" si="6"/>
        <v>12.918660287081341</v>
      </c>
      <c r="V18" s="367"/>
      <c r="W18" s="389">
        <v>646.66666666666674</v>
      </c>
      <c r="X18" s="176">
        <v>198.48074418604654</v>
      </c>
      <c r="Y18" s="175">
        <f t="shared" si="7"/>
        <v>364000</v>
      </c>
      <c r="Z18" s="174">
        <f t="shared" si="8"/>
        <v>562.88659793814429</v>
      </c>
      <c r="AA18" s="366">
        <v>1.3777999999999999</v>
      </c>
      <c r="AB18" s="366">
        <f t="shared" si="9"/>
        <v>7.6478163369524186</v>
      </c>
      <c r="AC18" s="243">
        <f t="shared" ref="AC18:AC20" si="17">((AB14-AB18)/$E18)/24*1000000</f>
        <v>0.17868899246973724</v>
      </c>
      <c r="AD18" s="396">
        <v>2.2788900000000001</v>
      </c>
      <c r="AE18" s="243">
        <f t="shared" ref="AE18:AE20" si="18">((AD14-AD18)/$E18)/24*1000000*(-1)</f>
        <v>6.1570512820512811E-2</v>
      </c>
      <c r="AF18" s="396">
        <v>5.5670099999999998</v>
      </c>
      <c r="AG18" s="243">
        <f t="shared" ref="AG18:AG20" si="19">((AF14-AF18)/$E18)/24*1000000*(-1)</f>
        <v>0.19208953680727872</v>
      </c>
      <c r="AH18" s="396">
        <v>3.1829299999999998</v>
      </c>
      <c r="AI18" s="243">
        <f t="shared" ref="AI18:AI20" si="20">((AH14-AH18)/$E18)/24*1000000</f>
        <v>6.3551488833746922E-2</v>
      </c>
      <c r="AJ18" s="178">
        <f t="shared" si="10"/>
        <v>3.6620762006261227</v>
      </c>
      <c r="AK18" s="178"/>
      <c r="AL18" s="178">
        <f t="shared" si="11"/>
        <v>1.2457750000000001</v>
      </c>
      <c r="AM18" s="178"/>
      <c r="AN18" s="178">
        <f t="shared" si="12"/>
        <v>5.5670099999999998</v>
      </c>
      <c r="AO18" s="178"/>
      <c r="AP18" s="178">
        <f t="shared" si="13"/>
        <v>1.1771700000000003</v>
      </c>
      <c r="AQ18" s="178"/>
    </row>
    <row r="19" spans="1:43" s="366" customFormat="1" x14ac:dyDescent="0.3">
      <c r="A19" s="902"/>
      <c r="B19" s="183" t="s">
        <v>123</v>
      </c>
      <c r="C19" s="175">
        <f t="shared" si="14"/>
        <v>163333.33333333331</v>
      </c>
      <c r="D19" s="174">
        <f t="shared" si="1"/>
        <v>0.43466426280042658</v>
      </c>
      <c r="E19" s="175">
        <v>463333.33333333331</v>
      </c>
      <c r="F19" s="174">
        <f t="shared" si="0"/>
        <v>0.46333333333333332</v>
      </c>
      <c r="G19" s="175">
        <v>14000</v>
      </c>
      <c r="H19" s="175">
        <v>477333.33333333331</v>
      </c>
      <c r="I19" s="174">
        <v>97.067039106145245</v>
      </c>
      <c r="J19" s="175">
        <v>22000</v>
      </c>
      <c r="K19" s="175">
        <v>33000</v>
      </c>
      <c r="L19" s="182">
        <v>55000.000000000007</v>
      </c>
      <c r="M19" s="174">
        <v>40</v>
      </c>
      <c r="N19" s="174">
        <v>21.430079155672825</v>
      </c>
      <c r="O19" s="176">
        <f t="shared" si="2"/>
        <v>44.895417225571563</v>
      </c>
      <c r="P19" s="175">
        <f t="shared" si="3"/>
        <v>27381.806215056506</v>
      </c>
      <c r="Q19" s="174">
        <f t="shared" si="4"/>
        <v>94.420020087365501</v>
      </c>
      <c r="R19" s="176">
        <f t="shared" si="15"/>
        <v>67.450205945951666</v>
      </c>
      <c r="S19" s="176">
        <f t="shared" si="16"/>
        <v>37.757433113027908</v>
      </c>
      <c r="T19" s="176">
        <f t="shared" si="5"/>
        <v>105.20763905897957</v>
      </c>
      <c r="U19" s="174">
        <f t="shared" si="6"/>
        <v>11.522346368715086</v>
      </c>
      <c r="V19" s="367"/>
      <c r="W19" s="389">
        <v>393.33333333333337</v>
      </c>
      <c r="X19" s="176">
        <v>233.63415217391309</v>
      </c>
      <c r="Y19" s="175">
        <f t="shared" si="7"/>
        <v>422333.33333333331</v>
      </c>
      <c r="Z19" s="174">
        <f t="shared" si="8"/>
        <v>1073.7288135593219</v>
      </c>
      <c r="AA19" s="366">
        <v>1.4408300000000001</v>
      </c>
      <c r="AB19" s="366">
        <f t="shared" si="9"/>
        <v>7.9976797886276341</v>
      </c>
      <c r="AC19" s="243">
        <f t="shared" si="17"/>
        <v>0.11398993773741414</v>
      </c>
      <c r="AD19" s="396">
        <v>2.3777300000000001</v>
      </c>
      <c r="AE19" s="243">
        <f t="shared" si="18"/>
        <v>6.5701438848920879E-2</v>
      </c>
      <c r="AF19" s="396">
        <v>5.4106199999999998</v>
      </c>
      <c r="AG19" s="243">
        <f t="shared" si="19"/>
        <v>0.18759442446043165</v>
      </c>
      <c r="AH19" s="396">
        <v>3.0797599999999998</v>
      </c>
      <c r="AI19" s="243">
        <f t="shared" si="20"/>
        <v>6.6178057553956837E-2</v>
      </c>
      <c r="AJ19" s="178">
        <f t="shared" si="10"/>
        <v>3.3122127489509072</v>
      </c>
      <c r="AK19" s="178"/>
      <c r="AL19" s="178">
        <f t="shared" si="11"/>
        <v>1.3446150000000001</v>
      </c>
      <c r="AM19" s="178"/>
      <c r="AN19" s="178">
        <f t="shared" si="12"/>
        <v>5.4106199999999998</v>
      </c>
      <c r="AO19" s="178"/>
      <c r="AP19" s="178">
        <f t="shared" si="13"/>
        <v>1.2803400000000003</v>
      </c>
      <c r="AQ19" s="178"/>
    </row>
    <row r="20" spans="1:43" s="366" customFormat="1" x14ac:dyDescent="0.3">
      <c r="A20" s="902"/>
      <c r="B20" s="183" t="s">
        <v>122</v>
      </c>
      <c r="C20" s="175">
        <f t="shared" si="14"/>
        <v>166666.66666666663</v>
      </c>
      <c r="D20" s="174">
        <f t="shared" si="1"/>
        <v>0.44183275227903912</v>
      </c>
      <c r="E20" s="175">
        <v>466666.66666666663</v>
      </c>
      <c r="F20" s="174">
        <f t="shared" si="0"/>
        <v>0.46666666666666662</v>
      </c>
      <c r="G20" s="175">
        <v>13333.333333333332</v>
      </c>
      <c r="H20" s="175">
        <v>480000</v>
      </c>
      <c r="I20" s="174">
        <v>97.222222222222214</v>
      </c>
      <c r="J20" s="175">
        <v>53000</v>
      </c>
      <c r="K20" s="175">
        <v>38000</v>
      </c>
      <c r="L20" s="182">
        <v>91000</v>
      </c>
      <c r="M20" s="174">
        <v>58.241758241758248</v>
      </c>
      <c r="N20" s="174">
        <v>23.268361581920903</v>
      </c>
      <c r="O20" s="176">
        <f t="shared" si="2"/>
        <v>48.475753295668547</v>
      </c>
      <c r="P20" s="175">
        <f t="shared" si="3"/>
        <v>30091.938053841819</v>
      </c>
      <c r="Q20" s="174">
        <f t="shared" si="4"/>
        <v>93.942341860233611</v>
      </c>
      <c r="R20" s="176">
        <f t="shared" si="15"/>
        <v>123.35764577127684</v>
      </c>
      <c r="S20" s="176">
        <f t="shared" si="16"/>
        <v>62.471389332464355</v>
      </c>
      <c r="T20" s="176">
        <f t="shared" si="5"/>
        <v>185.82903510374121</v>
      </c>
      <c r="U20" s="174">
        <f t="shared" si="6"/>
        <v>18.958333333333332</v>
      </c>
      <c r="V20" s="367"/>
      <c r="W20" s="389">
        <v>1062.5</v>
      </c>
      <c r="X20" s="176">
        <v>192.23994366197186</v>
      </c>
      <c r="Y20" s="175">
        <f t="shared" si="7"/>
        <v>389000</v>
      </c>
      <c r="Z20" s="174">
        <f t="shared" si="8"/>
        <v>366.11764705882354</v>
      </c>
      <c r="AA20" s="366">
        <v>1.2245600000000001</v>
      </c>
      <c r="AB20" s="366">
        <f t="shared" si="9"/>
        <v>6.7972201869490885</v>
      </c>
      <c r="AC20" s="243">
        <f t="shared" si="17"/>
        <v>0.17162705020728064</v>
      </c>
      <c r="AD20" s="396">
        <v>3.05579</v>
      </c>
      <c r="AE20" s="243">
        <f t="shared" si="18"/>
        <v>6.783660714285715E-2</v>
      </c>
      <c r="AF20" s="396">
        <v>5.1706700000000003</v>
      </c>
      <c r="AG20" s="243">
        <f t="shared" si="19"/>
        <v>0.15517500000000004</v>
      </c>
      <c r="AH20" s="396">
        <v>2.9569200000000002</v>
      </c>
      <c r="AI20" s="243">
        <f t="shared" si="20"/>
        <v>8.6700892857142858E-2</v>
      </c>
      <c r="AJ20" s="178">
        <f t="shared" si="10"/>
        <v>4.5126723506294528</v>
      </c>
      <c r="AK20" s="178"/>
      <c r="AL20" s="178">
        <f t="shared" si="11"/>
        <v>2.022675</v>
      </c>
      <c r="AM20" s="178"/>
      <c r="AN20" s="178">
        <f t="shared" si="12"/>
        <v>5.1706700000000003</v>
      </c>
      <c r="AO20" s="178"/>
      <c r="AP20" s="178">
        <f t="shared" si="13"/>
        <v>1.4031799999999999</v>
      </c>
      <c r="AQ20" s="178"/>
    </row>
    <row r="21" spans="1:43" s="362" customFormat="1" x14ac:dyDescent="0.3">
      <c r="A21" s="894" t="s">
        <v>145</v>
      </c>
      <c r="B21" s="361" t="s">
        <v>118</v>
      </c>
      <c r="C21" s="365"/>
      <c r="D21" s="364"/>
      <c r="E21" s="365"/>
      <c r="F21" s="364"/>
      <c r="G21" s="365"/>
      <c r="H21" s="365"/>
      <c r="I21" s="364"/>
      <c r="J21" s="365"/>
      <c r="K21" s="365"/>
      <c r="L21" s="394">
        <v>32000</v>
      </c>
      <c r="M21" s="265"/>
      <c r="N21" s="265"/>
      <c r="O21" s="267"/>
      <c r="P21" s="266"/>
      <c r="Q21" s="265"/>
      <c r="R21" s="267">
        <f t="shared" si="15"/>
        <v>58.347716272360458</v>
      </c>
      <c r="S21" s="267">
        <f t="shared" si="16"/>
        <v>21.967961083943507</v>
      </c>
      <c r="T21" s="267">
        <f t="shared" si="5"/>
        <v>80.315677356303965</v>
      </c>
      <c r="U21" s="265"/>
      <c r="V21" s="360"/>
      <c r="W21" s="390">
        <v>336.66666666666669</v>
      </c>
      <c r="X21" s="267">
        <v>234.8750769230769</v>
      </c>
      <c r="Y21" s="365"/>
      <c r="Z21" s="364"/>
      <c r="AC21" s="397"/>
      <c r="AD21" s="398"/>
      <c r="AE21" s="397"/>
      <c r="AF21" s="398"/>
      <c r="AG21" s="397"/>
      <c r="AH21" s="398"/>
      <c r="AI21" s="397"/>
      <c r="AJ21" s="363"/>
      <c r="AK21" s="363"/>
      <c r="AL21" s="363"/>
      <c r="AM21" s="363"/>
      <c r="AN21" s="363"/>
      <c r="AO21" s="363"/>
      <c r="AP21" s="363"/>
      <c r="AQ21" s="363"/>
    </row>
    <row r="22" spans="1:43" s="263" customFormat="1" ht="14.4" customHeight="1" x14ac:dyDescent="0.3">
      <c r="A22" s="895"/>
      <c r="B22" s="361" t="s">
        <v>125</v>
      </c>
      <c r="C22" s="361"/>
      <c r="D22" s="270"/>
      <c r="E22" s="270">
        <v>350666.66666666663</v>
      </c>
      <c r="F22" s="265">
        <f>E22/1000000</f>
        <v>0.35066666666666663</v>
      </c>
      <c r="G22" s="270">
        <v>6666.6666666666661</v>
      </c>
      <c r="H22" s="270">
        <v>357333.33333333302</v>
      </c>
      <c r="I22" s="271">
        <v>98.134328358208947</v>
      </c>
      <c r="J22" s="270">
        <v>10000</v>
      </c>
      <c r="K22" s="270">
        <v>3000</v>
      </c>
      <c r="L22" s="394">
        <v>13000</v>
      </c>
      <c r="M22" s="265">
        <v>76.923076923076934</v>
      </c>
      <c r="N22" s="265">
        <v>1.9900744416873426</v>
      </c>
      <c r="O22" s="267">
        <f>N22/H22*1000000</f>
        <v>5.5692381763638368</v>
      </c>
      <c r="P22" s="266">
        <v>0</v>
      </c>
      <c r="Q22" s="265">
        <f>E22/(E22+P22)*100</f>
        <v>100</v>
      </c>
      <c r="R22" s="267">
        <f>4*PI()*(X17/2)*(X17/2)*W22/1000000</f>
        <v>76.762572956277069</v>
      </c>
      <c r="S22" s="267">
        <f t="shared" si="16"/>
        <v>8.9244841903520502</v>
      </c>
      <c r="T22" s="267">
        <f t="shared" si="5"/>
        <v>85.687057146629115</v>
      </c>
      <c r="U22" s="265">
        <f>L22/H22*100</f>
        <v>3.6380597014925402</v>
      </c>
      <c r="V22" s="360">
        <f>370/437</f>
        <v>0.84668192219679639</v>
      </c>
      <c r="W22" s="391">
        <v>565</v>
      </c>
      <c r="X22" s="267"/>
      <c r="Y22" s="266">
        <f>H22-L22</f>
        <v>344333.33333333302</v>
      </c>
      <c r="Z22" s="265">
        <f>Y22/W22</f>
        <v>609.43952802359831</v>
      </c>
      <c r="AA22" s="263">
        <v>2.0168599999999999</v>
      </c>
      <c r="AB22" s="263">
        <f>AA22/180.156*1000</f>
        <v>11.195075379115876</v>
      </c>
      <c r="AC22" s="398"/>
      <c r="AD22" s="398">
        <v>1.3902399999999999</v>
      </c>
      <c r="AE22" s="398"/>
      <c r="AF22" s="398">
        <v>0.76134000000000002</v>
      </c>
      <c r="AG22" s="398"/>
      <c r="AH22" s="398">
        <v>3.4655399999999998</v>
      </c>
      <c r="AI22" s="398"/>
      <c r="AJ22" s="263">
        <f>AB22-AB22</f>
        <v>0</v>
      </c>
      <c r="AL22" s="263">
        <f>AD22-AD22</f>
        <v>0</v>
      </c>
      <c r="AN22" s="263">
        <f>AF22-AF22</f>
        <v>0</v>
      </c>
      <c r="AP22" s="263">
        <f>AH22-AH22</f>
        <v>0</v>
      </c>
    </row>
    <row r="23" spans="1:43" s="263" customFormat="1" x14ac:dyDescent="0.3">
      <c r="A23" s="895"/>
      <c r="B23" s="361" t="s">
        <v>124</v>
      </c>
      <c r="C23" s="361"/>
      <c r="D23" s="270"/>
      <c r="E23" s="270">
        <v>398666.66666666663</v>
      </c>
      <c r="F23" s="265">
        <f>E23/1000000</f>
        <v>0.39866666666666661</v>
      </c>
      <c r="G23" s="270">
        <v>10666.666666666666</v>
      </c>
      <c r="H23" s="270">
        <v>409333.33333333331</v>
      </c>
      <c r="I23" s="271">
        <v>97.394136807817588</v>
      </c>
      <c r="J23" s="270">
        <v>13000</v>
      </c>
      <c r="K23" s="270">
        <v>10000</v>
      </c>
      <c r="L23" s="394">
        <v>23000</v>
      </c>
      <c r="M23" s="265">
        <v>56.521739130434781</v>
      </c>
      <c r="N23" s="265">
        <v>7.6674259681093391</v>
      </c>
      <c r="O23" s="267">
        <f>N23/H23*1000000</f>
        <v>18.731496664762229</v>
      </c>
      <c r="P23" s="266">
        <f>(N23-2.857)/0.0006783</f>
        <v>7091.8855493282308</v>
      </c>
      <c r="Q23" s="265">
        <f>E23/(E23+P23)*100</f>
        <v>98.252190739887837</v>
      </c>
      <c r="R23" s="267">
        <f>4*PI()*(X18/2)*(X18/2)*W23/1000000</f>
        <v>65.593756232400864</v>
      </c>
      <c r="S23" s="267">
        <f t="shared" si="16"/>
        <v>15.789472029084395</v>
      </c>
      <c r="T23" s="267">
        <f t="shared" si="5"/>
        <v>81.383228261485257</v>
      </c>
      <c r="U23" s="265">
        <f>L23/H23*100</f>
        <v>5.6188925081433228</v>
      </c>
      <c r="V23" s="360">
        <f>350/436</f>
        <v>0.80275229357798161</v>
      </c>
      <c r="W23" s="391">
        <v>530</v>
      </c>
      <c r="X23" s="267"/>
      <c r="Y23" s="266">
        <f>H23-L23</f>
        <v>386333.33333333331</v>
      </c>
      <c r="Z23" s="265">
        <f>Y23/W23</f>
        <v>728.93081761006283</v>
      </c>
      <c r="AA23" s="263">
        <v>1.925</v>
      </c>
      <c r="AB23" s="263">
        <f>AA23/180.156*1000</f>
        <v>10.685183951686316</v>
      </c>
      <c r="AC23" s="398"/>
      <c r="AD23" s="398">
        <v>1.13991</v>
      </c>
      <c r="AE23" s="398"/>
      <c r="AF23" s="398">
        <v>1.18842</v>
      </c>
      <c r="AG23" s="398"/>
      <c r="AH23" s="398">
        <v>4.4300100000000002</v>
      </c>
      <c r="AI23" s="398"/>
      <c r="AJ23" s="263">
        <f>AB23-AB23</f>
        <v>0</v>
      </c>
      <c r="AL23" s="263">
        <f>AD23-AD23</f>
        <v>0</v>
      </c>
      <c r="AN23" s="263">
        <f>AF23-AF23</f>
        <v>0</v>
      </c>
      <c r="AP23" s="263">
        <f>AH23-AH23</f>
        <v>0</v>
      </c>
    </row>
    <row r="24" spans="1:43" s="263" customFormat="1" x14ac:dyDescent="0.3">
      <c r="A24" s="895"/>
      <c r="B24" s="361" t="s">
        <v>123</v>
      </c>
      <c r="C24" s="361"/>
      <c r="D24" s="270"/>
      <c r="E24" s="270">
        <v>422666.66666666663</v>
      </c>
      <c r="F24" s="265">
        <f>E24/1000000</f>
        <v>0.42266666666666663</v>
      </c>
      <c r="G24" s="270">
        <v>14666.666666666666</v>
      </c>
      <c r="H24" s="270">
        <v>437333.33333333331</v>
      </c>
      <c r="I24" s="271">
        <v>96.646341463414629</v>
      </c>
      <c r="J24" s="270">
        <v>20000</v>
      </c>
      <c r="K24" s="270">
        <v>9000</v>
      </c>
      <c r="L24" s="394">
        <v>28999.999999999996</v>
      </c>
      <c r="M24" s="265">
        <v>68.965517241379317</v>
      </c>
      <c r="N24" s="265">
        <v>7.063324538258577</v>
      </c>
      <c r="O24" s="267">
        <f>N24/H24*1000000</f>
        <v>16.150894523457115</v>
      </c>
      <c r="P24" s="266">
        <f>(N24-2.857)/0.0006783</f>
        <v>6201.274566207544</v>
      </c>
      <c r="Q24" s="265">
        <f>E24/(E24+P24)*100</f>
        <v>98.554036343126825</v>
      </c>
      <c r="R24" s="267">
        <f>4*PI()*(X19/2)*(X19/2)*W24/1000000</f>
        <v>78.02502636968137</v>
      </c>
      <c r="S24" s="267">
        <f t="shared" si="16"/>
        <v>19.908464732323804</v>
      </c>
      <c r="T24" s="267">
        <f t="shared" si="5"/>
        <v>97.933491102005178</v>
      </c>
      <c r="U24" s="265">
        <f>L24/H24*100</f>
        <v>6.6310975609756087</v>
      </c>
      <c r="V24" s="360">
        <f>330/440</f>
        <v>0.75</v>
      </c>
      <c r="W24" s="391">
        <v>455</v>
      </c>
      <c r="X24" s="267"/>
      <c r="Y24" s="266">
        <f>H24-L24</f>
        <v>408333.33333333331</v>
      </c>
      <c r="Z24" s="265">
        <f>Y24/W24</f>
        <v>897.43589743589735</v>
      </c>
      <c r="AA24" s="263">
        <v>1.86571</v>
      </c>
      <c r="AB24" s="263">
        <f>AA24/180.156*1000</f>
        <v>10.356080285974379</v>
      </c>
      <c r="AC24" s="398"/>
      <c r="AD24" s="398">
        <v>1.3452500000000001</v>
      </c>
      <c r="AE24" s="398"/>
      <c r="AF24" s="398">
        <v>1.2711399999999999</v>
      </c>
      <c r="AG24" s="398"/>
      <c r="AH24" s="398">
        <v>4.0578599999999998</v>
      </c>
      <c r="AI24" s="398"/>
      <c r="AJ24" s="263">
        <f>AB24-AB24</f>
        <v>0</v>
      </c>
      <c r="AL24" s="263">
        <f>AD24-AD24</f>
        <v>0</v>
      </c>
      <c r="AN24" s="263">
        <f>AF24-AF24</f>
        <v>0</v>
      </c>
      <c r="AP24" s="263">
        <f>AH24-AH24</f>
        <v>0</v>
      </c>
    </row>
    <row r="25" spans="1:43" s="263" customFormat="1" x14ac:dyDescent="0.3">
      <c r="A25" s="896"/>
      <c r="B25" s="361" t="s">
        <v>122</v>
      </c>
      <c r="C25" s="361"/>
      <c r="D25" s="270"/>
      <c r="E25" s="270">
        <v>396000</v>
      </c>
      <c r="F25" s="265">
        <f>E25/1000000</f>
        <v>0.39600000000000002</v>
      </c>
      <c r="G25" s="270">
        <v>12000</v>
      </c>
      <c r="H25" s="270">
        <v>408000</v>
      </c>
      <c r="I25" s="271">
        <v>97.058823529411768</v>
      </c>
      <c r="J25" s="270">
        <v>14000.000000000002</v>
      </c>
      <c r="K25" s="270">
        <v>3000</v>
      </c>
      <c r="L25" s="394">
        <v>17000</v>
      </c>
      <c r="M25" s="265">
        <v>82.352941176470594</v>
      </c>
      <c r="N25" s="265">
        <v>5.2598870056497162</v>
      </c>
      <c r="O25" s="267">
        <f>N25/H25*1000000</f>
        <v>12.891879915808127</v>
      </c>
      <c r="P25" s="266">
        <f>(N25-2.857)/0.0006783</f>
        <v>3542.5136453629902</v>
      </c>
      <c r="Q25" s="265">
        <f>E25/(E25+P25)*100</f>
        <v>99.113357521570947</v>
      </c>
      <c r="R25" s="267">
        <f>4*PI()*(X20/2)*(X20/2)*W25/1000000</f>
        <v>96.2673392489572</v>
      </c>
      <c r="S25" s="267">
        <f t="shared" si="16"/>
        <v>11.670479325844989</v>
      </c>
      <c r="T25" s="267">
        <f t="shared" si="5"/>
        <v>107.93781857480219</v>
      </c>
      <c r="U25" s="265">
        <f>L25/H25*100</f>
        <v>4.1666666666666661</v>
      </c>
      <c r="V25" s="360">
        <v>0.8</v>
      </c>
      <c r="W25" s="391">
        <v>829.16666666666663</v>
      </c>
      <c r="X25" s="267"/>
      <c r="Y25" s="266">
        <f>H25-L25</f>
        <v>391000</v>
      </c>
      <c r="Z25" s="265">
        <f>Y25/W25</f>
        <v>471.55778894472365</v>
      </c>
      <c r="AA25" s="263">
        <v>1.81948</v>
      </c>
      <c r="AB25" s="263">
        <f>AA25/180.156*1000</f>
        <v>10.099469348786608</v>
      </c>
      <c r="AC25" s="398"/>
      <c r="AD25" s="398">
        <v>1.59795</v>
      </c>
      <c r="AE25" s="398"/>
      <c r="AF25" s="398">
        <v>1.0488999999999999</v>
      </c>
      <c r="AG25" s="398"/>
      <c r="AH25" s="398">
        <v>3.7268300000000001</v>
      </c>
      <c r="AI25" s="398"/>
      <c r="AJ25" s="263">
        <f>AB25-AB25</f>
        <v>0</v>
      </c>
      <c r="AL25" s="263">
        <f>AD25-AD25</f>
        <v>0</v>
      </c>
      <c r="AN25" s="263">
        <f>AF25-AF25</f>
        <v>0</v>
      </c>
      <c r="AP25" s="263">
        <f>AH25-AH25</f>
        <v>0</v>
      </c>
    </row>
    <row r="26" spans="1:43" s="354" customFormat="1" x14ac:dyDescent="0.3">
      <c r="A26" s="897" t="s">
        <v>144</v>
      </c>
      <c r="B26" s="170" t="s">
        <v>118</v>
      </c>
      <c r="C26" s="359"/>
      <c r="D26" s="355"/>
      <c r="E26" s="355"/>
      <c r="F26" s="356"/>
      <c r="G26" s="355"/>
      <c r="H26" s="355"/>
      <c r="I26" s="358"/>
      <c r="J26" s="355"/>
      <c r="K26" s="355"/>
      <c r="L26" s="169">
        <v>96000</v>
      </c>
      <c r="M26" s="160"/>
      <c r="N26" s="160"/>
      <c r="O26" s="162"/>
      <c r="P26" s="161"/>
      <c r="Q26" s="160"/>
      <c r="R26" s="162">
        <f>4*PI()*(X26/2)*(X26/2)*W26/1000000</f>
        <v>45.144877327225586</v>
      </c>
      <c r="S26" s="162">
        <f t="shared" si="16"/>
        <v>65.903883251830521</v>
      </c>
      <c r="T26" s="162">
        <f t="shared" si="5"/>
        <v>111.04876057905611</v>
      </c>
      <c r="U26" s="160"/>
      <c r="V26" s="353"/>
      <c r="W26" s="392">
        <v>226.66666666666666</v>
      </c>
      <c r="X26" s="162">
        <v>251.78825806451619</v>
      </c>
      <c r="Y26" s="357"/>
      <c r="Z26" s="356"/>
      <c r="AC26" s="399"/>
      <c r="AD26" s="399"/>
      <c r="AE26" s="399"/>
      <c r="AF26" s="399"/>
      <c r="AG26" s="399"/>
      <c r="AH26" s="399"/>
      <c r="AI26" s="399"/>
    </row>
    <row r="27" spans="1:43" s="352" customFormat="1" ht="14.4" customHeight="1" x14ac:dyDescent="0.3">
      <c r="A27" s="898"/>
      <c r="B27" s="170" t="s">
        <v>125</v>
      </c>
      <c r="C27" s="161">
        <v>0</v>
      </c>
      <c r="D27" s="160"/>
      <c r="E27" s="161">
        <v>325333.33333333331</v>
      </c>
      <c r="F27" s="160">
        <f>E27/1000000</f>
        <v>0.32533333333333331</v>
      </c>
      <c r="G27" s="161">
        <v>6666.6666666666661</v>
      </c>
      <c r="H27" s="161">
        <v>332000</v>
      </c>
      <c r="I27" s="160">
        <v>97.99196787148594</v>
      </c>
      <c r="J27" s="161">
        <v>23000</v>
      </c>
      <c r="K27" s="161">
        <v>20000</v>
      </c>
      <c r="L27" s="395">
        <v>43000</v>
      </c>
      <c r="M27" s="160">
        <v>53.488372093023251</v>
      </c>
      <c r="N27" s="160">
        <v>13.714640198511164</v>
      </c>
      <c r="O27" s="162">
        <f>N27/H27*1000000</f>
        <v>41.309157224431218</v>
      </c>
      <c r="P27" s="161">
        <f>(N27-2.857)/0.0006783</f>
        <v>16007.135778433088</v>
      </c>
      <c r="Q27" s="160">
        <f>E27/(E27+P27)*100</f>
        <v>95.310507476571203</v>
      </c>
      <c r="R27" s="162">
        <f>4*PI()*(X27/2)*(X27/2)*W27/1000000</f>
        <v>41.721965139003572</v>
      </c>
      <c r="S27" s="162">
        <f t="shared" si="16"/>
        <v>29.519447706549091</v>
      </c>
      <c r="T27" s="162">
        <f t="shared" si="5"/>
        <v>71.241412845552659</v>
      </c>
      <c r="U27" s="160">
        <f>L27/H27*100</f>
        <v>12.951807228915662</v>
      </c>
      <c r="V27" s="353"/>
      <c r="W27" s="393">
        <v>283.33333333333331</v>
      </c>
      <c r="X27" s="162">
        <v>216.50035164835165</v>
      </c>
      <c r="Y27" s="161">
        <f>H27-L27</f>
        <v>289000</v>
      </c>
      <c r="Z27" s="160">
        <f>Y27/W27</f>
        <v>1020.0000000000001</v>
      </c>
      <c r="AA27" s="352">
        <v>1.83802</v>
      </c>
      <c r="AB27" s="352">
        <f>AA27/180.156*1000</f>
        <v>10.202380159417393</v>
      </c>
      <c r="AC27" s="244">
        <f>((AB22-AB27)/$E27)/24*1000000</f>
        <v>0.12713821973597372</v>
      </c>
      <c r="AD27" s="399">
        <v>1.99458</v>
      </c>
      <c r="AE27" s="244">
        <f>((AD22-AD27)/$E27)/24*1000000*(-1)</f>
        <v>7.7400102459016407E-2</v>
      </c>
      <c r="AF27" s="399">
        <v>2.6631300000000002</v>
      </c>
      <c r="AG27" s="244">
        <f>((AF22-AF27)/$E27)/24*1000000*(-1)</f>
        <v>0.24356941598360657</v>
      </c>
      <c r="AH27" s="399">
        <v>3.21496</v>
      </c>
      <c r="AI27" s="244">
        <f>((AH22-AH27)/$E27)/24*1000000</f>
        <v>3.2092725409836043E-2</v>
      </c>
      <c r="AJ27" s="352">
        <f>AB22-AB27</f>
        <v>0.99269521969848284</v>
      </c>
      <c r="AL27" s="352">
        <f>AD27-AD22</f>
        <v>0.6043400000000001</v>
      </c>
      <c r="AN27" s="352">
        <f>AF27-AF22</f>
        <v>1.9017900000000001</v>
      </c>
      <c r="AP27" s="352">
        <f>AH22-AH27</f>
        <v>0.2505799999999998</v>
      </c>
    </row>
    <row r="28" spans="1:43" s="352" customFormat="1" x14ac:dyDescent="0.3">
      <c r="A28" s="898"/>
      <c r="B28" s="170" t="s">
        <v>124</v>
      </c>
      <c r="C28" s="161">
        <f>E28-E23</f>
        <v>4000</v>
      </c>
      <c r="D28" s="160"/>
      <c r="E28" s="161">
        <v>402666.66666666663</v>
      </c>
      <c r="F28" s="160">
        <f>E28/1000000</f>
        <v>0.40266666666666662</v>
      </c>
      <c r="G28" s="161">
        <v>16666.666666666664</v>
      </c>
      <c r="H28" s="161">
        <v>419333.33333333331</v>
      </c>
      <c r="I28" s="160">
        <v>96.025437201907778</v>
      </c>
      <c r="J28" s="161">
        <v>19000</v>
      </c>
      <c r="K28" s="161">
        <v>37000</v>
      </c>
      <c r="L28" s="169">
        <v>56000.000000000007</v>
      </c>
      <c r="M28" s="160">
        <v>33.928571428571431</v>
      </c>
      <c r="N28" s="160">
        <v>23.111617312072891</v>
      </c>
      <c r="O28" s="162">
        <f>N28/H28*1000000</f>
        <v>55.11514462338527</v>
      </c>
      <c r="P28" s="161">
        <f>(N28-2.857)/0.0006783</f>
        <v>29860.854064680661</v>
      </c>
      <c r="Q28" s="160">
        <f>E28/(E28+P28)*100</f>
        <v>93.096195586771017</v>
      </c>
      <c r="R28" s="162">
        <f>4*PI()*(X28/2)*(X28/2)*W28/1000000</f>
        <v>45.99404017353892</v>
      </c>
      <c r="S28" s="162">
        <f t="shared" si="16"/>
        <v>38.443931896901148</v>
      </c>
      <c r="T28" s="162">
        <f t="shared" si="5"/>
        <v>84.437972070440068</v>
      </c>
      <c r="U28" s="160">
        <f>L28/H28*100</f>
        <v>13.354531001589828</v>
      </c>
      <c r="V28" s="353"/>
      <c r="W28" s="393">
        <v>286.66666666666703</v>
      </c>
      <c r="X28" s="162">
        <v>225.98897142857143</v>
      </c>
      <c r="Y28" s="161">
        <f>H28-L28</f>
        <v>363333.33333333331</v>
      </c>
      <c r="Z28" s="160">
        <f>Y28/W28</f>
        <v>1267.4418604651146</v>
      </c>
      <c r="AA28" s="352">
        <v>1.78332</v>
      </c>
      <c r="AB28" s="352">
        <f>AA28/180.156*1000</f>
        <v>9.8987544128422016</v>
      </c>
      <c r="AC28" s="244">
        <f t="shared" ref="AC28:AC30" si="21">((AB23-AB28)/$E28)/24*1000000</f>
        <v>8.1377228771121107E-2</v>
      </c>
      <c r="AD28" s="399">
        <v>2.0263599999999999</v>
      </c>
      <c r="AE28" s="244">
        <f t="shared" ref="AE28:AE30" si="22">((AD23-AD28)/$E28)/24*1000000*(-1)</f>
        <v>9.1727028145695375E-2</v>
      </c>
      <c r="AF28" s="399">
        <v>3.2275900000000002</v>
      </c>
      <c r="AG28" s="244">
        <f t="shared" ref="AG28:AG30" si="23">((AF23-AF28)/$E28)/24*1000000*(-1)</f>
        <v>0.21100682947019872</v>
      </c>
      <c r="AH28" s="399">
        <v>3.3534600000000001</v>
      </c>
      <c r="AI28" s="244">
        <f t="shared" ref="AI28:AI30" si="24">((AH23-AH28)/$E28)/24*1000000</f>
        <v>0.11139797185430467</v>
      </c>
      <c r="AJ28" s="352">
        <f>AB23-AB28</f>
        <v>0.78642953884411426</v>
      </c>
      <c r="AL28" s="352">
        <f>AD28-AD23</f>
        <v>0.88644999999999996</v>
      </c>
      <c r="AN28" s="352">
        <f>AF28-AF23</f>
        <v>2.0391700000000004</v>
      </c>
      <c r="AP28" s="352">
        <f>AH23-AH28</f>
        <v>1.0765500000000001</v>
      </c>
    </row>
    <row r="29" spans="1:43" s="352" customFormat="1" x14ac:dyDescent="0.3">
      <c r="A29" s="898"/>
      <c r="B29" s="170" t="s">
        <v>123</v>
      </c>
      <c r="C29" s="161">
        <f>E29-E24</f>
        <v>57333.333333333372</v>
      </c>
      <c r="D29" s="160"/>
      <c r="E29" s="167">
        <v>480000</v>
      </c>
      <c r="F29" s="160">
        <f>E29/1000000</f>
        <v>0.48</v>
      </c>
      <c r="G29" s="167">
        <v>14666.666666666666</v>
      </c>
      <c r="H29" s="167">
        <v>494666.66666666663</v>
      </c>
      <c r="I29" s="168">
        <v>97.035040431266836</v>
      </c>
      <c r="J29" s="167">
        <v>30000</v>
      </c>
      <c r="K29" s="167">
        <v>37000</v>
      </c>
      <c r="L29" s="169">
        <v>67000</v>
      </c>
      <c r="M29" s="160">
        <v>44.776119402985074</v>
      </c>
      <c r="N29" s="160">
        <v>23.408970976253297</v>
      </c>
      <c r="O29" s="162">
        <f>N29/H29*1000000</f>
        <v>47.322717606981065</v>
      </c>
      <c r="P29" s="161">
        <f>(N29-2.857)/0.0006783</f>
        <v>30299.234816826331</v>
      </c>
      <c r="Q29" s="160">
        <f>E29/(E29+P29)*100</f>
        <v>94.062457329040996</v>
      </c>
      <c r="R29" s="162">
        <f>4*PI()*(X29/2)*(X29/2)*W29/1000000</f>
        <v>60.003111781356374</v>
      </c>
      <c r="S29" s="162">
        <f t="shared" si="16"/>
        <v>45.995418519506721</v>
      </c>
      <c r="T29" s="162">
        <f t="shared" si="5"/>
        <v>105.9985303008631</v>
      </c>
      <c r="U29" s="160">
        <f>L29/H29*100</f>
        <v>13.544474393530997</v>
      </c>
      <c r="V29" s="353"/>
      <c r="W29" s="393">
        <v>275</v>
      </c>
      <c r="X29" s="162">
        <v>263.53943076923088</v>
      </c>
      <c r="Y29" s="161">
        <f>H29-L29</f>
        <v>427666.66666666663</v>
      </c>
      <c r="Z29" s="160">
        <f>Y29/W29</f>
        <v>1555.151515151515</v>
      </c>
      <c r="AA29" s="352">
        <v>1.6643300000000001</v>
      </c>
      <c r="AB29" s="352">
        <f>AA29/180.156*1000</f>
        <v>9.238271276005241</v>
      </c>
      <c r="AC29" s="244">
        <f t="shared" si="21"/>
        <v>9.7032032115376546E-2</v>
      </c>
      <c r="AD29" s="399">
        <v>2.1146099999999999</v>
      </c>
      <c r="AE29" s="244">
        <f t="shared" si="22"/>
        <v>6.6784722222222204E-2</v>
      </c>
      <c r="AF29" s="399">
        <v>3.2581000000000002</v>
      </c>
      <c r="AG29" s="244">
        <f t="shared" si="23"/>
        <v>0.17247916666666668</v>
      </c>
      <c r="AH29" s="399">
        <v>3.3431700000000002</v>
      </c>
      <c r="AI29" s="244">
        <f t="shared" si="24"/>
        <v>6.2039062499999964E-2</v>
      </c>
      <c r="AJ29" s="352">
        <f>AB24-AB29</f>
        <v>1.1178090099691378</v>
      </c>
      <c r="AL29" s="352">
        <f>AD29-AD24</f>
        <v>0.76935999999999982</v>
      </c>
      <c r="AN29" s="352">
        <f>AF29-AF24</f>
        <v>1.9869600000000003</v>
      </c>
      <c r="AP29" s="352">
        <f>AH24-AH29</f>
        <v>0.7146899999999996</v>
      </c>
    </row>
    <row r="30" spans="1:43" s="352" customFormat="1" x14ac:dyDescent="0.3">
      <c r="A30" s="899"/>
      <c r="B30" s="170" t="s">
        <v>122</v>
      </c>
      <c r="C30" s="161">
        <v>0</v>
      </c>
      <c r="D30" s="160"/>
      <c r="E30" s="167">
        <v>376000</v>
      </c>
      <c r="F30" s="160">
        <f>E30/1000000</f>
        <v>0.376</v>
      </c>
      <c r="G30" s="167">
        <v>18666.666666666668</v>
      </c>
      <c r="H30" s="167">
        <v>394666.66666666663</v>
      </c>
      <c r="I30" s="168">
        <v>95.27027027027026</v>
      </c>
      <c r="J30" s="167">
        <v>41000</v>
      </c>
      <c r="K30" s="167">
        <v>28000.000000000004</v>
      </c>
      <c r="L30" s="169">
        <v>69000</v>
      </c>
      <c r="M30" s="160">
        <v>59.420289855072461</v>
      </c>
      <c r="N30" s="160">
        <v>25.387005649717509</v>
      </c>
      <c r="O30" s="162">
        <f>N30/H30*1000000</f>
        <v>64.325183234081535</v>
      </c>
      <c r="P30" s="161">
        <f>(N30-2.857)/0.0006783</f>
        <v>33215.399748956967</v>
      </c>
      <c r="Q30" s="160">
        <f>E30/(E30+P30)*100</f>
        <v>91.883150103995661</v>
      </c>
      <c r="R30" s="162">
        <f>4*PI()*(X30/2)*(X30/2)*W30/1000000</f>
        <v>66.911026678369311</v>
      </c>
      <c r="S30" s="162">
        <f>4*PI()*(14.7824/2)*(14.7824/2)*L30/1000000</f>
        <v>47.368416087253188</v>
      </c>
      <c r="T30" s="162">
        <f t="shared" si="5"/>
        <v>114.27944276562249</v>
      </c>
      <c r="U30" s="160">
        <f>L30/H30*100</f>
        <v>17.483108108108109</v>
      </c>
      <c r="V30" s="353"/>
      <c r="W30" s="393">
        <v>461.66666666666669</v>
      </c>
      <c r="X30" s="162">
        <v>214.78782051282053</v>
      </c>
      <c r="Y30" s="161">
        <f>H30-L30</f>
        <v>325666.66666666663</v>
      </c>
      <c r="Z30" s="160">
        <f>Y30/W30</f>
        <v>705.41516245487355</v>
      </c>
      <c r="AA30" s="352">
        <v>1.6897899999999999</v>
      </c>
      <c r="AB30" s="352">
        <f>AA30/180.156*1000</f>
        <v>9.3795932414129979</v>
      </c>
      <c r="AC30" s="244">
        <f t="shared" si="21"/>
        <v>7.9773504806472703E-2</v>
      </c>
      <c r="AD30" s="399">
        <v>2.45452</v>
      </c>
      <c r="AE30" s="244">
        <f t="shared" si="22"/>
        <v>9.4921320921985824E-2</v>
      </c>
      <c r="AF30" s="399">
        <v>3.4816400000000001</v>
      </c>
      <c r="AG30" s="244">
        <f t="shared" si="23"/>
        <v>0.26958554964539005</v>
      </c>
      <c r="AH30" s="399">
        <v>2.9635799999999999</v>
      </c>
      <c r="AI30" s="244">
        <f t="shared" si="24"/>
        <v>8.4580008865248246E-2</v>
      </c>
      <c r="AJ30" s="352">
        <f>AB25-AB30</f>
        <v>0.71987610737360974</v>
      </c>
      <c r="AL30" s="352">
        <f>AD30-AD25</f>
        <v>0.85657000000000005</v>
      </c>
      <c r="AN30" s="352">
        <f>AF30-AF25</f>
        <v>2.4327399999999999</v>
      </c>
      <c r="AP30" s="352">
        <f>AH25-AH30</f>
        <v>0.76325000000000021</v>
      </c>
    </row>
  </sheetData>
  <mergeCells count="11">
    <mergeCell ref="A21:A25"/>
    <mergeCell ref="A26:A30"/>
    <mergeCell ref="A2:AQ2"/>
    <mergeCell ref="AA4:AQ4"/>
    <mergeCell ref="A17:A20"/>
    <mergeCell ref="E4:I4"/>
    <mergeCell ref="J4:M4"/>
    <mergeCell ref="A9:A12"/>
    <mergeCell ref="A13:A16"/>
    <mergeCell ref="N4:Q4"/>
    <mergeCell ref="R4:T4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66"/>
  <sheetViews>
    <sheetView zoomScale="70" zoomScaleNormal="70" workbookViewId="0">
      <selection activeCell="B26" sqref="B26:F26"/>
    </sheetView>
  </sheetViews>
  <sheetFormatPr baseColWidth="10" defaultRowHeight="14.4" x14ac:dyDescent="0.3"/>
  <cols>
    <col min="3" max="3" width="15.109375" customWidth="1"/>
    <col min="4" max="4" width="14.109375" bestFit="1" customWidth="1"/>
  </cols>
  <sheetData>
    <row r="2" spans="2:6" s="447" customFormat="1" x14ac:dyDescent="0.3">
      <c r="B2" s="918" t="s">
        <v>470</v>
      </c>
      <c r="C2" s="918"/>
      <c r="D2" s="918"/>
      <c r="E2" s="918"/>
      <c r="F2" s="918"/>
    </row>
    <row r="3" spans="2:6" x14ac:dyDescent="0.3">
      <c r="B3" t="s">
        <v>56</v>
      </c>
      <c r="C3" s="156" t="s">
        <v>153</v>
      </c>
      <c r="D3" s="156" t="s">
        <v>112</v>
      </c>
      <c r="E3" t="s">
        <v>152</v>
      </c>
      <c r="F3" t="s">
        <v>151</v>
      </c>
    </row>
    <row r="4" spans="2:6" x14ac:dyDescent="0.3">
      <c r="C4" s="156"/>
      <c r="D4" s="156"/>
    </row>
    <row r="5" spans="2:6" x14ac:dyDescent="0.3">
      <c r="B5" s="912" t="s">
        <v>173</v>
      </c>
      <c r="C5" s="411">
        <v>24</v>
      </c>
      <c r="D5" s="444">
        <v>0.30311788058162026</v>
      </c>
      <c r="E5" s="417">
        <v>2.8999999999999998E-3</v>
      </c>
      <c r="F5" s="417">
        <f>LN(2)/E5</f>
        <v>239.01626915860183</v>
      </c>
    </row>
    <row r="6" spans="2:6" x14ac:dyDescent="0.3">
      <c r="B6" s="912"/>
      <c r="C6" s="411">
        <v>48</v>
      </c>
      <c r="D6" s="444">
        <v>0.37263577833194472</v>
      </c>
      <c r="E6" s="417"/>
      <c r="F6" s="417"/>
    </row>
    <row r="7" spans="2:6" x14ac:dyDescent="0.3">
      <c r="D7" s="433"/>
    </row>
    <row r="8" spans="2:6" x14ac:dyDescent="0.3">
      <c r="B8" s="915" t="s">
        <v>172</v>
      </c>
      <c r="C8" s="416">
        <v>24</v>
      </c>
      <c r="D8" s="443">
        <v>-1.3423020332140661E-2</v>
      </c>
      <c r="E8" s="442">
        <v>1.5900000000000001E-2</v>
      </c>
      <c r="F8" s="442">
        <f>LN(2)/E8</f>
        <v>43.594162299367625</v>
      </c>
    </row>
    <row r="9" spans="2:6" x14ac:dyDescent="0.3">
      <c r="B9" s="915"/>
      <c r="C9" s="416">
        <v>48</v>
      </c>
      <c r="D9" s="443">
        <v>0.36772478012531734</v>
      </c>
      <c r="E9" s="442"/>
      <c r="F9" s="442"/>
    </row>
    <row r="10" spans="2:6" x14ac:dyDescent="0.3">
      <c r="D10" s="433"/>
    </row>
    <row r="11" spans="2:6" x14ac:dyDescent="0.3">
      <c r="B11" s="913" t="s">
        <v>171</v>
      </c>
      <c r="C11" s="429">
        <v>24</v>
      </c>
      <c r="D11" s="446">
        <v>9.7328343960561836E-2</v>
      </c>
      <c r="E11" s="428">
        <v>1.2999999999999999E-2</v>
      </c>
      <c r="F11" s="428">
        <f>LN(2)/E11</f>
        <v>53.319013889226561</v>
      </c>
    </row>
    <row r="12" spans="2:6" x14ac:dyDescent="0.3">
      <c r="B12" s="913"/>
      <c r="C12" s="429">
        <v>48</v>
      </c>
      <c r="D12" s="446">
        <v>0.40989970517603008</v>
      </c>
      <c r="E12" s="428"/>
      <c r="F12" s="428"/>
    </row>
    <row r="13" spans="2:6" x14ac:dyDescent="0.3">
      <c r="D13" s="433"/>
    </row>
    <row r="14" spans="2:6" x14ac:dyDescent="0.3">
      <c r="B14" s="917" t="s">
        <v>170</v>
      </c>
      <c r="C14" s="414">
        <v>24</v>
      </c>
      <c r="D14" s="438">
        <v>0.1212338648141164</v>
      </c>
      <c r="E14" s="413">
        <v>1.54E-2</v>
      </c>
      <c r="F14" s="413">
        <f>LN(2)/E14</f>
        <v>45.009557179217225</v>
      </c>
    </row>
    <row r="15" spans="2:6" x14ac:dyDescent="0.3">
      <c r="B15" s="917"/>
      <c r="C15" s="414">
        <v>48</v>
      </c>
      <c r="D15" s="438">
        <v>0.49198253596451069</v>
      </c>
      <c r="E15" s="413"/>
      <c r="F15" s="413"/>
    </row>
    <row r="16" spans="2:6" x14ac:dyDescent="0.3">
      <c r="D16" s="433"/>
    </row>
    <row r="17" spans="2:6" x14ac:dyDescent="0.3">
      <c r="B17" s="906" t="s">
        <v>169</v>
      </c>
      <c r="C17" s="412">
        <v>24</v>
      </c>
      <c r="D17" s="437">
        <v>0.40694549327859858</v>
      </c>
      <c r="E17" s="304">
        <v>8.0000000000000002E-3</v>
      </c>
      <c r="F17" s="304">
        <f>LN(2)/E17</f>
        <v>86.643397569993155</v>
      </c>
    </row>
    <row r="18" spans="2:6" x14ac:dyDescent="0.3">
      <c r="B18" s="906"/>
      <c r="C18" s="412">
        <v>48</v>
      </c>
      <c r="D18" s="437">
        <v>0.60005675749393306</v>
      </c>
      <c r="E18" s="304"/>
      <c r="F18" s="304"/>
    </row>
    <row r="19" spans="2:6" x14ac:dyDescent="0.3">
      <c r="D19" s="433"/>
    </row>
    <row r="20" spans="2:6" x14ac:dyDescent="0.3">
      <c r="B20" s="910" t="s">
        <v>168</v>
      </c>
      <c r="C20" s="436">
        <v>24</v>
      </c>
      <c r="D20" s="435">
        <v>0.26747936513426146</v>
      </c>
      <c r="E20" s="434">
        <v>4.0000000000000001E-3</v>
      </c>
      <c r="F20" s="434">
        <f>LN(2)/E20</f>
        <v>173.28679513998631</v>
      </c>
    </row>
    <row r="21" spans="2:6" x14ac:dyDescent="0.3">
      <c r="B21" s="910"/>
      <c r="C21" s="436">
        <v>48</v>
      </c>
      <c r="D21" s="435">
        <v>0.36464311358790924</v>
      </c>
      <c r="E21" s="434"/>
      <c r="F21" s="434"/>
    </row>
    <row r="22" spans="2:6" x14ac:dyDescent="0.3">
      <c r="D22" s="433"/>
    </row>
    <row r="23" spans="2:6" x14ac:dyDescent="0.3">
      <c r="B23" s="909" t="s">
        <v>167</v>
      </c>
      <c r="C23" s="329">
        <v>24</v>
      </c>
      <c r="D23" s="433">
        <v>0.35222059358935198</v>
      </c>
      <c r="E23">
        <v>1.15E-2</v>
      </c>
      <c r="F23">
        <f>LN(2)/E23</f>
        <v>60.27366787477785</v>
      </c>
    </row>
    <row r="24" spans="2:6" x14ac:dyDescent="0.3">
      <c r="B24" s="909"/>
      <c r="C24" s="329">
        <v>48</v>
      </c>
      <c r="D24" s="433">
        <v>0.62890491183159158</v>
      </c>
    </row>
    <row r="25" spans="2:6" x14ac:dyDescent="0.3">
      <c r="D25" s="433"/>
    </row>
    <row r="26" spans="2:6" s="445" customFormat="1" x14ac:dyDescent="0.3">
      <c r="B26" s="911" t="s">
        <v>471</v>
      </c>
      <c r="C26" s="911"/>
      <c r="D26" s="911"/>
      <c r="E26" s="911"/>
      <c r="F26" s="911"/>
    </row>
    <row r="27" spans="2:6" x14ac:dyDescent="0.3">
      <c r="B27" t="s">
        <v>56</v>
      </c>
      <c r="C27" s="156" t="s">
        <v>153</v>
      </c>
      <c r="D27" s="156" t="s">
        <v>112</v>
      </c>
      <c r="E27" t="s">
        <v>152</v>
      </c>
      <c r="F27" t="s">
        <v>151</v>
      </c>
    </row>
    <row r="28" spans="2:6" x14ac:dyDescent="0.3">
      <c r="C28" s="156"/>
      <c r="D28" s="156"/>
    </row>
    <row r="29" spans="2:6" x14ac:dyDescent="0.3">
      <c r="B29" s="912" t="s">
        <v>166</v>
      </c>
      <c r="C29" s="411">
        <v>24</v>
      </c>
      <c r="D29" s="444">
        <v>0.18232155679395459</v>
      </c>
      <c r="E29" s="417"/>
      <c r="F29" s="417"/>
    </row>
    <row r="30" spans="2:6" x14ac:dyDescent="0.3">
      <c r="B30" s="912"/>
      <c r="C30" s="411">
        <v>48</v>
      </c>
      <c r="D30" s="444">
        <v>0.15478286091106241</v>
      </c>
      <c r="E30" s="417"/>
      <c r="F30" s="417"/>
    </row>
    <row r="31" spans="2:6" x14ac:dyDescent="0.3">
      <c r="D31" s="433"/>
    </row>
    <row r="32" spans="2:6" x14ac:dyDescent="0.3">
      <c r="B32" s="915" t="s">
        <v>165</v>
      </c>
      <c r="C32" s="416">
        <v>24</v>
      </c>
      <c r="D32" s="443">
        <v>-3.62030486639607E-2</v>
      </c>
      <c r="E32" s="442">
        <v>9.4000000000000004E-3</v>
      </c>
      <c r="F32" s="442">
        <f>LN(2)/E32</f>
        <v>73.739061761696306</v>
      </c>
    </row>
    <row r="33" spans="2:6" x14ac:dyDescent="0.3">
      <c r="B33" s="915"/>
      <c r="C33" s="416">
        <v>48</v>
      </c>
      <c r="D33" s="443">
        <v>0.18970166409157702</v>
      </c>
      <c r="E33" s="442"/>
      <c r="F33" s="442"/>
    </row>
    <row r="34" spans="2:6" x14ac:dyDescent="0.3">
      <c r="D34" s="433"/>
    </row>
    <row r="35" spans="2:6" x14ac:dyDescent="0.3">
      <c r="B35" s="916" t="s">
        <v>164</v>
      </c>
      <c r="C35" s="441">
        <v>24</v>
      </c>
      <c r="D35" s="440">
        <v>0.11728908652309983</v>
      </c>
      <c r="E35" s="439">
        <v>1.5E-3</v>
      </c>
      <c r="F35" s="439">
        <f>LN(2)/E35</f>
        <v>462.09812037329687</v>
      </c>
    </row>
    <row r="36" spans="2:6" x14ac:dyDescent="0.3">
      <c r="B36" s="916"/>
      <c r="C36" s="441">
        <v>48</v>
      </c>
      <c r="D36" s="440">
        <v>0.15224410155667667</v>
      </c>
      <c r="E36" s="439"/>
      <c r="F36" s="439"/>
    </row>
    <row r="37" spans="2:6" x14ac:dyDescent="0.3">
      <c r="D37" s="433"/>
    </row>
    <row r="38" spans="2:6" x14ac:dyDescent="0.3">
      <c r="B38" s="917" t="s">
        <v>163</v>
      </c>
      <c r="C38" s="414">
        <v>24</v>
      </c>
      <c r="D38" s="438">
        <v>0.14072765949511751</v>
      </c>
      <c r="E38" s="413"/>
      <c r="F38" s="413"/>
    </row>
    <row r="39" spans="2:6" x14ac:dyDescent="0.3">
      <c r="B39" s="917"/>
      <c r="C39" s="414">
        <v>48</v>
      </c>
      <c r="D39" s="438">
        <v>-4.0821994520255166E-2</v>
      </c>
      <c r="E39" s="413"/>
      <c r="F39" s="413"/>
    </row>
    <row r="40" spans="2:6" x14ac:dyDescent="0.3">
      <c r="D40" s="433"/>
    </row>
    <row r="41" spans="2:6" x14ac:dyDescent="0.3">
      <c r="B41" s="906" t="s">
        <v>162</v>
      </c>
      <c r="C41" s="412">
        <v>24</v>
      </c>
      <c r="D41" s="437">
        <v>6.8696531286234874E-2</v>
      </c>
      <c r="E41" s="304">
        <v>9.1000000000000004E-3</v>
      </c>
      <c r="F41" s="304">
        <f>LN(2)/E41</f>
        <v>76.170019841752222</v>
      </c>
    </row>
    <row r="42" spans="2:6" x14ac:dyDescent="0.3">
      <c r="B42" s="906"/>
      <c r="C42" s="412">
        <v>48</v>
      </c>
      <c r="D42" s="437">
        <v>0.28768207245178085</v>
      </c>
      <c r="E42" s="304"/>
      <c r="F42" s="304"/>
    </row>
    <row r="43" spans="2:6" x14ac:dyDescent="0.3">
      <c r="D43" s="433"/>
    </row>
    <row r="44" spans="2:6" x14ac:dyDescent="0.3">
      <c r="B44" s="910" t="s">
        <v>161</v>
      </c>
      <c r="C44" s="436">
        <v>24</v>
      </c>
      <c r="D44" s="435">
        <v>-1.3423020332140661E-2</v>
      </c>
      <c r="E44" s="434"/>
      <c r="F44" s="434"/>
    </row>
    <row r="45" spans="2:6" x14ac:dyDescent="0.3">
      <c r="B45" s="910"/>
      <c r="C45" s="436">
        <v>48</v>
      </c>
      <c r="D45" s="435">
        <v>-8.9286307443014312E-3</v>
      </c>
      <c r="E45" s="434"/>
      <c r="F45" s="434"/>
    </row>
    <row r="46" spans="2:6" x14ac:dyDescent="0.3">
      <c r="D46" s="433"/>
    </row>
    <row r="47" spans="2:6" x14ac:dyDescent="0.3">
      <c r="B47" s="909" t="s">
        <v>160</v>
      </c>
      <c r="C47" s="329">
        <v>24</v>
      </c>
      <c r="D47" s="433">
        <v>-7.8562322503102203E-2</v>
      </c>
      <c r="E47">
        <v>1.89E-2</v>
      </c>
      <c r="F47">
        <f>LN(2)/E47</f>
        <v>36.674453997880704</v>
      </c>
    </row>
    <row r="48" spans="2:6" x14ac:dyDescent="0.3">
      <c r="B48" s="909"/>
      <c r="C48" s="329">
        <v>48</v>
      </c>
      <c r="D48" s="433">
        <v>0.37385976869283327</v>
      </c>
    </row>
    <row r="50" spans="2:12" x14ac:dyDescent="0.3">
      <c r="B50" s="909" t="s">
        <v>159</v>
      </c>
      <c r="C50" s="329">
        <v>24</v>
      </c>
      <c r="D50" s="431">
        <v>-3.1605339415331099E-2</v>
      </c>
      <c r="E50" s="431">
        <v>9.1000000000000004E-3</v>
      </c>
      <c r="F50" s="432">
        <f>LN(2)/E50</f>
        <v>76.170019841752222</v>
      </c>
    </row>
    <row r="51" spans="2:12" x14ac:dyDescent="0.3">
      <c r="B51" s="909"/>
      <c r="C51" s="329">
        <v>48</v>
      </c>
      <c r="D51" s="431">
        <v>0.18601841867528077</v>
      </c>
      <c r="E51" s="431"/>
      <c r="F51" s="431"/>
    </row>
    <row r="53" spans="2:12" x14ac:dyDescent="0.3">
      <c r="B53" s="913" t="s">
        <v>158</v>
      </c>
      <c r="C53" s="429">
        <v>24</v>
      </c>
      <c r="D53" s="428">
        <v>0.11332868530700327</v>
      </c>
      <c r="E53" s="428">
        <v>5.5999999999999999E-3</v>
      </c>
      <c r="F53" s="430">
        <f>LN(2)/E53</f>
        <v>123.77628224284737</v>
      </c>
    </row>
    <row r="54" spans="2:12" x14ac:dyDescent="0.3">
      <c r="B54" s="913"/>
      <c r="C54" s="429">
        <v>48</v>
      </c>
      <c r="D54" s="428">
        <v>0.24686007793152581</v>
      </c>
      <c r="E54" s="428"/>
      <c r="F54" s="428"/>
    </row>
    <row r="55" spans="2:12" x14ac:dyDescent="0.3">
      <c r="F55" s="192"/>
    </row>
    <row r="56" spans="2:12" x14ac:dyDescent="0.3">
      <c r="B56" s="914" t="s">
        <v>157</v>
      </c>
      <c r="C56" s="426">
        <v>24</v>
      </c>
      <c r="D56" s="425">
        <v>-0.15860503017663852</v>
      </c>
      <c r="E56" s="425">
        <v>1.4500000000000001E-2</v>
      </c>
      <c r="F56" s="427">
        <f>LN(2)/E56</f>
        <v>47.803253831720362</v>
      </c>
    </row>
    <row r="57" spans="2:12" x14ac:dyDescent="0.3">
      <c r="B57" s="914"/>
      <c r="C57" s="426">
        <v>48</v>
      </c>
      <c r="D57" s="425">
        <v>0.18970166409157702</v>
      </c>
      <c r="E57" s="425"/>
      <c r="F57" s="425"/>
    </row>
    <row r="58" spans="2:12" x14ac:dyDescent="0.3">
      <c r="F58" s="192"/>
    </row>
    <row r="59" spans="2:12" x14ac:dyDescent="0.3">
      <c r="B59" s="906" t="s">
        <v>156</v>
      </c>
      <c r="C59" s="412">
        <v>24</v>
      </c>
      <c r="D59" s="304">
        <v>0.20067069546215105</v>
      </c>
      <c r="E59" s="304"/>
      <c r="F59" s="424"/>
    </row>
    <row r="60" spans="2:12" x14ac:dyDescent="0.3">
      <c r="B60" s="906"/>
      <c r="C60" s="412">
        <v>48</v>
      </c>
      <c r="D60" s="304">
        <v>0.10935253692736363</v>
      </c>
      <c r="E60" s="304"/>
      <c r="F60" s="304"/>
      <c r="L60" s="39"/>
    </row>
    <row r="61" spans="2:12" x14ac:dyDescent="0.3">
      <c r="F61" s="192"/>
      <c r="L61" s="39"/>
    </row>
    <row r="62" spans="2:12" x14ac:dyDescent="0.3">
      <c r="B62" s="907" t="s">
        <v>155</v>
      </c>
      <c r="C62" s="422">
        <v>24</v>
      </c>
      <c r="D62" s="421">
        <v>1.3245226750020505E-2</v>
      </c>
      <c r="E62" s="421">
        <v>1.2800000000000001E-2</v>
      </c>
      <c r="F62" s="423">
        <f>LN(2)/E62</f>
        <v>54.152123481245724</v>
      </c>
    </row>
    <row r="63" spans="2:12" x14ac:dyDescent="0.3">
      <c r="B63" s="907"/>
      <c r="C63" s="422">
        <v>48</v>
      </c>
      <c r="D63" s="421">
        <v>0.32047189527477177</v>
      </c>
      <c r="E63" s="421"/>
      <c r="F63" s="421"/>
    </row>
    <row r="64" spans="2:12" x14ac:dyDescent="0.3">
      <c r="F64" s="192"/>
    </row>
    <row r="65" spans="2:6" x14ac:dyDescent="0.3">
      <c r="B65" s="908" t="s">
        <v>154</v>
      </c>
      <c r="C65" s="419">
        <v>24</v>
      </c>
      <c r="D65" s="418">
        <v>-3.62030486639607E-2</v>
      </c>
      <c r="E65" s="418">
        <v>8.6999999999999994E-3</v>
      </c>
      <c r="F65" s="420">
        <f>LN(2)/E65</f>
        <v>79.672089719533943</v>
      </c>
    </row>
    <row r="66" spans="2:6" x14ac:dyDescent="0.3">
      <c r="B66" s="908"/>
      <c r="C66" s="419">
        <v>48</v>
      </c>
      <c r="D66" s="418">
        <v>0.17242085433890667</v>
      </c>
      <c r="E66" s="418"/>
      <c r="F66" s="418"/>
    </row>
  </sheetData>
  <mergeCells count="22">
    <mergeCell ref="B20:B21"/>
    <mergeCell ref="B2:F2"/>
    <mergeCell ref="B5:B6"/>
    <mergeCell ref="B8:B9"/>
    <mergeCell ref="B11:B12"/>
    <mergeCell ref="B14:B15"/>
    <mergeCell ref="B17:B18"/>
    <mergeCell ref="B23:B24"/>
    <mergeCell ref="B32:B33"/>
    <mergeCell ref="B35:B36"/>
    <mergeCell ref="B38:B39"/>
    <mergeCell ref="B41:B42"/>
    <mergeCell ref="B44:B45"/>
    <mergeCell ref="B26:F26"/>
    <mergeCell ref="B29:B30"/>
    <mergeCell ref="B53:B54"/>
    <mergeCell ref="B56:B57"/>
    <mergeCell ref="B59:B60"/>
    <mergeCell ref="B62:B63"/>
    <mergeCell ref="B65:B66"/>
    <mergeCell ref="B47:B48"/>
    <mergeCell ref="B50:B51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4"/>
  <sheetViews>
    <sheetView topLeftCell="A7" zoomScale="91" zoomScaleNormal="70" workbookViewId="0">
      <selection activeCell="A2" sqref="A2:AM3"/>
    </sheetView>
  </sheetViews>
  <sheetFormatPr baseColWidth="10" defaultRowHeight="14.4" x14ac:dyDescent="0.3"/>
  <cols>
    <col min="1" max="1" width="14.33203125" customWidth="1"/>
    <col min="2" max="2" width="8.88671875" customWidth="1"/>
    <col min="3" max="3" width="9.21875" bestFit="1" customWidth="1"/>
    <col min="4" max="4" width="13.33203125" customWidth="1"/>
    <col min="5" max="5" width="13.33203125" style="39" customWidth="1"/>
    <col min="6" max="6" width="13.33203125" customWidth="1"/>
    <col min="7" max="7" width="13.5546875" customWidth="1"/>
    <col min="8" max="8" width="16.109375" customWidth="1"/>
    <col min="9" max="9" width="16.109375" style="39" customWidth="1"/>
    <col min="10" max="12" width="16.109375" style="1" customWidth="1"/>
    <col min="13" max="14" width="19.6640625" style="39" customWidth="1"/>
    <col min="15" max="15" width="19.6640625" customWidth="1"/>
    <col min="16" max="16" width="19.6640625" style="1" customWidth="1"/>
    <col min="17" max="17" width="19.6640625" customWidth="1"/>
    <col min="18" max="18" width="19.6640625" style="39" customWidth="1"/>
    <col min="19" max="19" width="19.109375" customWidth="1"/>
    <col min="20" max="20" width="15" style="78" customWidth="1"/>
    <col min="21" max="21" width="19" customWidth="1"/>
    <col min="22" max="22" width="11.5546875" style="39"/>
    <col min="23" max="39" width="15.109375" customWidth="1"/>
  </cols>
  <sheetData>
    <row r="1" spans="1:39" ht="15" thickBot="1" x14ac:dyDescent="0.35"/>
    <row r="2" spans="1:39" s="217" customFormat="1" ht="25.8" x14ac:dyDescent="0.5">
      <c r="A2" s="919" t="s">
        <v>456</v>
      </c>
      <c r="B2" s="920"/>
      <c r="C2" s="920"/>
      <c r="D2" s="920"/>
      <c r="E2" s="920"/>
      <c r="F2" s="920"/>
      <c r="G2" s="920"/>
      <c r="H2" s="920"/>
      <c r="I2" s="920"/>
      <c r="J2" s="920"/>
      <c r="K2" s="920"/>
      <c r="L2" s="920"/>
      <c r="M2" s="920"/>
      <c r="N2" s="920"/>
      <c r="O2" s="920"/>
      <c r="P2" s="920"/>
      <c r="Q2" s="920"/>
      <c r="R2" s="920"/>
      <c r="S2" s="920"/>
      <c r="T2" s="920"/>
      <c r="U2" s="920"/>
      <c r="V2" s="920"/>
      <c r="W2" s="920"/>
      <c r="X2" s="920"/>
      <c r="Y2" s="920"/>
      <c r="Z2" s="920"/>
      <c r="AA2" s="920"/>
      <c r="AB2" s="920"/>
      <c r="AC2" s="920"/>
      <c r="AD2" s="920"/>
      <c r="AE2" s="920"/>
      <c r="AF2" s="920"/>
      <c r="AG2" s="920"/>
      <c r="AH2" s="920"/>
      <c r="AI2" s="920"/>
      <c r="AJ2" s="920"/>
      <c r="AK2" s="920"/>
      <c r="AL2" s="920"/>
      <c r="AM2" s="921"/>
    </row>
    <row r="3" spans="1:39" ht="15" thickBot="1" x14ac:dyDescent="0.35">
      <c r="A3" s="922"/>
      <c r="B3" s="923"/>
      <c r="C3" s="923"/>
      <c r="D3" s="923"/>
      <c r="E3" s="923"/>
      <c r="F3" s="923"/>
      <c r="G3" s="923"/>
      <c r="H3" s="923"/>
      <c r="I3" s="923"/>
      <c r="J3" s="923"/>
      <c r="K3" s="923"/>
      <c r="L3" s="923"/>
      <c r="M3" s="923"/>
      <c r="N3" s="923"/>
      <c r="O3" s="923"/>
      <c r="P3" s="923"/>
      <c r="Q3" s="923"/>
      <c r="R3" s="923"/>
      <c r="S3" s="923"/>
      <c r="T3" s="923"/>
      <c r="U3" s="923"/>
      <c r="V3" s="923"/>
      <c r="W3" s="923"/>
      <c r="X3" s="923"/>
      <c r="Y3" s="923"/>
      <c r="Z3" s="923"/>
      <c r="AA3" s="923"/>
      <c r="AB3" s="923"/>
      <c r="AC3" s="923"/>
      <c r="AD3" s="923"/>
      <c r="AE3" s="923"/>
      <c r="AF3" s="923"/>
      <c r="AG3" s="923"/>
      <c r="AH3" s="923"/>
      <c r="AI3" s="923"/>
      <c r="AJ3" s="923"/>
      <c r="AK3" s="923"/>
      <c r="AL3" s="923"/>
      <c r="AM3" s="924"/>
    </row>
    <row r="4" spans="1:39" ht="15" thickBot="1" x14ac:dyDescent="0.35">
      <c r="A4" s="383"/>
      <c r="B4" s="383"/>
      <c r="C4" s="383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3"/>
      <c r="O4" s="383"/>
      <c r="P4" s="305" t="s">
        <v>104</v>
      </c>
      <c r="Q4" s="383"/>
      <c r="R4" s="383"/>
      <c r="S4" s="383"/>
      <c r="T4" s="383"/>
      <c r="U4" s="383"/>
      <c r="V4" s="383"/>
      <c r="W4" s="384"/>
      <c r="X4" s="384"/>
      <c r="Y4" s="384"/>
      <c r="Z4" s="384"/>
      <c r="AA4" s="384"/>
      <c r="AB4" s="384"/>
      <c r="AC4" s="384"/>
      <c r="AD4" s="384"/>
      <c r="AE4" s="384"/>
      <c r="AF4" s="384"/>
      <c r="AG4" s="384"/>
      <c r="AH4" s="384"/>
      <c r="AI4" s="384"/>
      <c r="AJ4" s="384"/>
      <c r="AK4" s="384"/>
      <c r="AL4" s="384"/>
      <c r="AM4" s="385"/>
    </row>
    <row r="5" spans="1:39" ht="15" thickBot="1" x14ac:dyDescent="0.35">
      <c r="D5" s="926" t="s">
        <v>427</v>
      </c>
      <c r="E5" s="927"/>
      <c r="F5" s="927"/>
      <c r="G5" s="927"/>
      <c r="H5" s="927"/>
      <c r="I5" s="928"/>
      <c r="J5" s="929" t="s">
        <v>58</v>
      </c>
      <c r="K5" s="930"/>
      <c r="L5" s="930"/>
      <c r="M5" s="930"/>
      <c r="N5" s="880"/>
      <c r="O5" s="881"/>
      <c r="P5" s="881"/>
      <c r="Q5" s="882"/>
      <c r="R5" s="77"/>
      <c r="W5" s="891" t="s">
        <v>432</v>
      </c>
      <c r="X5" s="892"/>
      <c r="Y5" s="892"/>
      <c r="Z5" s="892"/>
      <c r="AA5" s="892"/>
      <c r="AB5" s="892"/>
      <c r="AC5" s="892"/>
      <c r="AD5" s="892"/>
      <c r="AE5" s="892"/>
      <c r="AF5" s="892"/>
      <c r="AG5" s="892"/>
      <c r="AH5" s="892"/>
      <c r="AI5" s="892"/>
      <c r="AJ5" s="892"/>
      <c r="AK5" s="892"/>
      <c r="AL5" s="892"/>
      <c r="AM5" s="893"/>
    </row>
    <row r="6" spans="1:39" s="206" customFormat="1" ht="66" x14ac:dyDescent="0.3">
      <c r="A6" s="79" t="s">
        <v>59</v>
      </c>
      <c r="B6" s="80" t="s">
        <v>56</v>
      </c>
      <c r="C6" s="80" t="s">
        <v>29</v>
      </c>
      <c r="D6" s="81" t="s">
        <v>60</v>
      </c>
      <c r="E6" s="81" t="s">
        <v>92</v>
      </c>
      <c r="F6" s="81" t="s">
        <v>61</v>
      </c>
      <c r="G6" s="81" t="s">
        <v>62</v>
      </c>
      <c r="H6" s="81" t="s">
        <v>63</v>
      </c>
      <c r="I6" s="82" t="s">
        <v>433</v>
      </c>
      <c r="J6" s="209" t="s">
        <v>64</v>
      </c>
      <c r="K6" s="209" t="s">
        <v>65</v>
      </c>
      <c r="L6" s="208" t="s">
        <v>66</v>
      </c>
      <c r="M6" s="85" t="s">
        <v>67</v>
      </c>
      <c r="N6" s="236" t="s">
        <v>68</v>
      </c>
      <c r="O6" s="237" t="s">
        <v>69</v>
      </c>
      <c r="P6" s="238" t="s">
        <v>426</v>
      </c>
      <c r="Q6" s="239" t="s">
        <v>430</v>
      </c>
      <c r="R6" s="88" t="s">
        <v>431</v>
      </c>
      <c r="S6" s="80" t="s">
        <v>417</v>
      </c>
      <c r="T6" s="89" t="s">
        <v>418</v>
      </c>
      <c r="U6" s="90" t="s">
        <v>421</v>
      </c>
      <c r="V6" s="207" t="s">
        <v>420</v>
      </c>
      <c r="W6" s="91" t="s">
        <v>71</v>
      </c>
      <c r="X6" s="91" t="s">
        <v>91</v>
      </c>
      <c r="Y6" s="221" t="s">
        <v>441</v>
      </c>
      <c r="Z6" s="148" t="s">
        <v>73</v>
      </c>
      <c r="AA6" s="221" t="s">
        <v>442</v>
      </c>
      <c r="AB6" s="148" t="s">
        <v>74</v>
      </c>
      <c r="AC6" s="221" t="s">
        <v>443</v>
      </c>
      <c r="AD6" s="148" t="s">
        <v>75</v>
      </c>
      <c r="AE6" s="221" t="s">
        <v>444</v>
      </c>
      <c r="AF6" s="31" t="s">
        <v>26</v>
      </c>
      <c r="AG6" s="220" t="s">
        <v>90</v>
      </c>
      <c r="AH6" s="31" t="s">
        <v>27</v>
      </c>
      <c r="AI6" s="220" t="s">
        <v>30</v>
      </c>
      <c r="AJ6" s="31" t="s">
        <v>28</v>
      </c>
      <c r="AK6" s="220" t="s">
        <v>32</v>
      </c>
      <c r="AL6" s="31" t="s">
        <v>438</v>
      </c>
      <c r="AM6" s="220" t="s">
        <v>440</v>
      </c>
    </row>
    <row r="7" spans="1:39" x14ac:dyDescent="0.3">
      <c r="A7" s="874" t="s">
        <v>76</v>
      </c>
      <c r="B7" s="93" t="s">
        <v>89</v>
      </c>
      <c r="C7" s="93"/>
      <c r="D7" s="102">
        <v>300000</v>
      </c>
      <c r="E7" s="96">
        <f t="shared" ref="E7:E38" si="0">D7/1000000</f>
        <v>0.3</v>
      </c>
      <c r="F7" s="102"/>
      <c r="G7" s="102">
        <v>13145.08276533593</v>
      </c>
      <c r="H7" s="102">
        <v>313145.08276533592</v>
      </c>
      <c r="I7" s="96">
        <v>95.859350807910786</v>
      </c>
      <c r="J7" s="102">
        <v>300000</v>
      </c>
      <c r="K7" s="102">
        <v>13145.08276533593</v>
      </c>
      <c r="L7" s="102">
        <v>313145.08276533592</v>
      </c>
      <c r="M7" s="98">
        <v>95.859350807910786</v>
      </c>
      <c r="N7" s="202"/>
      <c r="O7" s="205"/>
      <c r="P7" s="97"/>
      <c r="Q7" s="102"/>
      <c r="R7" s="202"/>
      <c r="S7" s="200"/>
      <c r="T7" s="201"/>
      <c r="U7" s="204"/>
      <c r="V7" s="200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J7" s="104"/>
      <c r="AK7" s="104"/>
      <c r="AL7" s="104"/>
      <c r="AM7" s="104"/>
    </row>
    <row r="8" spans="1:39" x14ac:dyDescent="0.3">
      <c r="A8" s="874"/>
      <c r="B8" s="103" t="s">
        <v>88</v>
      </c>
      <c r="C8" s="103"/>
      <c r="D8" s="94">
        <v>300000</v>
      </c>
      <c r="E8" s="96">
        <f t="shared" si="0"/>
        <v>0.3</v>
      </c>
      <c r="F8" s="96"/>
      <c r="G8" s="97">
        <v>8321.1678832116795</v>
      </c>
      <c r="H8" s="97">
        <v>308321.16788321169</v>
      </c>
      <c r="I8" s="98">
        <v>97.282219405453048</v>
      </c>
      <c r="J8" s="97">
        <v>300000</v>
      </c>
      <c r="K8" s="97">
        <v>8321.1678832116795</v>
      </c>
      <c r="L8" s="97">
        <v>308321.16788321169</v>
      </c>
      <c r="M8" s="98">
        <v>97.282219405453048</v>
      </c>
      <c r="N8" s="98"/>
      <c r="O8" s="97"/>
      <c r="P8" s="97"/>
      <c r="Q8" s="102"/>
      <c r="R8" s="98"/>
      <c r="S8" s="98"/>
      <c r="T8" s="199"/>
      <c r="U8" s="203"/>
      <c r="V8" s="98"/>
      <c r="W8" s="194">
        <v>2.26993</v>
      </c>
      <c r="X8" s="194">
        <f t="shared" ref="X8:X38" si="1">W8/180.156*1000</f>
        <v>12.599802393481204</v>
      </c>
      <c r="Y8" s="194"/>
      <c r="Z8" s="196">
        <v>0</v>
      </c>
      <c r="AA8" s="196"/>
      <c r="AB8" s="194">
        <v>2.6620000000000001E-2</v>
      </c>
      <c r="AC8" s="194"/>
      <c r="AD8" s="194">
        <v>2.23461</v>
      </c>
      <c r="AE8" s="194"/>
      <c r="AF8" s="194">
        <f t="shared" ref="AF8:AF14" si="2">X8-X8</f>
        <v>0</v>
      </c>
      <c r="AG8">
        <v>27175</v>
      </c>
      <c r="AH8" s="194">
        <f t="shared" ref="AH8:AH14" si="3">AB8-AB8</f>
        <v>0</v>
      </c>
      <c r="AI8">
        <v>1.1247</v>
      </c>
      <c r="AJ8" s="194">
        <f t="shared" ref="AJ8:AJ14" si="4">AD8-AD8</f>
        <v>0</v>
      </c>
      <c r="AK8">
        <v>92842</v>
      </c>
      <c r="AL8" s="194">
        <f t="shared" ref="AL8:AL14" si="5">Z8-Z8</f>
        <v>0</v>
      </c>
      <c r="AM8">
        <v>0.96960000000000002</v>
      </c>
    </row>
    <row r="9" spans="1:39" s="192" customFormat="1" x14ac:dyDescent="0.3">
      <c r="A9" s="874"/>
      <c r="B9" s="103" t="s">
        <v>87</v>
      </c>
      <c r="C9" s="103"/>
      <c r="D9" s="102">
        <v>300000</v>
      </c>
      <c r="E9" s="96">
        <f t="shared" si="0"/>
        <v>0.3</v>
      </c>
      <c r="F9" s="97"/>
      <c r="G9" s="97">
        <v>7160.8040201005024</v>
      </c>
      <c r="H9" s="97">
        <v>307160.80402010051</v>
      </c>
      <c r="I9" s="98">
        <v>97.72023324413243</v>
      </c>
      <c r="J9" s="97">
        <v>300000</v>
      </c>
      <c r="K9" s="97">
        <v>7160.8040201005024</v>
      </c>
      <c r="L9" s="97">
        <v>307160.80402010051</v>
      </c>
      <c r="M9" s="98">
        <v>97.72023324413243</v>
      </c>
      <c r="N9" s="98"/>
      <c r="O9" s="97"/>
      <c r="P9" s="97"/>
      <c r="Q9" s="102"/>
      <c r="R9" s="98"/>
      <c r="S9" s="98"/>
      <c r="T9" s="199"/>
      <c r="U9" s="203"/>
      <c r="V9" s="98"/>
      <c r="W9" s="194">
        <v>2.1283699999999999</v>
      </c>
      <c r="X9" s="194">
        <f t="shared" si="1"/>
        <v>11.814038944026287</v>
      </c>
      <c r="Y9" s="194"/>
      <c r="Z9" s="194">
        <v>0.50861000000000001</v>
      </c>
      <c r="AA9" s="194"/>
      <c r="AB9" s="194">
        <v>1.558E-2</v>
      </c>
      <c r="AC9" s="194"/>
      <c r="AD9" s="194">
        <v>3.3247499999999999</v>
      </c>
      <c r="AE9" s="194"/>
      <c r="AF9" s="194">
        <f t="shared" si="2"/>
        <v>0</v>
      </c>
      <c r="AG9">
        <v>0</v>
      </c>
      <c r="AH9" s="194">
        <f t="shared" si="3"/>
        <v>0</v>
      </c>
      <c r="AI9">
        <v>0.95069999999999999</v>
      </c>
      <c r="AJ9" s="194">
        <f t="shared" si="4"/>
        <v>0</v>
      </c>
      <c r="AK9" s="194">
        <v>0</v>
      </c>
      <c r="AL9" s="194">
        <f t="shared" si="5"/>
        <v>0</v>
      </c>
      <c r="AM9">
        <v>0.69240000000000002</v>
      </c>
    </row>
    <row r="10" spans="1:39" x14ac:dyDescent="0.3">
      <c r="A10" s="874"/>
      <c r="B10" s="103" t="s">
        <v>86</v>
      </c>
      <c r="C10" s="103"/>
      <c r="D10" s="94">
        <v>300000</v>
      </c>
      <c r="E10" s="96">
        <f t="shared" si="0"/>
        <v>0.3</v>
      </c>
      <c r="F10" s="97"/>
      <c r="G10" s="97">
        <v>7160.8040201005024</v>
      </c>
      <c r="H10" s="97">
        <v>307160.80402010051</v>
      </c>
      <c r="I10" s="98">
        <v>97.72023324413243</v>
      </c>
      <c r="J10" s="97">
        <v>300000</v>
      </c>
      <c r="K10" s="97">
        <v>7160.8040201005024</v>
      </c>
      <c r="L10" s="97">
        <v>307160.80402010051</v>
      </c>
      <c r="M10" s="98">
        <v>97.72023324413243</v>
      </c>
      <c r="N10" s="98"/>
      <c r="O10" s="97"/>
      <c r="P10" s="97"/>
      <c r="Q10" s="102"/>
      <c r="R10" s="98"/>
      <c r="S10" s="98"/>
      <c r="T10" s="105"/>
      <c r="U10" s="203"/>
      <c r="V10" s="98"/>
      <c r="W10" s="194">
        <v>2.1283699999999999</v>
      </c>
      <c r="X10" s="194">
        <f t="shared" si="1"/>
        <v>11.814038944026287</v>
      </c>
      <c r="Y10" s="194"/>
      <c r="Z10" s="194">
        <v>0.50861000000000001</v>
      </c>
      <c r="AA10" s="194"/>
      <c r="AB10" s="194">
        <v>1.558E-2</v>
      </c>
      <c r="AC10" s="194"/>
      <c r="AD10" s="194">
        <v>3.3247499999999999</v>
      </c>
      <c r="AE10" s="194"/>
      <c r="AF10" s="194">
        <f t="shared" si="2"/>
        <v>0</v>
      </c>
      <c r="AG10">
        <v>15891</v>
      </c>
      <c r="AH10" s="194">
        <f t="shared" si="3"/>
        <v>0</v>
      </c>
      <c r="AI10">
        <v>0.91390000000000005</v>
      </c>
      <c r="AJ10" s="194">
        <f t="shared" si="4"/>
        <v>0</v>
      </c>
      <c r="AK10">
        <v>81791</v>
      </c>
      <c r="AL10" s="194">
        <f t="shared" si="5"/>
        <v>0</v>
      </c>
      <c r="AM10">
        <v>1.2081</v>
      </c>
    </row>
    <row r="11" spans="1:39" x14ac:dyDescent="0.3">
      <c r="A11" s="874"/>
      <c r="B11" s="103" t="s">
        <v>85</v>
      </c>
      <c r="C11" s="103"/>
      <c r="D11" s="97">
        <v>300000</v>
      </c>
      <c r="E11" s="96">
        <f t="shared" si="0"/>
        <v>0.3</v>
      </c>
      <c r="F11" s="97"/>
      <c r="G11" s="97">
        <v>14906.832298136647</v>
      </c>
      <c r="H11" s="97">
        <v>314906.83229813667</v>
      </c>
      <c r="I11" s="98">
        <v>95.275457220681929</v>
      </c>
      <c r="J11" s="97">
        <v>300000</v>
      </c>
      <c r="K11" s="97">
        <v>14906.832298136647</v>
      </c>
      <c r="L11" s="97">
        <v>314906.83229813667</v>
      </c>
      <c r="M11" s="98">
        <v>95.275457220681929</v>
      </c>
      <c r="N11" s="98"/>
      <c r="O11" s="97"/>
      <c r="P11" s="97"/>
      <c r="Q11" s="102"/>
      <c r="R11" s="98"/>
      <c r="S11" s="98"/>
      <c r="T11" s="105"/>
      <c r="U11" s="103"/>
      <c r="V11" s="98"/>
      <c r="W11" s="196">
        <v>2.17286</v>
      </c>
      <c r="X11" s="194">
        <f t="shared" si="1"/>
        <v>12.060991585070717</v>
      </c>
      <c r="Y11" s="194"/>
      <c r="Z11" s="196">
        <v>0</v>
      </c>
      <c r="AA11" s="196"/>
      <c r="AB11" s="196">
        <v>0</v>
      </c>
      <c r="AC11" s="196"/>
      <c r="AD11" s="195">
        <v>4.3156299999999996</v>
      </c>
      <c r="AE11" s="195"/>
      <c r="AF11" s="194">
        <f t="shared" si="2"/>
        <v>0</v>
      </c>
      <c r="AG11">
        <v>23598</v>
      </c>
      <c r="AH11" s="194">
        <f t="shared" si="3"/>
        <v>0</v>
      </c>
      <c r="AI11">
        <v>1.0022</v>
      </c>
      <c r="AJ11" s="194">
        <f t="shared" si="4"/>
        <v>0</v>
      </c>
      <c r="AK11">
        <v>65576</v>
      </c>
      <c r="AL11" s="194">
        <f t="shared" si="5"/>
        <v>0</v>
      </c>
      <c r="AM11">
        <v>0.81710000000000005</v>
      </c>
    </row>
    <row r="12" spans="1:39" x14ac:dyDescent="0.3">
      <c r="A12" s="874"/>
      <c r="B12" s="103" t="s">
        <v>84</v>
      </c>
      <c r="C12" s="103"/>
      <c r="D12" s="97">
        <v>300000</v>
      </c>
      <c r="E12" s="96">
        <f t="shared" si="0"/>
        <v>0.3</v>
      </c>
      <c r="F12" s="97"/>
      <c r="G12" s="97">
        <v>14906.832298136647</v>
      </c>
      <c r="H12" s="97">
        <v>314906.83229813667</v>
      </c>
      <c r="I12" s="98">
        <v>95.275457220681929</v>
      </c>
      <c r="J12" s="97">
        <v>300000</v>
      </c>
      <c r="K12" s="97">
        <v>14906.832298136647</v>
      </c>
      <c r="L12" s="97">
        <v>314906.83229813667</v>
      </c>
      <c r="M12" s="98">
        <v>95.275457220681929</v>
      </c>
      <c r="N12" s="98"/>
      <c r="O12" s="97"/>
      <c r="P12" s="97"/>
      <c r="Q12" s="102"/>
      <c r="R12" s="98"/>
      <c r="S12" s="98"/>
      <c r="T12" s="105"/>
      <c r="U12" s="103"/>
      <c r="V12" s="98"/>
      <c r="W12" s="196">
        <v>2.17286</v>
      </c>
      <c r="X12" s="194">
        <f t="shared" si="1"/>
        <v>12.060991585070717</v>
      </c>
      <c r="Y12" s="194"/>
      <c r="Z12" s="196">
        <v>0</v>
      </c>
      <c r="AA12" s="196"/>
      <c r="AB12" s="196">
        <v>0</v>
      </c>
      <c r="AC12" s="196"/>
      <c r="AD12" s="195">
        <v>4.3156299999999996</v>
      </c>
      <c r="AE12" s="195"/>
      <c r="AF12" s="194">
        <f t="shared" si="2"/>
        <v>0</v>
      </c>
      <c r="AG12">
        <v>2776.5</v>
      </c>
      <c r="AH12" s="194">
        <f t="shared" si="3"/>
        <v>0</v>
      </c>
      <c r="AI12">
        <v>0.95250000000000001</v>
      </c>
      <c r="AJ12" s="194">
        <f t="shared" si="4"/>
        <v>0</v>
      </c>
      <c r="AK12">
        <v>10498</v>
      </c>
      <c r="AL12" s="194">
        <f t="shared" si="5"/>
        <v>0</v>
      </c>
      <c r="AM12">
        <v>0.86950000000000005</v>
      </c>
    </row>
    <row r="13" spans="1:39" x14ac:dyDescent="0.3">
      <c r="A13" s="874"/>
      <c r="B13" s="103" t="s">
        <v>83</v>
      </c>
      <c r="C13" s="103"/>
      <c r="D13" s="97">
        <v>300000</v>
      </c>
      <c r="E13" s="96">
        <f t="shared" si="0"/>
        <v>0.3</v>
      </c>
      <c r="F13" s="97"/>
      <c r="G13" s="97">
        <v>12917.594654788416</v>
      </c>
      <c r="H13" s="97">
        <v>312917.59465478844</v>
      </c>
      <c r="I13" s="98">
        <v>95.636147224491339</v>
      </c>
      <c r="J13" s="97">
        <v>300000</v>
      </c>
      <c r="K13" s="97">
        <v>12917.594654788416</v>
      </c>
      <c r="L13" s="97">
        <v>312917.59465478844</v>
      </c>
      <c r="M13" s="98">
        <v>95.636147224491339</v>
      </c>
      <c r="N13" s="98"/>
      <c r="O13" s="97"/>
      <c r="P13" s="102"/>
      <c r="Q13" s="102"/>
      <c r="R13" s="98"/>
      <c r="S13" s="98"/>
      <c r="T13" s="105"/>
      <c r="U13" s="103"/>
      <c r="V13" s="98"/>
      <c r="W13" s="196">
        <v>1.99576</v>
      </c>
      <c r="X13" s="194">
        <f t="shared" si="1"/>
        <v>11.077954661515575</v>
      </c>
      <c r="Y13" s="194"/>
      <c r="Z13" s="196">
        <v>0.41165000000000002</v>
      </c>
      <c r="AA13" s="196"/>
      <c r="AB13" s="196">
        <v>0</v>
      </c>
      <c r="AC13" s="196"/>
      <c r="AD13" s="195">
        <v>5.1137800000000002</v>
      </c>
      <c r="AE13" s="195"/>
      <c r="AF13" s="194">
        <f t="shared" si="2"/>
        <v>0</v>
      </c>
      <c r="AG13">
        <v>17511</v>
      </c>
      <c r="AH13" s="194">
        <f t="shared" si="3"/>
        <v>0</v>
      </c>
      <c r="AI13">
        <v>1.1869000000000001</v>
      </c>
      <c r="AJ13" s="194">
        <f t="shared" si="4"/>
        <v>0</v>
      </c>
      <c r="AK13">
        <v>8755</v>
      </c>
      <c r="AL13" s="194">
        <f t="shared" si="5"/>
        <v>0</v>
      </c>
      <c r="AM13">
        <v>1.1891</v>
      </c>
    </row>
    <row r="14" spans="1:39" x14ac:dyDescent="0.3">
      <c r="A14" s="874"/>
      <c r="B14" s="103" t="s">
        <v>82</v>
      </c>
      <c r="C14" s="103"/>
      <c r="D14" s="97">
        <v>300000</v>
      </c>
      <c r="E14" s="96">
        <f t="shared" si="0"/>
        <v>0.3</v>
      </c>
      <c r="F14" s="198"/>
      <c r="G14" s="97">
        <v>12917.594654788416</v>
      </c>
      <c r="H14" s="97">
        <v>312917.59465478844</v>
      </c>
      <c r="I14" s="98">
        <v>95.636147224491339</v>
      </c>
      <c r="J14" s="97">
        <v>300000</v>
      </c>
      <c r="K14" s="97">
        <v>12917.594654788416</v>
      </c>
      <c r="L14" s="97">
        <v>312917.59465478844</v>
      </c>
      <c r="M14" s="98">
        <v>95.636147224491339</v>
      </c>
      <c r="N14" s="197"/>
      <c r="O14" s="198"/>
      <c r="P14" s="102"/>
      <c r="Q14" s="96"/>
      <c r="R14" s="197"/>
      <c r="S14" s="197"/>
      <c r="T14" s="105"/>
      <c r="U14" s="103"/>
      <c r="V14" s="98"/>
      <c r="W14" s="196">
        <v>1.99576</v>
      </c>
      <c r="X14" s="194">
        <f t="shared" si="1"/>
        <v>11.077954661515575</v>
      </c>
      <c r="Y14" s="194"/>
      <c r="Z14" s="196">
        <v>0.41165000000000002</v>
      </c>
      <c r="AA14" s="196"/>
      <c r="AB14" s="196">
        <v>0</v>
      </c>
      <c r="AC14" s="196"/>
      <c r="AD14" s="195">
        <v>5.1137800000000002</v>
      </c>
      <c r="AE14" s="195"/>
      <c r="AF14" s="194">
        <f t="shared" si="2"/>
        <v>0</v>
      </c>
      <c r="AG14">
        <v>6799.7</v>
      </c>
      <c r="AH14" s="194">
        <f t="shared" si="3"/>
        <v>0</v>
      </c>
      <c r="AI14">
        <v>1.0861000000000001</v>
      </c>
      <c r="AJ14" s="194">
        <f t="shared" si="4"/>
        <v>0</v>
      </c>
      <c r="AK14">
        <v>9287.1</v>
      </c>
      <c r="AL14" s="194">
        <f t="shared" si="5"/>
        <v>0</v>
      </c>
      <c r="AM14">
        <v>1.0095000000000001</v>
      </c>
    </row>
    <row r="15" spans="1:39" x14ac:dyDescent="0.3">
      <c r="A15" s="905" t="s">
        <v>77</v>
      </c>
      <c r="B15" s="190" t="s">
        <v>89</v>
      </c>
      <c r="C15" s="165">
        <f>D15-300000</f>
        <v>60000</v>
      </c>
      <c r="D15" s="165">
        <v>360000</v>
      </c>
      <c r="E15" s="185">
        <f t="shared" si="0"/>
        <v>0.36</v>
      </c>
      <c r="F15" s="185">
        <f t="shared" ref="F15:F30" si="6">LN(D15/300000)</f>
        <v>0.18232155679395459</v>
      </c>
      <c r="G15" s="165">
        <v>21333.333333333332</v>
      </c>
      <c r="H15" s="165">
        <v>381333.33333333331</v>
      </c>
      <c r="I15" s="185">
        <v>94.4055944055944</v>
      </c>
      <c r="J15" s="193">
        <v>28000.000000000004</v>
      </c>
      <c r="K15" s="193">
        <v>4000</v>
      </c>
      <c r="L15" s="165">
        <v>32000</v>
      </c>
      <c r="M15" s="185">
        <v>87.5</v>
      </c>
      <c r="N15" s="185">
        <v>21.177464788732394</v>
      </c>
      <c r="O15" s="185">
        <f t="shared" ref="O15:O38" si="7">N15/H15*1000000</f>
        <v>55.535309760661875</v>
      </c>
      <c r="P15" s="165">
        <f t="shared" ref="P15:P38" si="8">(N15-2.857)/0.0006783</f>
        <v>27009.383442035079</v>
      </c>
      <c r="Q15" s="185">
        <f t="shared" ref="Q15:Q38" si="9">D15/(D15+P15)*100</f>
        <v>93.021000369082671</v>
      </c>
      <c r="R15" s="185">
        <f t="shared" ref="R15:R38" si="10">L15/H15*100</f>
        <v>8.3916083916083917</v>
      </c>
      <c r="S15" s="185">
        <v>1993.3333333333335</v>
      </c>
      <c r="T15" s="186">
        <v>122.05904431216929</v>
      </c>
      <c r="U15" s="165">
        <f t="shared" ref="U15:U38" si="11">D15-J15</f>
        <v>332000</v>
      </c>
      <c r="V15" s="185">
        <f t="shared" ref="V15:V38" si="12">U15/S15</f>
        <v>166.55518394648828</v>
      </c>
      <c r="W15" s="184">
        <v>1.71462</v>
      </c>
      <c r="X15" s="184">
        <f t="shared" si="1"/>
        <v>9.5174182375274761</v>
      </c>
      <c r="Y15" s="127" t="s">
        <v>79</v>
      </c>
      <c r="Z15" s="184">
        <v>9.6610000000000001E-2</v>
      </c>
      <c r="AA15" s="127" t="s">
        <v>79</v>
      </c>
      <c r="AB15" s="184">
        <v>4.2679400000000003</v>
      </c>
      <c r="AC15" s="127" t="s">
        <v>79</v>
      </c>
      <c r="AD15" s="184">
        <v>1.89699</v>
      </c>
      <c r="AE15" s="127" t="s">
        <v>79</v>
      </c>
      <c r="AF15" s="127" t="s">
        <v>79</v>
      </c>
      <c r="AG15" s="184"/>
      <c r="AH15" s="127" t="s">
        <v>79</v>
      </c>
      <c r="AI15" s="184"/>
      <c r="AJ15" s="127" t="s">
        <v>79</v>
      </c>
      <c r="AK15" s="184"/>
      <c r="AL15" s="127" t="s">
        <v>79</v>
      </c>
      <c r="AM15" s="184"/>
    </row>
    <row r="16" spans="1:39" x14ac:dyDescent="0.3">
      <c r="A16" s="905"/>
      <c r="B16" s="190" t="s">
        <v>88</v>
      </c>
      <c r="C16" s="165">
        <v>0</v>
      </c>
      <c r="D16" s="165">
        <v>289333.33333333331</v>
      </c>
      <c r="E16" s="185">
        <f t="shared" si="0"/>
        <v>0.28933333333333333</v>
      </c>
      <c r="F16" s="185">
        <f t="shared" si="6"/>
        <v>-3.62030486639607E-2</v>
      </c>
      <c r="G16" s="165">
        <v>8000</v>
      </c>
      <c r="H16" s="165">
        <v>297333.33333333331</v>
      </c>
      <c r="I16" s="185">
        <v>97.309417040358753</v>
      </c>
      <c r="J16" s="157">
        <v>8000</v>
      </c>
      <c r="K16" s="157">
        <v>8000</v>
      </c>
      <c r="L16" s="165">
        <v>16000</v>
      </c>
      <c r="M16" s="185">
        <v>50</v>
      </c>
      <c r="N16" s="185">
        <v>5.5182795698924725</v>
      </c>
      <c r="O16" s="185">
        <f t="shared" si="7"/>
        <v>18.559236221611453</v>
      </c>
      <c r="P16" s="165">
        <f t="shared" si="8"/>
        <v>3923.4550639723907</v>
      </c>
      <c r="Q16" s="185">
        <f t="shared" si="9"/>
        <v>98.662109380173362</v>
      </c>
      <c r="R16" s="185">
        <f t="shared" si="10"/>
        <v>5.3811659192825116</v>
      </c>
      <c r="S16" s="185">
        <v>1646.6666666666665</v>
      </c>
      <c r="T16" s="186">
        <v>163.16031746031743</v>
      </c>
      <c r="U16" s="165">
        <f t="shared" si="11"/>
        <v>281333.33333333331</v>
      </c>
      <c r="V16" s="185">
        <f t="shared" si="12"/>
        <v>170.85020242914979</v>
      </c>
      <c r="W16" s="184">
        <v>1.82758</v>
      </c>
      <c r="X16" s="240">
        <f t="shared" si="1"/>
        <v>10.144430382557339</v>
      </c>
      <c r="Y16" s="241">
        <f t="shared" ref="Y16:Y22" si="13">((X8-X16)/$D16)/24*1000000</f>
        <v>0.35359619972981926</v>
      </c>
      <c r="Z16" s="240">
        <v>0</v>
      </c>
      <c r="AA16" s="241">
        <f t="shared" ref="AA16:AA22" si="14">((Z16-Z8)/$D16)/24*1000000</f>
        <v>0</v>
      </c>
      <c r="AB16" s="240">
        <v>2.6549399999999999</v>
      </c>
      <c r="AC16" s="241">
        <f t="shared" ref="AC16:AC22" si="15">((AB16-AB8)/$D16)/24*1000000</f>
        <v>0.3785023041474655</v>
      </c>
      <c r="AD16" s="240">
        <v>1.99363</v>
      </c>
      <c r="AE16" s="241">
        <f t="shared" ref="AE16:AE22" si="16">((AD8-AD16)/$D16)/24*1000000</f>
        <v>3.4703341013824884E-2</v>
      </c>
      <c r="AF16" s="240">
        <f t="shared" ref="AF16:AF22" si="17">X8-X16</f>
        <v>2.455372010923865</v>
      </c>
      <c r="AG16" s="240"/>
      <c r="AH16" s="184">
        <f t="shared" ref="AH16:AH22" si="18">AB16-AB8</f>
        <v>2.62832</v>
      </c>
      <c r="AI16" s="184"/>
      <c r="AJ16" s="184">
        <f t="shared" ref="AJ16:AJ22" si="19">AD8-AD16</f>
        <v>0.24097999999999997</v>
      </c>
      <c r="AK16" s="184"/>
      <c r="AL16" s="184">
        <f t="shared" ref="AL16:AL22" si="20">Z16-Z8</f>
        <v>0</v>
      </c>
      <c r="AM16" s="184"/>
    </row>
    <row r="17" spans="1:39" x14ac:dyDescent="0.3">
      <c r="A17" s="905"/>
      <c r="B17" s="190" t="s">
        <v>87</v>
      </c>
      <c r="C17" s="165">
        <f>D17-300000</f>
        <v>37333.333333333256</v>
      </c>
      <c r="D17" s="165">
        <v>337333.33333333326</v>
      </c>
      <c r="E17" s="185">
        <f t="shared" si="0"/>
        <v>0.33733333333333326</v>
      </c>
      <c r="F17" s="185">
        <f t="shared" si="6"/>
        <v>0.11728908652309983</v>
      </c>
      <c r="G17" s="165">
        <v>24000</v>
      </c>
      <c r="H17" s="165">
        <v>361333.33333333331</v>
      </c>
      <c r="I17" s="185">
        <v>93.357933579335793</v>
      </c>
      <c r="J17" s="165">
        <v>16000</v>
      </c>
      <c r="K17" s="165">
        <v>10000</v>
      </c>
      <c r="L17" s="165">
        <v>26000</v>
      </c>
      <c r="M17" s="185">
        <v>61.53846153846154</v>
      </c>
      <c r="N17" s="185">
        <v>5.5028735632183885</v>
      </c>
      <c r="O17" s="185">
        <f t="shared" si="7"/>
        <v>15.229354879755688</v>
      </c>
      <c r="P17" s="165">
        <f t="shared" si="8"/>
        <v>3900.7423901199891</v>
      </c>
      <c r="Q17" s="185">
        <f t="shared" si="9"/>
        <v>98.856871963372939</v>
      </c>
      <c r="R17" s="185">
        <f t="shared" si="10"/>
        <v>7.1955719557195579</v>
      </c>
      <c r="S17" s="185">
        <v>1616.6666666666667</v>
      </c>
      <c r="T17" s="186">
        <v>144.80855762594891</v>
      </c>
      <c r="U17" s="165">
        <f t="shared" si="11"/>
        <v>321333.33333333326</v>
      </c>
      <c r="V17" s="185">
        <f t="shared" si="12"/>
        <v>198.76288659793809</v>
      </c>
      <c r="W17" s="184">
        <v>1.8622399999999999</v>
      </c>
      <c r="X17" s="240">
        <f t="shared" si="1"/>
        <v>10.336819201136791</v>
      </c>
      <c r="Y17" s="241">
        <f t="shared" si="13"/>
        <v>0.18246291290631125</v>
      </c>
      <c r="Z17" s="240">
        <v>0.99287999999999998</v>
      </c>
      <c r="AA17" s="241">
        <f t="shared" si="14"/>
        <v>5.9815958498023722E-2</v>
      </c>
      <c r="AB17" s="240">
        <v>3.71285</v>
      </c>
      <c r="AC17" s="241">
        <f t="shared" si="15"/>
        <v>0.45667860671936766</v>
      </c>
      <c r="AD17" s="240">
        <v>2.8897699999999999</v>
      </c>
      <c r="AE17" s="241">
        <f t="shared" si="16"/>
        <v>5.372776679841898E-2</v>
      </c>
      <c r="AF17" s="240">
        <f t="shared" si="17"/>
        <v>1.4772197428894955</v>
      </c>
      <c r="AG17" s="240"/>
      <c r="AH17" s="184">
        <f t="shared" si="18"/>
        <v>3.6972700000000001</v>
      </c>
      <c r="AI17" s="184"/>
      <c r="AJ17" s="184">
        <f t="shared" si="19"/>
        <v>0.43497999999999992</v>
      </c>
      <c r="AK17" s="184"/>
      <c r="AL17" s="184">
        <f t="shared" si="20"/>
        <v>0.48426999999999998</v>
      </c>
      <c r="AM17" s="184"/>
    </row>
    <row r="18" spans="1:39" x14ac:dyDescent="0.3">
      <c r="A18" s="905"/>
      <c r="B18" s="190" t="s">
        <v>86</v>
      </c>
      <c r="C18" s="165">
        <f>D18-300000</f>
        <v>45333.333333333314</v>
      </c>
      <c r="D18" s="165">
        <v>345333.33333333331</v>
      </c>
      <c r="E18" s="185">
        <f t="shared" si="0"/>
        <v>0.34533333333333333</v>
      </c>
      <c r="F18" s="185">
        <f t="shared" si="6"/>
        <v>0.14072765949511751</v>
      </c>
      <c r="G18" s="165">
        <v>6666.6666666666661</v>
      </c>
      <c r="H18" s="165">
        <v>352000</v>
      </c>
      <c r="I18" s="185">
        <v>98.106060606060609</v>
      </c>
      <c r="J18" s="165">
        <v>28000.000000000004</v>
      </c>
      <c r="K18" s="165">
        <v>8000</v>
      </c>
      <c r="L18" s="165">
        <v>36000</v>
      </c>
      <c r="M18" s="185">
        <v>77.777777777777786</v>
      </c>
      <c r="N18" s="185">
        <v>5.79022988505747</v>
      </c>
      <c r="O18" s="185">
        <f t="shared" si="7"/>
        <v>16.449516718913266</v>
      </c>
      <c r="P18" s="165">
        <f t="shared" si="8"/>
        <v>4324.3843211815865</v>
      </c>
      <c r="Q18" s="185">
        <f t="shared" si="9"/>
        <v>98.763252145501241</v>
      </c>
      <c r="R18" s="185">
        <f t="shared" si="10"/>
        <v>10.227272727272728</v>
      </c>
      <c r="S18" s="185">
        <v>1558.3333333333333</v>
      </c>
      <c r="T18" s="186">
        <v>161.61200651200647</v>
      </c>
      <c r="U18" s="165">
        <f t="shared" si="11"/>
        <v>317333.33333333331</v>
      </c>
      <c r="V18" s="185">
        <f t="shared" si="12"/>
        <v>203.63636363636363</v>
      </c>
      <c r="W18" s="184">
        <v>1.8797600000000001</v>
      </c>
      <c r="X18" s="240">
        <f t="shared" si="1"/>
        <v>10.434068251959413</v>
      </c>
      <c r="Y18" s="241">
        <f t="shared" si="13"/>
        <v>0.16650225531694901</v>
      </c>
      <c r="Z18" s="240">
        <v>1.0491299999999999</v>
      </c>
      <c r="AA18" s="241">
        <f t="shared" si="14"/>
        <v>6.5217181467181459E-2</v>
      </c>
      <c r="AB18" s="240">
        <v>3.56569</v>
      </c>
      <c r="AC18" s="241">
        <f t="shared" si="15"/>
        <v>0.42834338803088812</v>
      </c>
      <c r="AD18" s="240">
        <v>2.5675699999999999</v>
      </c>
      <c r="AE18" s="241">
        <f t="shared" si="16"/>
        <v>9.1358590733590733E-2</v>
      </c>
      <c r="AF18" s="240">
        <f t="shared" si="17"/>
        <v>1.3799706920668733</v>
      </c>
      <c r="AG18" s="240"/>
      <c r="AH18" s="184">
        <f t="shared" si="18"/>
        <v>3.5501100000000001</v>
      </c>
      <c r="AI18" s="184"/>
      <c r="AJ18" s="184">
        <f t="shared" si="19"/>
        <v>0.75717999999999996</v>
      </c>
      <c r="AK18" s="184"/>
      <c r="AL18" s="184">
        <f t="shared" si="20"/>
        <v>0.54051999999999989</v>
      </c>
      <c r="AM18" s="184"/>
    </row>
    <row r="19" spans="1:39" x14ac:dyDescent="0.3">
      <c r="A19" s="905"/>
      <c r="B19" s="190" t="s">
        <v>85</v>
      </c>
      <c r="C19" s="165">
        <f>D19-300000</f>
        <v>21333.333333333314</v>
      </c>
      <c r="D19" s="157">
        <v>321333.33333333331</v>
      </c>
      <c r="E19" s="185">
        <f t="shared" si="0"/>
        <v>0.3213333333333333</v>
      </c>
      <c r="F19" s="185">
        <f t="shared" si="6"/>
        <v>6.8696531286234874E-2</v>
      </c>
      <c r="G19" s="157">
        <v>6666.6666666666661</v>
      </c>
      <c r="H19" s="157">
        <v>328000</v>
      </c>
      <c r="I19" s="188">
        <v>97.967479674796749</v>
      </c>
      <c r="J19" s="157">
        <v>22000</v>
      </c>
      <c r="K19" s="157">
        <v>10000</v>
      </c>
      <c r="L19" s="157">
        <v>32000</v>
      </c>
      <c r="M19" s="185">
        <v>68.75</v>
      </c>
      <c r="N19" s="185">
        <v>6.8287037037037042</v>
      </c>
      <c r="O19" s="185">
        <f t="shared" si="7"/>
        <v>20.819218608852754</v>
      </c>
      <c r="P19" s="165">
        <f t="shared" si="8"/>
        <v>5855.3791887125226</v>
      </c>
      <c r="Q19" s="185">
        <f t="shared" si="9"/>
        <v>98.210396946894079</v>
      </c>
      <c r="R19" s="185">
        <f t="shared" si="10"/>
        <v>9.7560975609756095</v>
      </c>
      <c r="S19" s="191">
        <v>2025</v>
      </c>
      <c r="T19" s="186">
        <v>157.5237614237615</v>
      </c>
      <c r="U19" s="165">
        <f t="shared" si="11"/>
        <v>299333.33333333331</v>
      </c>
      <c r="V19" s="185">
        <f t="shared" si="12"/>
        <v>147.81893004115224</v>
      </c>
      <c r="W19" s="184">
        <v>1.7476700000000001</v>
      </c>
      <c r="X19" s="240">
        <f t="shared" si="1"/>
        <v>9.7008703568018841</v>
      </c>
      <c r="Y19" s="241">
        <f t="shared" si="13"/>
        <v>0.30603231694357269</v>
      </c>
      <c r="Z19" s="240">
        <v>0.54915999999999998</v>
      </c>
      <c r="AA19" s="241">
        <f t="shared" si="14"/>
        <v>7.1208506224066395E-2</v>
      </c>
      <c r="AB19" s="240">
        <v>3.4464700000000001</v>
      </c>
      <c r="AC19" s="241">
        <f t="shared" si="15"/>
        <v>0.44689704356846482</v>
      </c>
      <c r="AD19" s="240">
        <v>3.3827099999999999</v>
      </c>
      <c r="AE19" s="241">
        <f t="shared" si="16"/>
        <v>0.12096991701244809</v>
      </c>
      <c r="AF19" s="240">
        <f t="shared" si="17"/>
        <v>2.3601212282688326</v>
      </c>
      <c r="AG19" s="240"/>
      <c r="AH19" s="184">
        <f>AB19-AB11</f>
        <v>3.4464700000000001</v>
      </c>
      <c r="AI19" s="184"/>
      <c r="AJ19" s="184">
        <f t="shared" si="19"/>
        <v>0.93291999999999975</v>
      </c>
      <c r="AK19" s="184"/>
      <c r="AL19" s="184">
        <f t="shared" si="20"/>
        <v>0.54915999999999998</v>
      </c>
      <c r="AM19" s="184"/>
    </row>
    <row r="20" spans="1:39" x14ac:dyDescent="0.3">
      <c r="A20" s="905"/>
      <c r="B20" s="190" t="s">
        <v>84</v>
      </c>
      <c r="C20" s="165">
        <v>0</v>
      </c>
      <c r="D20" s="157">
        <v>296000</v>
      </c>
      <c r="E20" s="185">
        <f t="shared" si="0"/>
        <v>0.29599999999999999</v>
      </c>
      <c r="F20" s="185">
        <f t="shared" si="6"/>
        <v>-1.3423020332140661E-2</v>
      </c>
      <c r="G20" s="157">
        <v>0</v>
      </c>
      <c r="H20" s="157">
        <v>296000</v>
      </c>
      <c r="I20" s="188">
        <v>100</v>
      </c>
      <c r="J20" s="157">
        <v>22000</v>
      </c>
      <c r="K20" s="157">
        <v>0</v>
      </c>
      <c r="L20" s="157">
        <v>22000</v>
      </c>
      <c r="M20" s="185">
        <v>100</v>
      </c>
      <c r="N20" s="185">
        <v>8.2523148148148131</v>
      </c>
      <c r="O20" s="185">
        <f t="shared" si="7"/>
        <v>27.879441941941938</v>
      </c>
      <c r="P20" s="165">
        <f t="shared" si="8"/>
        <v>7954.1719221801759</v>
      </c>
      <c r="Q20" s="185">
        <f t="shared" si="9"/>
        <v>97.383101580123522</v>
      </c>
      <c r="R20" s="185">
        <f t="shared" si="10"/>
        <v>7.4324324324324325</v>
      </c>
      <c r="S20" s="191">
        <v>1550</v>
      </c>
      <c r="T20" s="186">
        <v>142.27820105820101</v>
      </c>
      <c r="U20" s="165">
        <f t="shared" si="11"/>
        <v>274000</v>
      </c>
      <c r="V20" s="185">
        <f t="shared" si="12"/>
        <v>176.7741935483871</v>
      </c>
      <c r="W20" s="184">
        <v>1.8270500000000001</v>
      </c>
      <c r="X20" s="240">
        <f t="shared" si="1"/>
        <v>10.141488487755057</v>
      </c>
      <c r="Y20" s="241">
        <f t="shared" si="13"/>
        <v>0.27020032338339811</v>
      </c>
      <c r="Z20" s="240">
        <v>0.49620999999999998</v>
      </c>
      <c r="AA20" s="241">
        <f t="shared" si="14"/>
        <v>6.9849380630630634E-2</v>
      </c>
      <c r="AB20" s="240">
        <v>3.7519300000000002</v>
      </c>
      <c r="AC20" s="241">
        <f t="shared" si="15"/>
        <v>0.52814329954954964</v>
      </c>
      <c r="AD20" s="240">
        <v>3.5043000000000002</v>
      </c>
      <c r="AE20" s="241">
        <f t="shared" si="16"/>
        <v>0.11420748873873866</v>
      </c>
      <c r="AF20" s="240">
        <f t="shared" si="17"/>
        <v>1.9195030973156602</v>
      </c>
      <c r="AG20" s="240"/>
      <c r="AH20" s="184">
        <f t="shared" si="18"/>
        <v>3.7519300000000002</v>
      </c>
      <c r="AI20" s="184"/>
      <c r="AJ20" s="184">
        <f t="shared" si="19"/>
        <v>0.81132999999999944</v>
      </c>
      <c r="AK20" s="184"/>
      <c r="AL20" s="184">
        <f t="shared" si="20"/>
        <v>0.49620999999999998</v>
      </c>
      <c r="AM20" s="184"/>
    </row>
    <row r="21" spans="1:39" x14ac:dyDescent="0.3">
      <c r="A21" s="905"/>
      <c r="B21" s="190" t="s">
        <v>83</v>
      </c>
      <c r="C21" s="165">
        <v>0</v>
      </c>
      <c r="D21" s="157">
        <v>277333.33333333331</v>
      </c>
      <c r="E21" s="185">
        <f t="shared" si="0"/>
        <v>0.27733333333333332</v>
      </c>
      <c r="F21" s="185">
        <f t="shared" si="6"/>
        <v>-7.8562322503102203E-2</v>
      </c>
      <c r="G21" s="157">
        <v>8000</v>
      </c>
      <c r="H21" s="157">
        <v>285333.33333333331</v>
      </c>
      <c r="I21" s="188">
        <v>97.196261682242991</v>
      </c>
      <c r="J21" s="157">
        <v>10000</v>
      </c>
      <c r="K21" s="157">
        <v>6000</v>
      </c>
      <c r="L21" s="157">
        <v>16000</v>
      </c>
      <c r="M21" s="185">
        <v>62.5</v>
      </c>
      <c r="N21" s="185">
        <v>10.358024691358025</v>
      </c>
      <c r="O21" s="185">
        <f t="shared" si="7"/>
        <v>36.301488404292144</v>
      </c>
      <c r="P21" s="165">
        <f t="shared" si="8"/>
        <v>11058.565076452935</v>
      </c>
      <c r="Q21" s="185">
        <f t="shared" si="9"/>
        <v>96.165438371386074</v>
      </c>
      <c r="R21" s="185">
        <f t="shared" si="10"/>
        <v>5.6074766355140193</v>
      </c>
      <c r="S21" s="191">
        <v>3250</v>
      </c>
      <c r="T21" s="186">
        <v>136.08543581175155</v>
      </c>
      <c r="U21" s="165">
        <f t="shared" si="11"/>
        <v>267333.33333333331</v>
      </c>
      <c r="V21" s="185">
        <f t="shared" si="12"/>
        <v>82.256410256410248</v>
      </c>
      <c r="W21" s="184">
        <v>1.7125300000000001</v>
      </c>
      <c r="X21" s="240">
        <f t="shared" si="1"/>
        <v>9.5058171806656446</v>
      </c>
      <c r="Y21" s="241">
        <f t="shared" si="13"/>
        <v>0.2361985397911554</v>
      </c>
      <c r="Z21" s="240">
        <v>1.21791</v>
      </c>
      <c r="AA21" s="241">
        <f t="shared" si="14"/>
        <v>0.12113281250000001</v>
      </c>
      <c r="AB21" s="240">
        <v>2.6837</v>
      </c>
      <c r="AC21" s="241">
        <f t="shared" si="15"/>
        <v>0.40320012019230766</v>
      </c>
      <c r="AD21" s="240">
        <v>4.1906600000000003</v>
      </c>
      <c r="AE21" s="241">
        <f t="shared" si="16"/>
        <v>0.13868990384615384</v>
      </c>
      <c r="AF21" s="240">
        <f t="shared" si="17"/>
        <v>1.5721374808499302</v>
      </c>
      <c r="AG21" s="240"/>
      <c r="AH21" s="184">
        <f t="shared" si="18"/>
        <v>2.6837</v>
      </c>
      <c r="AI21" s="184"/>
      <c r="AJ21" s="184">
        <f t="shared" si="19"/>
        <v>0.92311999999999994</v>
      </c>
      <c r="AK21" s="184"/>
      <c r="AL21" s="184">
        <f t="shared" si="20"/>
        <v>0.80625999999999998</v>
      </c>
      <c r="AM21" s="184"/>
    </row>
    <row r="22" spans="1:39" x14ac:dyDescent="0.3">
      <c r="A22" s="905"/>
      <c r="B22" s="190" t="s">
        <v>82</v>
      </c>
      <c r="C22" s="165">
        <v>0</v>
      </c>
      <c r="D22" s="157">
        <v>290666.66666666669</v>
      </c>
      <c r="E22" s="185">
        <f t="shared" si="0"/>
        <v>0.29066666666666668</v>
      </c>
      <c r="F22" s="185">
        <f t="shared" si="6"/>
        <v>-3.1605339415331099E-2</v>
      </c>
      <c r="G22" s="189">
        <v>13333.333333333332</v>
      </c>
      <c r="H22" s="189">
        <v>303999.99999999994</v>
      </c>
      <c r="I22" s="188">
        <v>95.614035087719301</v>
      </c>
      <c r="J22" s="157">
        <v>4000</v>
      </c>
      <c r="K22" s="157">
        <v>2000</v>
      </c>
      <c r="L22" s="157">
        <v>6000</v>
      </c>
      <c r="M22" s="185">
        <v>66.666666666666657</v>
      </c>
      <c r="N22" s="185">
        <v>10.913580246913581</v>
      </c>
      <c r="O22" s="185">
        <f t="shared" si="7"/>
        <v>35.899935022742049</v>
      </c>
      <c r="P22" s="165">
        <f t="shared" si="8"/>
        <v>11877.606143172019</v>
      </c>
      <c r="Q22" s="185">
        <f t="shared" si="9"/>
        <v>96.074093211925529</v>
      </c>
      <c r="R22" s="185">
        <f t="shared" si="10"/>
        <v>1.9736842105263159</v>
      </c>
      <c r="S22" s="187">
        <v>1783.3333333333333</v>
      </c>
      <c r="T22" s="186">
        <v>119.46737425894055</v>
      </c>
      <c r="U22" s="165">
        <f t="shared" si="11"/>
        <v>286666.66666666669</v>
      </c>
      <c r="V22" s="185">
        <f t="shared" si="12"/>
        <v>160.7476635514019</v>
      </c>
      <c r="W22" s="184">
        <v>1.78935</v>
      </c>
      <c r="X22" s="240">
        <f t="shared" si="1"/>
        <v>9.9322254046493033</v>
      </c>
      <c r="Y22" s="241">
        <f t="shared" si="13"/>
        <v>0.16423871228014211</v>
      </c>
      <c r="Z22" s="240">
        <v>1.2007300000000001</v>
      </c>
      <c r="AA22" s="241">
        <f t="shared" si="14"/>
        <v>0.11311353211009173</v>
      </c>
      <c r="AB22" s="240">
        <v>2.9991500000000002</v>
      </c>
      <c r="AC22" s="241">
        <f t="shared" si="15"/>
        <v>0.4299240252293578</v>
      </c>
      <c r="AD22" s="240">
        <v>4.3464400000000003</v>
      </c>
      <c r="AE22" s="241">
        <f t="shared" si="16"/>
        <v>0.10999713302752293</v>
      </c>
      <c r="AF22" s="240">
        <f t="shared" si="17"/>
        <v>1.1457292568662716</v>
      </c>
      <c r="AG22" s="240"/>
      <c r="AH22" s="184">
        <f t="shared" si="18"/>
        <v>2.9991500000000002</v>
      </c>
      <c r="AI22" s="184"/>
      <c r="AJ22" s="184">
        <f t="shared" si="19"/>
        <v>0.76733999999999991</v>
      </c>
      <c r="AK22" s="184"/>
      <c r="AL22" s="184">
        <f t="shared" si="20"/>
        <v>0.78908</v>
      </c>
      <c r="AM22" s="184"/>
    </row>
    <row r="23" spans="1:39" x14ac:dyDescent="0.3">
      <c r="A23" s="902" t="s">
        <v>78</v>
      </c>
      <c r="B23" s="183" t="s">
        <v>89</v>
      </c>
      <c r="C23" s="175">
        <f>D23-300000</f>
        <v>50221.333333333314</v>
      </c>
      <c r="D23" s="175">
        <v>350221.33333333331</v>
      </c>
      <c r="E23" s="174">
        <f t="shared" si="0"/>
        <v>0.35022133333333333</v>
      </c>
      <c r="F23" s="174">
        <f t="shared" si="6"/>
        <v>0.15478286091106241</v>
      </c>
      <c r="G23" s="175">
        <v>23119.999999999996</v>
      </c>
      <c r="H23" s="175">
        <v>373341.33333333331</v>
      </c>
      <c r="I23" s="174">
        <v>93.807275558380894</v>
      </c>
      <c r="J23" s="175">
        <v>46000</v>
      </c>
      <c r="K23" s="175">
        <v>12000</v>
      </c>
      <c r="L23" s="182">
        <v>57999.999999999993</v>
      </c>
      <c r="M23" s="174">
        <v>79.310344827586206</v>
      </c>
      <c r="N23" s="174">
        <v>73.022535211267609</v>
      </c>
      <c r="O23" s="174">
        <f t="shared" si="7"/>
        <v>195.59188520406957</v>
      </c>
      <c r="P23" s="175">
        <f t="shared" si="8"/>
        <v>103443.2186514339</v>
      </c>
      <c r="Q23" s="174">
        <f t="shared" si="9"/>
        <v>77.198302534576868</v>
      </c>
      <c r="R23" s="174">
        <f t="shared" si="10"/>
        <v>15.535381384684612</v>
      </c>
      <c r="S23" s="174">
        <v>620</v>
      </c>
      <c r="T23" s="176">
        <v>180.71179894179892</v>
      </c>
      <c r="U23" s="175">
        <f t="shared" si="11"/>
        <v>304221.33333333331</v>
      </c>
      <c r="V23" s="174">
        <f t="shared" si="12"/>
        <v>490.67956989247307</v>
      </c>
      <c r="W23" s="172">
        <v>1.3391299999999999</v>
      </c>
      <c r="X23" s="173">
        <f t="shared" si="1"/>
        <v>7.433169031283998</v>
      </c>
      <c r="Y23" s="127" t="s">
        <v>79</v>
      </c>
      <c r="Z23" s="173">
        <v>0.56489</v>
      </c>
      <c r="AA23" s="127" t="s">
        <v>79</v>
      </c>
      <c r="AB23" s="173">
        <v>6.9062900000000003</v>
      </c>
      <c r="AC23" s="127" t="s">
        <v>79</v>
      </c>
      <c r="AD23" s="173">
        <v>1.42031</v>
      </c>
      <c r="AE23" s="127" t="s">
        <v>79</v>
      </c>
      <c r="AF23" s="173"/>
      <c r="AG23" s="173"/>
      <c r="AH23" s="172"/>
      <c r="AI23" s="172"/>
      <c r="AJ23" s="172"/>
      <c r="AK23" s="172"/>
      <c r="AL23" s="172"/>
      <c r="AM23" s="172"/>
    </row>
    <row r="24" spans="1:39" ht="12" customHeight="1" x14ac:dyDescent="0.3">
      <c r="A24" s="902"/>
      <c r="B24" s="179" t="s">
        <v>88</v>
      </c>
      <c r="C24" s="175">
        <f>D24-300000</f>
        <v>62666.666666666628</v>
      </c>
      <c r="D24" s="180">
        <v>362666.66666666663</v>
      </c>
      <c r="E24" s="174">
        <f t="shared" si="0"/>
        <v>0.36266666666666664</v>
      </c>
      <c r="F24" s="174">
        <f t="shared" si="6"/>
        <v>0.18970166409157702</v>
      </c>
      <c r="G24" s="180">
        <v>9333.3333333333339</v>
      </c>
      <c r="H24" s="180">
        <v>372000</v>
      </c>
      <c r="I24" s="181">
        <v>97.491039426523301</v>
      </c>
      <c r="J24" s="180">
        <v>18000</v>
      </c>
      <c r="K24" s="180">
        <v>4000</v>
      </c>
      <c r="L24" s="171">
        <v>22000</v>
      </c>
      <c r="M24" s="174">
        <v>81.818181818181827</v>
      </c>
      <c r="N24" s="174">
        <v>20.292473118279567</v>
      </c>
      <c r="O24" s="174">
        <f t="shared" si="7"/>
        <v>54.54965892010636</v>
      </c>
      <c r="P24" s="175">
        <f t="shared" si="8"/>
        <v>25704.663302785742</v>
      </c>
      <c r="Q24" s="174">
        <f t="shared" si="9"/>
        <v>93.381420996032958</v>
      </c>
      <c r="R24" s="174">
        <f t="shared" si="10"/>
        <v>5.913978494623656</v>
      </c>
      <c r="S24" s="174">
        <v>364.4444444444444</v>
      </c>
      <c r="T24" s="176">
        <v>222.16998556998558</v>
      </c>
      <c r="U24" s="175">
        <f t="shared" si="11"/>
        <v>344666.66666666663</v>
      </c>
      <c r="V24" s="174">
        <f t="shared" si="12"/>
        <v>945.73170731707319</v>
      </c>
      <c r="W24" s="172">
        <v>1.6018600000000001</v>
      </c>
      <c r="X24" s="173">
        <f t="shared" si="1"/>
        <v>8.8915162414796054</v>
      </c>
      <c r="Y24" s="243">
        <f t="shared" ref="Y24:Y30" si="21">((X16-X24)/$D24)/24*1000000</f>
        <v>0.14394693716426163</v>
      </c>
      <c r="Z24" s="173">
        <v>0.35265999999999997</v>
      </c>
      <c r="AA24" s="243">
        <f t="shared" ref="AA24:AA30" si="22">((Z24-Z16)/$D24)/24*1000000</f>
        <v>4.0517003676470591E-2</v>
      </c>
      <c r="AB24" s="173">
        <v>4.5173500000000004</v>
      </c>
      <c r="AC24" s="243">
        <f t="shared" ref="AC24:AC30" si="23">((AB24-AB16)/$D24)/24*1000000</f>
        <v>0.21397173713235301</v>
      </c>
      <c r="AD24" s="173">
        <v>1.6693800000000001</v>
      </c>
      <c r="AE24" s="243">
        <f t="shared" ref="AE24:AE30" si="24">((AD16-AD24)/$D24)/24*1000000</f>
        <v>3.7252987132352935E-2</v>
      </c>
      <c r="AF24" s="173">
        <f t="shared" ref="AF24:AF30" si="25">X8-X24</f>
        <v>3.7082861520015982</v>
      </c>
      <c r="AG24" s="173"/>
      <c r="AH24" s="172">
        <f t="shared" ref="AH24:AH30" si="26">AB24-AB8</f>
        <v>4.4907300000000001</v>
      </c>
      <c r="AI24" s="172"/>
      <c r="AJ24" s="172">
        <f t="shared" ref="AJ24:AJ30" si="27">AD8-AD24</f>
        <v>0.5652299999999999</v>
      </c>
      <c r="AK24" s="172"/>
      <c r="AL24" s="172">
        <f t="shared" ref="AL24:AL30" si="28">Z24-Z8</f>
        <v>0.35265999999999997</v>
      </c>
      <c r="AM24" s="172"/>
    </row>
    <row r="25" spans="1:39" ht="14.4" customHeight="1" x14ac:dyDescent="0.3">
      <c r="A25" s="902"/>
      <c r="B25" s="179" t="s">
        <v>87</v>
      </c>
      <c r="C25" s="175">
        <f>D25-300000</f>
        <v>49333.333333333314</v>
      </c>
      <c r="D25" s="180">
        <v>349333.33333333331</v>
      </c>
      <c r="E25" s="174">
        <f t="shared" si="0"/>
        <v>0.34933333333333333</v>
      </c>
      <c r="F25" s="174">
        <f t="shared" si="6"/>
        <v>0.15224410155667667</v>
      </c>
      <c r="G25" s="180">
        <v>17333.333333333332</v>
      </c>
      <c r="H25" s="180">
        <v>366666.66666666663</v>
      </c>
      <c r="I25" s="181">
        <v>95.27272727272728</v>
      </c>
      <c r="J25" s="180">
        <v>10000</v>
      </c>
      <c r="K25" s="180">
        <v>8000</v>
      </c>
      <c r="L25" s="180">
        <v>18000</v>
      </c>
      <c r="M25" s="174">
        <v>55.555555555555557</v>
      </c>
      <c r="N25" s="174">
        <v>15.416666666666664</v>
      </c>
      <c r="O25" s="174">
        <f t="shared" si="7"/>
        <v>42.04545454545454</v>
      </c>
      <c r="P25" s="175">
        <f t="shared" si="8"/>
        <v>18516.389011745046</v>
      </c>
      <c r="Q25" s="174">
        <f t="shared" si="9"/>
        <v>94.966316980287161</v>
      </c>
      <c r="R25" s="174">
        <f t="shared" si="10"/>
        <v>4.9090909090909092</v>
      </c>
      <c r="S25" s="174">
        <v>616.66666666666674</v>
      </c>
      <c r="T25" s="176">
        <v>191.07012471655332</v>
      </c>
      <c r="U25" s="175">
        <f t="shared" si="11"/>
        <v>339333.33333333331</v>
      </c>
      <c r="V25" s="174">
        <f t="shared" si="12"/>
        <v>550.2702702702702</v>
      </c>
      <c r="W25" s="172">
        <v>1.46557</v>
      </c>
      <c r="X25" s="173">
        <f t="shared" si="1"/>
        <v>8.1350052177002148</v>
      </c>
      <c r="Y25" s="243">
        <f t="shared" si="21"/>
        <v>0.26262094268088937</v>
      </c>
      <c r="Z25" s="173">
        <v>1.4127799999999999</v>
      </c>
      <c r="AA25" s="243">
        <f t="shared" si="22"/>
        <v>5.0083492366412206E-2</v>
      </c>
      <c r="AB25" s="173">
        <v>5.78477</v>
      </c>
      <c r="AC25" s="243">
        <f t="shared" si="23"/>
        <v>0.24712786259541983</v>
      </c>
      <c r="AD25" s="173">
        <v>2.5002399999999998</v>
      </c>
      <c r="AE25" s="243">
        <f t="shared" si="24"/>
        <v>4.646111641221376E-2</v>
      </c>
      <c r="AF25" s="173">
        <f t="shared" si="25"/>
        <v>3.6790337263260717</v>
      </c>
      <c r="AG25" s="173"/>
      <c r="AH25" s="172">
        <f t="shared" si="26"/>
        <v>5.76919</v>
      </c>
      <c r="AI25" s="172"/>
      <c r="AJ25" s="172">
        <f t="shared" si="27"/>
        <v>0.82451000000000008</v>
      </c>
      <c r="AK25" s="172"/>
      <c r="AL25" s="172">
        <f t="shared" si="28"/>
        <v>0.90416999999999992</v>
      </c>
      <c r="AM25" s="172"/>
    </row>
    <row r="26" spans="1:39" x14ac:dyDescent="0.3">
      <c r="A26" s="902"/>
      <c r="B26" s="179" t="s">
        <v>86</v>
      </c>
      <c r="C26" s="175">
        <v>0</v>
      </c>
      <c r="D26" s="180">
        <v>288000</v>
      </c>
      <c r="E26" s="174">
        <f t="shared" si="0"/>
        <v>0.28799999999999998</v>
      </c>
      <c r="F26" s="174">
        <f t="shared" si="6"/>
        <v>-4.0821994520255166E-2</v>
      </c>
      <c r="G26" s="180">
        <v>22666.666666666664</v>
      </c>
      <c r="H26" s="180">
        <v>310666.66666666663</v>
      </c>
      <c r="I26" s="181">
        <v>92.703862660944196</v>
      </c>
      <c r="J26" s="180">
        <v>14000.000000000002</v>
      </c>
      <c r="K26" s="180">
        <v>20000</v>
      </c>
      <c r="L26" s="180">
        <v>34000</v>
      </c>
      <c r="M26" s="174">
        <v>41.17647058823529</v>
      </c>
      <c r="N26" s="174">
        <v>15.675287356321839</v>
      </c>
      <c r="O26" s="174">
        <f t="shared" si="7"/>
        <v>50.456933550392186</v>
      </c>
      <c r="P26" s="175">
        <f t="shared" si="8"/>
        <v>18897.666749700486</v>
      </c>
      <c r="Q26" s="174">
        <f t="shared" si="9"/>
        <v>93.842355678411522</v>
      </c>
      <c r="R26" s="174">
        <f t="shared" si="10"/>
        <v>10.944206008583693</v>
      </c>
      <c r="S26" s="174">
        <v>804.16666666666663</v>
      </c>
      <c r="T26" s="176">
        <v>197.23764880952379</v>
      </c>
      <c r="U26" s="175">
        <f t="shared" si="11"/>
        <v>274000</v>
      </c>
      <c r="V26" s="174">
        <f t="shared" si="12"/>
        <v>340.72538860103629</v>
      </c>
      <c r="W26" s="172">
        <v>1.5121800000000001</v>
      </c>
      <c r="X26" s="173">
        <f t="shared" si="1"/>
        <v>8.3937254379537727</v>
      </c>
      <c r="Y26" s="243">
        <f t="shared" si="21"/>
        <v>0.29518848582257534</v>
      </c>
      <c r="Z26" s="173">
        <v>1.4620899999999999</v>
      </c>
      <c r="AA26" s="243">
        <f t="shared" si="22"/>
        <v>5.9745370370370372E-2</v>
      </c>
      <c r="AB26" s="173">
        <v>5.4062099999999997</v>
      </c>
      <c r="AC26" s="243">
        <f t="shared" si="23"/>
        <v>0.26627893518518514</v>
      </c>
      <c r="AD26" s="173">
        <v>2.1742400000000002</v>
      </c>
      <c r="AE26" s="243">
        <f t="shared" si="24"/>
        <v>5.690538194444441E-2</v>
      </c>
      <c r="AF26" s="173">
        <f t="shared" si="25"/>
        <v>3.4203135060725138</v>
      </c>
      <c r="AG26" s="173"/>
      <c r="AH26" s="172">
        <f t="shared" si="26"/>
        <v>5.3906299999999998</v>
      </c>
      <c r="AI26" s="172"/>
      <c r="AJ26" s="172">
        <f t="shared" si="27"/>
        <v>1.1505099999999997</v>
      </c>
      <c r="AK26" s="172"/>
      <c r="AL26" s="172">
        <f t="shared" si="28"/>
        <v>0.95347999999999988</v>
      </c>
      <c r="AM26" s="172"/>
    </row>
    <row r="27" spans="1:39" ht="14.4" customHeight="1" x14ac:dyDescent="0.3">
      <c r="A27" s="902"/>
      <c r="B27" s="179" t="s">
        <v>85</v>
      </c>
      <c r="C27" s="175">
        <f>D27-300000</f>
        <v>100000</v>
      </c>
      <c r="D27" s="171">
        <v>400000</v>
      </c>
      <c r="E27" s="174">
        <f t="shared" si="0"/>
        <v>0.4</v>
      </c>
      <c r="F27" s="174">
        <f t="shared" si="6"/>
        <v>0.28768207245178085</v>
      </c>
      <c r="G27" s="171">
        <v>8000</v>
      </c>
      <c r="H27" s="171">
        <v>408000</v>
      </c>
      <c r="I27" s="178">
        <v>98.039215686274503</v>
      </c>
      <c r="J27" s="171">
        <v>32000</v>
      </c>
      <c r="K27" s="171">
        <v>16000</v>
      </c>
      <c r="L27" s="171">
        <v>48000</v>
      </c>
      <c r="M27" s="174">
        <v>66.666666666666657</v>
      </c>
      <c r="N27" s="174">
        <v>27.766203703703706</v>
      </c>
      <c r="O27" s="174">
        <f t="shared" si="7"/>
        <v>68.054420842411048</v>
      </c>
      <c r="P27" s="175">
        <f t="shared" si="8"/>
        <v>36722.989390688053</v>
      </c>
      <c r="Q27" s="174">
        <f t="shared" si="9"/>
        <v>91.591239691337606</v>
      </c>
      <c r="R27" s="174">
        <f t="shared" si="10"/>
        <v>11.76470588235294</v>
      </c>
      <c r="S27" s="177">
        <v>479.16666666666669</v>
      </c>
      <c r="T27" s="176">
        <v>213.74509803921569</v>
      </c>
      <c r="U27" s="175">
        <f t="shared" si="11"/>
        <v>368000</v>
      </c>
      <c r="V27" s="174">
        <f t="shared" si="12"/>
        <v>768</v>
      </c>
      <c r="W27" s="173">
        <v>1.5255799999999999</v>
      </c>
      <c r="X27" s="173">
        <f t="shared" si="1"/>
        <v>8.4681054197473298</v>
      </c>
      <c r="Y27" s="243">
        <f t="shared" si="21"/>
        <v>0.12841301427651608</v>
      </c>
      <c r="Z27" s="173">
        <v>1.05122</v>
      </c>
      <c r="AA27" s="243">
        <f t="shared" si="22"/>
        <v>5.2297916666666673E-2</v>
      </c>
      <c r="AB27" s="173">
        <v>5.8993399999999996</v>
      </c>
      <c r="AC27" s="243">
        <f t="shared" si="23"/>
        <v>0.25550729166666658</v>
      </c>
      <c r="AD27" s="173">
        <v>2.92293</v>
      </c>
      <c r="AE27" s="243">
        <f t="shared" si="24"/>
        <v>4.7893749999999985E-2</v>
      </c>
      <c r="AF27" s="173">
        <f t="shared" si="25"/>
        <v>3.592886165323387</v>
      </c>
      <c r="AG27" s="173"/>
      <c r="AH27" s="172">
        <f t="shared" si="26"/>
        <v>5.8993399999999996</v>
      </c>
      <c r="AI27" s="172"/>
      <c r="AJ27" s="172">
        <f t="shared" si="27"/>
        <v>1.3926999999999996</v>
      </c>
      <c r="AK27" s="172"/>
      <c r="AL27" s="172">
        <f t="shared" si="28"/>
        <v>1.05122</v>
      </c>
      <c r="AM27" s="172"/>
    </row>
    <row r="28" spans="1:39" ht="14.4" customHeight="1" x14ac:dyDescent="0.3">
      <c r="A28" s="902"/>
      <c r="B28" s="179" t="s">
        <v>84</v>
      </c>
      <c r="C28" s="175">
        <v>0</v>
      </c>
      <c r="D28" s="171">
        <v>297333.33333333331</v>
      </c>
      <c r="E28" s="174">
        <f t="shared" si="0"/>
        <v>0.29733333333333334</v>
      </c>
      <c r="F28" s="174">
        <f t="shared" si="6"/>
        <v>-8.9286307443014312E-3</v>
      </c>
      <c r="G28" s="171">
        <v>14666.666666666666</v>
      </c>
      <c r="H28" s="171">
        <v>312000</v>
      </c>
      <c r="I28" s="178">
        <v>95.299145299145295</v>
      </c>
      <c r="J28" s="171">
        <v>20000</v>
      </c>
      <c r="K28" s="171">
        <v>20000</v>
      </c>
      <c r="L28" s="171">
        <v>40000</v>
      </c>
      <c r="M28" s="174">
        <v>50</v>
      </c>
      <c r="N28" s="174">
        <v>23.391203703703702</v>
      </c>
      <c r="O28" s="174">
        <f t="shared" si="7"/>
        <v>74.971806742640069</v>
      </c>
      <c r="P28" s="175">
        <f t="shared" si="8"/>
        <v>30273.040990275254</v>
      </c>
      <c r="Q28" s="174">
        <f t="shared" si="9"/>
        <v>90.759324798615907</v>
      </c>
      <c r="R28" s="174">
        <f t="shared" si="10"/>
        <v>12.820512820512819</v>
      </c>
      <c r="S28" s="177">
        <v>329.16666666666669</v>
      </c>
      <c r="T28" s="176">
        <v>227.83246031746035</v>
      </c>
      <c r="U28" s="175">
        <f t="shared" si="11"/>
        <v>277333.33333333331</v>
      </c>
      <c r="V28" s="174">
        <f t="shared" si="12"/>
        <v>842.5316455696202</v>
      </c>
      <c r="W28" s="173">
        <v>1.3361499999999999</v>
      </c>
      <c r="X28" s="173">
        <f t="shared" si="1"/>
        <v>7.4166278114522965</v>
      </c>
      <c r="Y28" s="243">
        <f t="shared" si="21"/>
        <v>0.38184706786753925</v>
      </c>
      <c r="Z28" s="173">
        <v>0.94689999999999996</v>
      </c>
      <c r="AA28" s="243">
        <f t="shared" si="22"/>
        <v>6.3157230941704029E-2</v>
      </c>
      <c r="AB28" s="173">
        <v>6.2290700000000001</v>
      </c>
      <c r="AC28" s="243">
        <f t="shared" si="23"/>
        <v>0.34713284753363233</v>
      </c>
      <c r="AD28" s="173">
        <v>2.7716400000000001</v>
      </c>
      <c r="AE28" s="243">
        <f t="shared" si="24"/>
        <v>0.10267096412556057</v>
      </c>
      <c r="AF28" s="173">
        <f t="shared" si="25"/>
        <v>4.6443637736184202</v>
      </c>
      <c r="AG28" s="173"/>
      <c r="AH28" s="172">
        <f t="shared" si="26"/>
        <v>6.2290700000000001</v>
      </c>
      <c r="AI28" s="172"/>
      <c r="AJ28" s="172">
        <f t="shared" si="27"/>
        <v>1.5439899999999995</v>
      </c>
      <c r="AK28" s="172"/>
      <c r="AL28" s="172">
        <f t="shared" si="28"/>
        <v>0.94689999999999996</v>
      </c>
      <c r="AM28" s="172"/>
    </row>
    <row r="29" spans="1:39" ht="16.2" customHeight="1" x14ac:dyDescent="0.3">
      <c r="A29" s="902"/>
      <c r="B29" s="179" t="s">
        <v>83</v>
      </c>
      <c r="C29" s="175">
        <f t="shared" ref="C29:C37" si="29">D29-300000</f>
        <v>136000</v>
      </c>
      <c r="D29" s="171">
        <v>436000</v>
      </c>
      <c r="E29" s="174">
        <f t="shared" si="0"/>
        <v>0.436</v>
      </c>
      <c r="F29" s="174">
        <f t="shared" si="6"/>
        <v>0.37385976869283327</v>
      </c>
      <c r="G29" s="171">
        <v>24000</v>
      </c>
      <c r="H29" s="171">
        <v>460000</v>
      </c>
      <c r="I29" s="178">
        <v>94.782608695652172</v>
      </c>
      <c r="J29" s="171">
        <v>24000</v>
      </c>
      <c r="K29" s="171">
        <v>14000.000000000002</v>
      </c>
      <c r="L29" s="171">
        <v>38000</v>
      </c>
      <c r="M29" s="174">
        <v>63.157894736842103</v>
      </c>
      <c r="N29" s="174">
        <v>27.117283950617285</v>
      </c>
      <c r="O29" s="174">
        <f t="shared" si="7"/>
        <v>58.950617283950621</v>
      </c>
      <c r="P29" s="175">
        <f t="shared" si="8"/>
        <v>35766.303922478677</v>
      </c>
      <c r="Q29" s="174">
        <f t="shared" si="9"/>
        <v>92.418639562617884</v>
      </c>
      <c r="R29" s="174">
        <f t="shared" si="10"/>
        <v>8.2608695652173907</v>
      </c>
      <c r="S29" s="177">
        <v>1137.5</v>
      </c>
      <c r="T29" s="176">
        <v>189.34618736383447</v>
      </c>
      <c r="U29" s="175">
        <f t="shared" si="11"/>
        <v>412000</v>
      </c>
      <c r="V29" s="174">
        <f t="shared" si="12"/>
        <v>362.19780219780222</v>
      </c>
      <c r="W29" s="173">
        <v>1.45909</v>
      </c>
      <c r="X29" s="173">
        <f t="shared" si="1"/>
        <v>8.0990363906836293</v>
      </c>
      <c r="Y29" s="243">
        <f t="shared" si="21"/>
        <v>0.13444006020470331</v>
      </c>
      <c r="Z29" s="173">
        <v>2.0290400000000002</v>
      </c>
      <c r="AA29" s="243">
        <f t="shared" si="22"/>
        <v>7.7516246177370046E-2</v>
      </c>
      <c r="AB29" s="173">
        <v>4.3197599999999996</v>
      </c>
      <c r="AC29" s="243">
        <f t="shared" si="23"/>
        <v>0.15635129969418957</v>
      </c>
      <c r="AD29" s="173">
        <v>3.5312199999999998</v>
      </c>
      <c r="AE29" s="243">
        <f t="shared" si="24"/>
        <v>6.3019877675841024E-2</v>
      </c>
      <c r="AF29" s="173">
        <f t="shared" si="25"/>
        <v>2.9789182708319455</v>
      </c>
      <c r="AG29" s="173"/>
      <c r="AH29" s="172">
        <f t="shared" si="26"/>
        <v>4.3197599999999996</v>
      </c>
      <c r="AI29" s="172"/>
      <c r="AJ29" s="172">
        <f t="shared" si="27"/>
        <v>1.5825600000000004</v>
      </c>
      <c r="AK29" s="172"/>
      <c r="AL29" s="172">
        <f t="shared" si="28"/>
        <v>1.6173900000000001</v>
      </c>
      <c r="AM29" s="172"/>
    </row>
    <row r="30" spans="1:39" ht="14.4" customHeight="1" x14ac:dyDescent="0.3">
      <c r="A30" s="902"/>
      <c r="B30" s="179" t="s">
        <v>82</v>
      </c>
      <c r="C30" s="175">
        <f t="shared" si="29"/>
        <v>61333.333333333314</v>
      </c>
      <c r="D30" s="171">
        <v>361333.33333333331</v>
      </c>
      <c r="E30" s="174">
        <f t="shared" si="0"/>
        <v>0.36133333333333334</v>
      </c>
      <c r="F30" s="174">
        <f t="shared" si="6"/>
        <v>0.18601841867528077</v>
      </c>
      <c r="G30" s="171">
        <v>26666.666666666664</v>
      </c>
      <c r="H30" s="171">
        <v>388000</v>
      </c>
      <c r="I30" s="178">
        <v>93.12714776632302</v>
      </c>
      <c r="J30" s="171">
        <v>22000</v>
      </c>
      <c r="K30" s="171">
        <v>14000.000000000002</v>
      </c>
      <c r="L30" s="171">
        <v>36000</v>
      </c>
      <c r="M30" s="174">
        <v>61.111111111111114</v>
      </c>
      <c r="N30" s="174">
        <v>21.68518518518519</v>
      </c>
      <c r="O30" s="174">
        <f t="shared" si="7"/>
        <v>55.889652539137089</v>
      </c>
      <c r="P30" s="175">
        <f t="shared" si="8"/>
        <v>27757.902381225405</v>
      </c>
      <c r="Q30" s="174">
        <f t="shared" si="9"/>
        <v>92.865965657065345</v>
      </c>
      <c r="R30" s="174">
        <f t="shared" si="10"/>
        <v>9.2783505154639183</v>
      </c>
      <c r="S30" s="177">
        <v>812.5</v>
      </c>
      <c r="T30" s="176">
        <v>198.63912698412693</v>
      </c>
      <c r="U30" s="175">
        <f t="shared" si="11"/>
        <v>339333.33333333331</v>
      </c>
      <c r="V30" s="174">
        <f t="shared" si="12"/>
        <v>417.64102564102564</v>
      </c>
      <c r="W30" s="173">
        <v>1.409</v>
      </c>
      <c r="X30" s="173">
        <f t="shared" si="1"/>
        <v>7.8209995781433861</v>
      </c>
      <c r="Y30" s="243">
        <f t="shared" si="21"/>
        <v>0.24345316265059008</v>
      </c>
      <c r="Z30" s="173">
        <v>1.8813</v>
      </c>
      <c r="AA30" s="243">
        <f t="shared" si="22"/>
        <v>7.847901291512914E-2</v>
      </c>
      <c r="AB30" s="173">
        <v>4.9178600000000001</v>
      </c>
      <c r="AC30" s="243">
        <f t="shared" si="23"/>
        <v>0.22125345940959409</v>
      </c>
      <c r="AD30" s="173">
        <v>3.5681099999999999</v>
      </c>
      <c r="AE30" s="243">
        <f t="shared" si="24"/>
        <v>8.9752075645756504E-2</v>
      </c>
      <c r="AF30" s="173">
        <f t="shared" si="25"/>
        <v>3.2569550833721888</v>
      </c>
      <c r="AG30" s="173"/>
      <c r="AH30" s="172">
        <f t="shared" si="26"/>
        <v>4.9178600000000001</v>
      </c>
      <c r="AI30" s="172"/>
      <c r="AJ30" s="172">
        <f t="shared" si="27"/>
        <v>1.5456700000000003</v>
      </c>
      <c r="AK30" s="172"/>
      <c r="AL30" s="172">
        <f t="shared" si="28"/>
        <v>1.4696499999999999</v>
      </c>
      <c r="AM30" s="172"/>
    </row>
    <row r="31" spans="1:39" x14ac:dyDescent="0.3">
      <c r="A31" s="925" t="s">
        <v>80</v>
      </c>
      <c r="B31" s="170" t="s">
        <v>89</v>
      </c>
      <c r="C31" s="161">
        <f t="shared" si="29"/>
        <v>142666.66666666663</v>
      </c>
      <c r="D31" s="161">
        <v>442666.66666666663</v>
      </c>
      <c r="E31" s="160">
        <f t="shared" si="0"/>
        <v>0.44266666666666665</v>
      </c>
      <c r="F31" s="161"/>
      <c r="G31" s="161">
        <v>21333.333333333332</v>
      </c>
      <c r="H31" s="161">
        <v>464000</v>
      </c>
      <c r="I31" s="160">
        <v>95.402298850574709</v>
      </c>
      <c r="J31" s="161">
        <v>16000</v>
      </c>
      <c r="K31" s="161">
        <v>18000</v>
      </c>
      <c r="L31" s="169">
        <v>34000</v>
      </c>
      <c r="M31" s="160">
        <v>47.058823529411761</v>
      </c>
      <c r="N31" s="160">
        <v>121.82535211267606</v>
      </c>
      <c r="O31" s="160">
        <f t="shared" si="7"/>
        <v>262.55463817387079</v>
      </c>
      <c r="P31" s="161">
        <f t="shared" si="8"/>
        <v>175391.9388363203</v>
      </c>
      <c r="Q31" s="160">
        <f t="shared" si="9"/>
        <v>71.622118473120651</v>
      </c>
      <c r="R31" s="160">
        <f t="shared" si="10"/>
        <v>7.3275862068965507</v>
      </c>
      <c r="S31" s="160">
        <v>350</v>
      </c>
      <c r="T31" s="162">
        <v>262.92927689594353</v>
      </c>
      <c r="U31" s="161">
        <f t="shared" si="11"/>
        <v>426666.66666666663</v>
      </c>
      <c r="V31" s="160">
        <f t="shared" si="12"/>
        <v>1219.047619047619</v>
      </c>
      <c r="W31" s="159">
        <v>1.01007</v>
      </c>
      <c r="X31" s="242">
        <f t="shared" si="1"/>
        <v>5.6066409112102846</v>
      </c>
      <c r="Y31" s="127" t="s">
        <v>79</v>
      </c>
      <c r="Z31" s="242">
        <v>0.98172999999999999</v>
      </c>
      <c r="AA31" s="127" t="s">
        <v>79</v>
      </c>
      <c r="AB31" s="242">
        <v>8.3810900000000004</v>
      </c>
      <c r="AC31" s="127" t="s">
        <v>79</v>
      </c>
      <c r="AD31" s="242">
        <v>1.0015400000000001</v>
      </c>
      <c r="AE31" s="127" t="s">
        <v>79</v>
      </c>
      <c r="AF31" s="242"/>
      <c r="AG31" s="242"/>
      <c r="AH31" s="159"/>
      <c r="AI31" s="159"/>
      <c r="AJ31" s="159"/>
      <c r="AK31" s="159"/>
      <c r="AL31" s="159"/>
      <c r="AM31" s="159"/>
    </row>
    <row r="32" spans="1:39" x14ac:dyDescent="0.3">
      <c r="A32" s="925"/>
      <c r="B32" s="166" t="s">
        <v>88</v>
      </c>
      <c r="C32" s="161">
        <f t="shared" si="29"/>
        <v>69333.333333333314</v>
      </c>
      <c r="D32" s="167">
        <v>369333.33333333331</v>
      </c>
      <c r="E32" s="160">
        <f t="shared" si="0"/>
        <v>0.36933333333333329</v>
      </c>
      <c r="F32" s="167"/>
      <c r="G32" s="167">
        <v>8000</v>
      </c>
      <c r="H32" s="167">
        <v>377333.33333333331</v>
      </c>
      <c r="I32" s="168">
        <v>97.879858657243815</v>
      </c>
      <c r="J32" s="167">
        <v>16000</v>
      </c>
      <c r="K32" s="167">
        <v>8000</v>
      </c>
      <c r="L32" s="158">
        <v>24000</v>
      </c>
      <c r="M32" s="160">
        <v>66.666666666666657</v>
      </c>
      <c r="N32" s="160">
        <v>47.582795698924734</v>
      </c>
      <c r="O32" s="160">
        <f t="shared" si="7"/>
        <v>126.10281545651434</v>
      </c>
      <c r="P32" s="161">
        <f t="shared" si="8"/>
        <v>65938.074154392947</v>
      </c>
      <c r="Q32" s="160">
        <f t="shared" si="9"/>
        <v>84.851273706451252</v>
      </c>
      <c r="R32" s="160">
        <f t="shared" si="10"/>
        <v>6.360424028268552</v>
      </c>
      <c r="S32" s="160">
        <v>110</v>
      </c>
      <c r="T32" s="162">
        <v>278.23737373737379</v>
      </c>
      <c r="U32" s="161">
        <f t="shared" si="11"/>
        <v>353333.33333333331</v>
      </c>
      <c r="V32" s="160">
        <f t="shared" si="12"/>
        <v>3212.121212121212</v>
      </c>
      <c r="W32" s="159">
        <v>1.3696999999999999</v>
      </c>
      <c r="X32" s="242">
        <f t="shared" si="1"/>
        <v>7.6028553031816859</v>
      </c>
      <c r="Y32" s="244">
        <f t="shared" ref="Y32:Y38" si="30">((X24-X32)/$D32)/24*1000000</f>
        <v>0.14538142354444036</v>
      </c>
      <c r="Z32" s="242">
        <v>0.70396000000000003</v>
      </c>
      <c r="AA32" s="244">
        <f t="shared" ref="AA32:AA38" si="31">((Z32-Z24)/$D32)/24*1000000</f>
        <v>3.9632220216606506E-2</v>
      </c>
      <c r="AB32" s="242">
        <v>5.51776</v>
      </c>
      <c r="AC32" s="244">
        <f t="shared" ref="AC32:AC38" si="32">((AB32-AB24)/$D32)/24*1000000</f>
        <v>0.11286213898916964</v>
      </c>
      <c r="AD32" s="242">
        <v>1.27024</v>
      </c>
      <c r="AE32" s="244">
        <f t="shared" ref="AE32:AE38" si="33">((AD24-AD32)/$D32)/24*1000000</f>
        <v>4.5029332129963906E-2</v>
      </c>
      <c r="AF32" s="242">
        <f t="shared" ref="AF32:AF38" si="34">X8-X32</f>
        <v>4.9969470902995177</v>
      </c>
      <c r="AG32" s="242"/>
      <c r="AH32" s="159">
        <f t="shared" ref="AH32:AH38" si="35">AB32-AB8</f>
        <v>5.4911399999999997</v>
      </c>
      <c r="AI32" s="159"/>
      <c r="AJ32" s="159">
        <f t="shared" ref="AJ32:AJ38" si="36">AD8-AD32</f>
        <v>0.96436999999999995</v>
      </c>
      <c r="AK32" s="159"/>
      <c r="AL32" s="159">
        <f t="shared" ref="AL32:AL38" si="37">Z32-Z8</f>
        <v>0.70396000000000003</v>
      </c>
      <c r="AM32" s="159"/>
    </row>
    <row r="33" spans="1:39" ht="14.4" customHeight="1" x14ac:dyDescent="0.3">
      <c r="A33" s="925"/>
      <c r="B33" s="166" t="s">
        <v>87</v>
      </c>
      <c r="C33" s="161">
        <f t="shared" si="29"/>
        <v>12000</v>
      </c>
      <c r="D33" s="167">
        <v>312000</v>
      </c>
      <c r="E33" s="160">
        <f t="shared" si="0"/>
        <v>0.312</v>
      </c>
      <c r="F33" s="167"/>
      <c r="G33" s="167">
        <v>21333.333333333332</v>
      </c>
      <c r="H33" s="167">
        <v>333333.33333333331</v>
      </c>
      <c r="I33" s="168">
        <v>93.600000000000009</v>
      </c>
      <c r="J33" s="167">
        <v>6000</v>
      </c>
      <c r="K33" s="167">
        <v>16000</v>
      </c>
      <c r="L33" s="167">
        <v>22000</v>
      </c>
      <c r="M33" s="160">
        <v>27.27272727272727</v>
      </c>
      <c r="N33" s="160">
        <v>30.043103448275872</v>
      </c>
      <c r="O33" s="160">
        <f t="shared" si="7"/>
        <v>90.12931034482763</v>
      </c>
      <c r="P33" s="161">
        <f t="shared" si="8"/>
        <v>40079.763302780295</v>
      </c>
      <c r="Q33" s="160">
        <f t="shared" si="9"/>
        <v>88.616283160724393</v>
      </c>
      <c r="R33" s="160">
        <f t="shared" si="10"/>
        <v>6.6000000000000005</v>
      </c>
      <c r="S33" s="160">
        <v>420</v>
      </c>
      <c r="T33" s="162">
        <v>247.74444444444447</v>
      </c>
      <c r="U33" s="161">
        <f t="shared" si="11"/>
        <v>306000</v>
      </c>
      <c r="V33" s="160">
        <f t="shared" si="12"/>
        <v>728.57142857142856</v>
      </c>
      <c r="W33" s="159">
        <v>1.2602599999999999</v>
      </c>
      <c r="X33" s="242">
        <f t="shared" si="1"/>
        <v>6.995381780234907</v>
      </c>
      <c r="Y33" s="244">
        <f t="shared" si="30"/>
        <v>0.15219330094355074</v>
      </c>
      <c r="Z33" s="242">
        <v>1.88165</v>
      </c>
      <c r="AA33" s="244">
        <f t="shared" si="31"/>
        <v>6.2616185897435908E-2</v>
      </c>
      <c r="AB33" s="242">
        <v>6.89459</v>
      </c>
      <c r="AC33" s="244">
        <f t="shared" si="32"/>
        <v>0.14821314102564104</v>
      </c>
      <c r="AD33" s="242">
        <v>1.6537200000000001</v>
      </c>
      <c r="AE33" s="244">
        <f t="shared" si="33"/>
        <v>0.11305021367521365</v>
      </c>
      <c r="AF33" s="242">
        <f t="shared" si="34"/>
        <v>4.8186571637913795</v>
      </c>
      <c r="AG33" s="242"/>
      <c r="AH33" s="159">
        <f t="shared" si="35"/>
        <v>6.8790100000000001</v>
      </c>
      <c r="AI33" s="159"/>
      <c r="AJ33" s="159">
        <f t="shared" si="36"/>
        <v>1.6710299999999998</v>
      </c>
      <c r="AK33" s="159"/>
      <c r="AL33" s="159">
        <f t="shared" si="37"/>
        <v>1.37304</v>
      </c>
      <c r="AM33" s="159"/>
    </row>
    <row r="34" spans="1:39" ht="15.6" customHeight="1" x14ac:dyDescent="0.3">
      <c r="A34" s="925"/>
      <c r="B34" s="166" t="s">
        <v>86</v>
      </c>
      <c r="C34" s="161">
        <f t="shared" si="29"/>
        <v>110666.66666666663</v>
      </c>
      <c r="D34" s="167">
        <v>410666.66666666663</v>
      </c>
      <c r="E34" s="160">
        <f t="shared" si="0"/>
        <v>0.41066666666666662</v>
      </c>
      <c r="F34" s="167"/>
      <c r="G34" s="167">
        <v>25333.333333333332</v>
      </c>
      <c r="H34" s="167">
        <v>436000</v>
      </c>
      <c r="I34" s="168">
        <v>94.189602446483178</v>
      </c>
      <c r="J34" s="167">
        <v>8000</v>
      </c>
      <c r="K34" s="167">
        <v>18000</v>
      </c>
      <c r="L34" s="167">
        <v>26000</v>
      </c>
      <c r="M34" s="160">
        <v>30.76923076923077</v>
      </c>
      <c r="N34" s="160">
        <v>29.89942528735633</v>
      </c>
      <c r="O34" s="160">
        <f t="shared" si="7"/>
        <v>68.576663503110851</v>
      </c>
      <c r="P34" s="161">
        <f t="shared" si="8"/>
        <v>39867.942337249493</v>
      </c>
      <c r="Q34" s="160">
        <f t="shared" si="9"/>
        <v>91.15097008298801</v>
      </c>
      <c r="R34" s="160">
        <f t="shared" si="10"/>
        <v>5.9633027522935782</v>
      </c>
      <c r="S34" s="160">
        <v>323.33333333333337</v>
      </c>
      <c r="T34" s="162">
        <v>262.284126984127</v>
      </c>
      <c r="U34" s="161">
        <f t="shared" si="11"/>
        <v>402666.66666666663</v>
      </c>
      <c r="V34" s="160">
        <f t="shared" si="12"/>
        <v>1245.3608247422678</v>
      </c>
      <c r="W34" s="159">
        <v>1.2733399999999999</v>
      </c>
      <c r="X34" s="242">
        <f t="shared" si="1"/>
        <v>7.0679855236572742</v>
      </c>
      <c r="Y34" s="244">
        <f t="shared" si="30"/>
        <v>0.13451094909664152</v>
      </c>
      <c r="Z34" s="242">
        <v>2.0543</v>
      </c>
      <c r="AA34" s="244">
        <f t="shared" si="31"/>
        <v>6.0086241883116911E-2</v>
      </c>
      <c r="AB34" s="242">
        <v>6.6455500000000001</v>
      </c>
      <c r="AC34" s="244">
        <f t="shared" si="32"/>
        <v>0.12574472402597409</v>
      </c>
      <c r="AD34" s="242">
        <v>1.73366</v>
      </c>
      <c r="AE34" s="244">
        <f t="shared" si="33"/>
        <v>4.4701704545454572E-2</v>
      </c>
      <c r="AF34" s="242">
        <f t="shared" si="34"/>
        <v>4.7460534203690123</v>
      </c>
      <c r="AG34" s="242"/>
      <c r="AH34" s="159">
        <f t="shared" si="35"/>
        <v>6.6299700000000001</v>
      </c>
      <c r="AI34" s="159"/>
      <c r="AJ34" s="159">
        <f t="shared" si="36"/>
        <v>1.5910899999999999</v>
      </c>
      <c r="AK34" s="159"/>
      <c r="AL34" s="159">
        <f t="shared" si="37"/>
        <v>1.54569</v>
      </c>
      <c r="AM34" s="159"/>
    </row>
    <row r="35" spans="1:39" ht="14.4" customHeight="1" x14ac:dyDescent="0.3">
      <c r="A35" s="925"/>
      <c r="B35" s="166" t="s">
        <v>85</v>
      </c>
      <c r="C35" s="161">
        <f t="shared" si="29"/>
        <v>100000</v>
      </c>
      <c r="D35" s="158">
        <v>400000</v>
      </c>
      <c r="E35" s="160">
        <f t="shared" si="0"/>
        <v>0.4</v>
      </c>
      <c r="F35" s="158"/>
      <c r="G35" s="158">
        <v>5333.333333333333</v>
      </c>
      <c r="H35" s="158">
        <v>405333.33333333331</v>
      </c>
      <c r="I35" s="164">
        <v>98.68421052631578</v>
      </c>
      <c r="J35" s="158">
        <v>12000</v>
      </c>
      <c r="K35" s="158">
        <v>16000</v>
      </c>
      <c r="L35" s="158">
        <v>28000.000000000004</v>
      </c>
      <c r="M35" s="160">
        <v>42.857142857142854</v>
      </c>
      <c r="N35" s="160">
        <v>51.238425925925924</v>
      </c>
      <c r="O35" s="160">
        <f t="shared" si="7"/>
        <v>126.41059027777779</v>
      </c>
      <c r="P35" s="161">
        <f t="shared" si="8"/>
        <v>71327.474459569406</v>
      </c>
      <c r="Q35" s="160">
        <f t="shared" si="9"/>
        <v>84.866684349060179</v>
      </c>
      <c r="R35" s="160">
        <f t="shared" si="10"/>
        <v>6.9078947368421062</v>
      </c>
      <c r="S35" s="163">
        <v>233.33333333333331</v>
      </c>
      <c r="T35" s="162">
        <v>234.30745341614906</v>
      </c>
      <c r="U35" s="161">
        <f t="shared" si="11"/>
        <v>388000</v>
      </c>
      <c r="V35" s="160">
        <f t="shared" si="12"/>
        <v>1662.8571428571429</v>
      </c>
      <c r="W35" s="159">
        <v>1.19394</v>
      </c>
      <c r="X35" s="242">
        <f t="shared" si="1"/>
        <v>6.6272563778059013</v>
      </c>
      <c r="Y35" s="244">
        <f t="shared" si="30"/>
        <v>0.19175510853556546</v>
      </c>
      <c r="Z35" s="242">
        <v>1.4761500000000001</v>
      </c>
      <c r="AA35" s="244">
        <f t="shared" si="31"/>
        <v>4.4263541666666663E-2</v>
      </c>
      <c r="AB35" s="242">
        <v>6.6775399999999996</v>
      </c>
      <c r="AC35" s="244">
        <f t="shared" si="32"/>
        <v>8.1062499999999996E-2</v>
      </c>
      <c r="AD35" s="242">
        <v>2.2654899999999998</v>
      </c>
      <c r="AE35" s="244">
        <f t="shared" si="33"/>
        <v>6.8483333333333354E-2</v>
      </c>
      <c r="AF35" s="242">
        <f t="shared" si="34"/>
        <v>5.4337352072648155</v>
      </c>
      <c r="AG35" s="242"/>
      <c r="AH35" s="159">
        <f t="shared" si="35"/>
        <v>6.6775399999999996</v>
      </c>
      <c r="AI35" s="159"/>
      <c r="AJ35" s="159">
        <f t="shared" si="36"/>
        <v>2.0501399999999999</v>
      </c>
      <c r="AK35" s="159"/>
      <c r="AL35" s="159">
        <f t="shared" si="37"/>
        <v>1.4761500000000001</v>
      </c>
      <c r="AM35" s="159"/>
    </row>
    <row r="36" spans="1:39" ht="14.4" customHeight="1" x14ac:dyDescent="0.3">
      <c r="A36" s="925"/>
      <c r="B36" s="166" t="s">
        <v>84</v>
      </c>
      <c r="C36" s="161">
        <f t="shared" si="29"/>
        <v>13333.333333333314</v>
      </c>
      <c r="D36" s="158">
        <v>313333.33333333331</v>
      </c>
      <c r="E36" s="160">
        <f t="shared" si="0"/>
        <v>0.3133333333333333</v>
      </c>
      <c r="F36" s="158"/>
      <c r="G36" s="158">
        <v>13333.333333333332</v>
      </c>
      <c r="H36" s="158">
        <v>326666.66666666669</v>
      </c>
      <c r="I36" s="164">
        <v>95.918367346938766</v>
      </c>
      <c r="J36" s="158">
        <v>30000</v>
      </c>
      <c r="K36" s="158">
        <v>16000</v>
      </c>
      <c r="L36" s="158">
        <v>46000</v>
      </c>
      <c r="M36" s="160">
        <v>65.217391304347828</v>
      </c>
      <c r="N36" s="160">
        <v>41.099537037037038</v>
      </c>
      <c r="O36" s="160">
        <f t="shared" si="7"/>
        <v>125.81490929705215</v>
      </c>
      <c r="P36" s="161">
        <f t="shared" si="8"/>
        <v>56379.974991946103</v>
      </c>
      <c r="Q36" s="160">
        <f t="shared" si="9"/>
        <v>84.750352848444905</v>
      </c>
      <c r="R36" s="160">
        <f t="shared" si="10"/>
        <v>14.081632653061224</v>
      </c>
      <c r="S36" s="163">
        <v>443.33333333333337</v>
      </c>
      <c r="T36" s="162">
        <v>232.50614216701175</v>
      </c>
      <c r="U36" s="161">
        <f t="shared" si="11"/>
        <v>283333.33333333331</v>
      </c>
      <c r="V36" s="160">
        <f t="shared" si="12"/>
        <v>639.0977443609022</v>
      </c>
      <c r="W36" s="159">
        <v>1.06914</v>
      </c>
      <c r="X36" s="242">
        <f t="shared" si="1"/>
        <v>5.9345234130420303</v>
      </c>
      <c r="Y36" s="244">
        <f t="shared" si="30"/>
        <v>0.19708835085242901</v>
      </c>
      <c r="Z36" s="242">
        <v>1.4515100000000001</v>
      </c>
      <c r="AA36" s="244">
        <f t="shared" si="31"/>
        <v>6.7102393617021291E-2</v>
      </c>
      <c r="AB36" s="242">
        <v>7.7848499999999996</v>
      </c>
      <c r="AC36" s="244">
        <f t="shared" si="32"/>
        <v>0.20688563829787227</v>
      </c>
      <c r="AD36" s="242">
        <v>2.47655</v>
      </c>
      <c r="AE36" s="244">
        <f t="shared" si="33"/>
        <v>3.9240691489361719E-2</v>
      </c>
      <c r="AF36" s="242">
        <f t="shared" si="34"/>
        <v>6.1264681720286864</v>
      </c>
      <c r="AG36" s="242"/>
      <c r="AH36" s="159">
        <f t="shared" si="35"/>
        <v>7.7848499999999996</v>
      </c>
      <c r="AI36" s="159"/>
      <c r="AJ36" s="159">
        <f t="shared" si="36"/>
        <v>1.8390799999999996</v>
      </c>
      <c r="AK36" s="159"/>
      <c r="AL36" s="159">
        <f t="shared" si="37"/>
        <v>1.4515100000000001</v>
      </c>
      <c r="AM36" s="159"/>
    </row>
    <row r="37" spans="1:39" x14ac:dyDescent="0.3">
      <c r="A37" s="925"/>
      <c r="B37" s="166" t="s">
        <v>83</v>
      </c>
      <c r="C37" s="161">
        <f t="shared" si="29"/>
        <v>8000</v>
      </c>
      <c r="D37" s="158">
        <v>308000</v>
      </c>
      <c r="E37" s="160">
        <f t="shared" si="0"/>
        <v>0.308</v>
      </c>
      <c r="F37" s="158"/>
      <c r="G37" s="158">
        <v>9333.3333333333339</v>
      </c>
      <c r="H37" s="158">
        <v>317333.33333333331</v>
      </c>
      <c r="I37" s="164">
        <v>97.058823529411768</v>
      </c>
      <c r="J37" s="158">
        <v>20000</v>
      </c>
      <c r="K37" s="158">
        <v>22000</v>
      </c>
      <c r="L37" s="158">
        <v>42000</v>
      </c>
      <c r="M37" s="160">
        <v>47.619047619047613</v>
      </c>
      <c r="N37" s="160">
        <v>49.987654320987659</v>
      </c>
      <c r="O37" s="160">
        <f t="shared" si="7"/>
        <v>157.5241207594149</v>
      </c>
      <c r="P37" s="161">
        <f t="shared" si="8"/>
        <v>69483.494502414367</v>
      </c>
      <c r="Q37" s="160">
        <f t="shared" si="9"/>
        <v>81.592971477069455</v>
      </c>
      <c r="R37" s="160">
        <f t="shared" si="10"/>
        <v>13.23529411764706</v>
      </c>
      <c r="S37" s="163">
        <v>450</v>
      </c>
      <c r="T37" s="162">
        <v>213.89969969969968</v>
      </c>
      <c r="U37" s="161">
        <f t="shared" si="11"/>
        <v>288000</v>
      </c>
      <c r="V37" s="160">
        <f t="shared" si="12"/>
        <v>640</v>
      </c>
      <c r="W37" s="159">
        <v>1.3349500000000001</v>
      </c>
      <c r="X37" s="242">
        <f t="shared" si="1"/>
        <v>7.4099669175603369</v>
      </c>
      <c r="Y37" s="244">
        <f t="shared" si="30"/>
        <v>9.3218272879233288E-2</v>
      </c>
      <c r="Z37" s="242">
        <v>2.7312400000000001</v>
      </c>
      <c r="AA37" s="244">
        <f t="shared" si="31"/>
        <v>9.4994588744588743E-2</v>
      </c>
      <c r="AB37" s="242">
        <v>5.1799400000000002</v>
      </c>
      <c r="AC37" s="244">
        <f t="shared" si="32"/>
        <v>0.11636634199134209</v>
      </c>
      <c r="AD37" s="242">
        <v>2.9173900000000001</v>
      </c>
      <c r="AE37" s="244">
        <f t="shared" si="33"/>
        <v>8.303977272727267E-2</v>
      </c>
      <c r="AF37" s="242">
        <f t="shared" si="34"/>
        <v>3.667987743955238</v>
      </c>
      <c r="AG37" s="242"/>
      <c r="AH37" s="159">
        <f t="shared" si="35"/>
        <v>5.1799400000000002</v>
      </c>
      <c r="AI37" s="159"/>
      <c r="AJ37" s="159">
        <f t="shared" si="36"/>
        <v>2.1963900000000001</v>
      </c>
      <c r="AK37" s="159"/>
      <c r="AL37" s="159">
        <f t="shared" si="37"/>
        <v>2.3195900000000003</v>
      </c>
      <c r="AM37" s="159"/>
    </row>
    <row r="38" spans="1:39" x14ac:dyDescent="0.3">
      <c r="A38" s="925"/>
      <c r="B38" s="166" t="s">
        <v>82</v>
      </c>
      <c r="C38" s="161">
        <v>0</v>
      </c>
      <c r="D38" s="158">
        <v>212000</v>
      </c>
      <c r="E38" s="160">
        <f t="shared" si="0"/>
        <v>0.21199999999999999</v>
      </c>
      <c r="F38" s="158"/>
      <c r="G38" s="158">
        <v>12000</v>
      </c>
      <c r="H38" s="158">
        <v>224000</v>
      </c>
      <c r="I38" s="164">
        <v>94.642857142857139</v>
      </c>
      <c r="J38" s="158">
        <v>12000</v>
      </c>
      <c r="K38" s="158">
        <v>10000</v>
      </c>
      <c r="L38" s="158">
        <v>22000</v>
      </c>
      <c r="M38" s="160">
        <v>54.54545454545454</v>
      </c>
      <c r="N38" s="160">
        <v>35.203703703703709</v>
      </c>
      <c r="O38" s="160">
        <f t="shared" si="7"/>
        <v>157.15939153439155</v>
      </c>
      <c r="P38" s="161">
        <f t="shared" si="8"/>
        <v>47687.901671389816</v>
      </c>
      <c r="Q38" s="160">
        <f t="shared" si="9"/>
        <v>81.636456159696536</v>
      </c>
      <c r="R38" s="160">
        <f t="shared" si="10"/>
        <v>9.8214285714285712</v>
      </c>
      <c r="S38" s="163">
        <v>330</v>
      </c>
      <c r="T38" s="162">
        <v>249.46689342403627</v>
      </c>
      <c r="U38" s="161">
        <f t="shared" si="11"/>
        <v>200000</v>
      </c>
      <c r="V38" s="160">
        <f t="shared" si="12"/>
        <v>606.06060606060601</v>
      </c>
      <c r="W38" s="159">
        <v>1.2842499999999999</v>
      </c>
      <c r="X38" s="242">
        <f t="shared" si="1"/>
        <v>7.1285441506250127</v>
      </c>
      <c r="Y38" s="244">
        <f t="shared" si="30"/>
        <v>0.13609579943364258</v>
      </c>
      <c r="Z38" s="242">
        <v>2.4474399999999998</v>
      </c>
      <c r="AA38" s="244">
        <f t="shared" si="31"/>
        <v>0.11126965408805028</v>
      </c>
      <c r="AB38" s="242">
        <v>6.19618</v>
      </c>
      <c r="AC38" s="244">
        <f t="shared" si="32"/>
        <v>0.25124213836477988</v>
      </c>
      <c r="AD38" s="242">
        <v>3.1330900000000002</v>
      </c>
      <c r="AE38" s="244">
        <f t="shared" si="33"/>
        <v>8.5499213836477933E-2</v>
      </c>
      <c r="AF38" s="242">
        <f t="shared" si="34"/>
        <v>3.9494105108905622</v>
      </c>
      <c r="AG38" s="242"/>
      <c r="AH38" s="159">
        <f t="shared" si="35"/>
        <v>6.19618</v>
      </c>
      <c r="AI38" s="159"/>
      <c r="AJ38" s="159">
        <f t="shared" si="36"/>
        <v>1.9806900000000001</v>
      </c>
      <c r="AK38" s="159"/>
      <c r="AL38" s="159">
        <f t="shared" si="37"/>
        <v>2.03579</v>
      </c>
      <c r="AM38" s="159"/>
    </row>
    <row r="39" spans="1:39" ht="14.4" customHeight="1" x14ac:dyDescent="0.3">
      <c r="T39" s="211"/>
      <c r="AJ39" s="156"/>
      <c r="AK39" s="156"/>
    </row>
    <row r="40" spans="1:39" x14ac:dyDescent="0.3">
      <c r="T40" s="212"/>
      <c r="AJ40" s="156"/>
      <c r="AK40" s="156"/>
    </row>
    <row r="41" spans="1:39" x14ac:dyDescent="0.3">
      <c r="T41" s="212"/>
    </row>
    <row r="42" spans="1:39" x14ac:dyDescent="0.3">
      <c r="T42" s="32"/>
    </row>
    <row r="43" spans="1:39" x14ac:dyDescent="0.3">
      <c r="J43" s="39"/>
    </row>
    <row r="44" spans="1:39" x14ac:dyDescent="0.3">
      <c r="I44" s="32"/>
      <c r="J44" s="211"/>
    </row>
    <row r="45" spans="1:39" ht="14.4" customHeight="1" x14ac:dyDescent="0.3"/>
    <row r="54" ht="14.4" customHeight="1" x14ac:dyDescent="0.3"/>
  </sheetData>
  <mergeCells count="9">
    <mergeCell ref="A2:AM3"/>
    <mergeCell ref="W5:AM5"/>
    <mergeCell ref="A31:A38"/>
    <mergeCell ref="A7:A14"/>
    <mergeCell ref="A15:A22"/>
    <mergeCell ref="N5:Q5"/>
    <mergeCell ref="D5:I5"/>
    <mergeCell ref="J5:M5"/>
    <mergeCell ref="A23:A30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3"/>
  <sheetViews>
    <sheetView zoomScale="73" zoomScaleNormal="70" workbookViewId="0">
      <selection activeCell="I13" sqref="I13"/>
    </sheetView>
  </sheetViews>
  <sheetFormatPr baseColWidth="10" defaultRowHeight="14.4" x14ac:dyDescent="0.3"/>
  <cols>
    <col min="1" max="1" width="17" customWidth="1"/>
    <col min="2" max="2" width="15.109375" customWidth="1"/>
    <col min="3" max="3" width="11.5546875" bestFit="1" customWidth="1"/>
    <col min="15" max="15" width="13.5546875" customWidth="1"/>
    <col min="16" max="16" width="22.33203125" bestFit="1" customWidth="1"/>
    <col min="17" max="17" width="13.5546875" customWidth="1"/>
    <col min="20" max="20" width="16.5546875" customWidth="1"/>
    <col min="21" max="21" width="13.109375" style="78" customWidth="1"/>
    <col min="22" max="22" width="16.5546875" customWidth="1"/>
    <col min="23" max="25" width="15" customWidth="1"/>
    <col min="26" max="26" width="15" style="154" customWidth="1"/>
    <col min="27" max="27" width="15.88671875" customWidth="1"/>
    <col min="28" max="28" width="15.88671875" style="153" customWidth="1"/>
    <col min="29" max="29" width="14.109375" customWidth="1"/>
    <col min="30" max="30" width="14.109375" style="153" customWidth="1"/>
    <col min="31" max="31" width="15.21875" bestFit="1" customWidth="1"/>
    <col min="32" max="32" width="13.109375" style="153" customWidth="1"/>
    <col min="33" max="33" width="13.33203125" bestFit="1" customWidth="1"/>
    <col min="34" max="34" width="14.109375" bestFit="1" customWidth="1"/>
    <col min="35" max="35" width="9" bestFit="1" customWidth="1"/>
    <col min="36" max="36" width="9.88671875" customWidth="1"/>
    <col min="38" max="38" width="11.88671875" bestFit="1" customWidth="1"/>
    <col min="40" max="40" width="11.88671875" bestFit="1" customWidth="1"/>
  </cols>
  <sheetData>
    <row r="1" spans="1:44" ht="15" thickBot="1" x14ac:dyDescent="0.35"/>
    <row r="2" spans="1:44" s="217" customFormat="1" ht="26.4" thickBot="1" x14ac:dyDescent="0.55000000000000004">
      <c r="A2" s="932" t="s">
        <v>457</v>
      </c>
      <c r="B2" s="933"/>
      <c r="C2" s="933"/>
      <c r="D2" s="933"/>
      <c r="E2" s="933"/>
      <c r="F2" s="933"/>
      <c r="G2" s="933"/>
      <c r="H2" s="933"/>
      <c r="I2" s="933"/>
      <c r="J2" s="933"/>
      <c r="K2" s="933"/>
      <c r="L2" s="933"/>
      <c r="M2" s="933"/>
      <c r="N2" s="933"/>
      <c r="O2" s="933"/>
      <c r="P2" s="933"/>
      <c r="Q2" s="933"/>
      <c r="R2" s="933"/>
      <c r="S2" s="933"/>
      <c r="T2" s="933"/>
      <c r="U2" s="933"/>
      <c r="V2" s="933"/>
      <c r="W2" s="933"/>
      <c r="X2" s="933"/>
      <c r="Y2" s="933"/>
      <c r="Z2" s="933"/>
      <c r="AA2" s="933"/>
      <c r="AB2" s="933"/>
      <c r="AC2" s="933"/>
      <c r="AD2" s="933"/>
      <c r="AE2" s="933"/>
      <c r="AF2" s="933"/>
      <c r="AG2" s="933"/>
      <c r="AH2" s="933"/>
      <c r="AI2" s="933"/>
      <c r="AJ2" s="933"/>
      <c r="AK2" s="933"/>
      <c r="AL2" s="933"/>
      <c r="AM2" s="933"/>
      <c r="AN2" s="934"/>
    </row>
    <row r="3" spans="1:44" ht="15" thickBot="1" x14ac:dyDescent="0.35">
      <c r="A3" s="58"/>
      <c r="B3" s="58"/>
      <c r="C3" s="58"/>
      <c r="D3" s="58"/>
      <c r="E3" s="58"/>
      <c r="F3" s="58"/>
      <c r="G3" s="58"/>
      <c r="H3" s="58"/>
      <c r="I3" s="74"/>
      <c r="J3" s="58"/>
      <c r="K3" s="58"/>
      <c r="L3" s="58"/>
      <c r="M3" s="74"/>
      <c r="N3" s="74"/>
      <c r="O3" s="58"/>
      <c r="P3" s="305" t="s">
        <v>104</v>
      </c>
      <c r="Q3" s="58"/>
      <c r="R3" s="74"/>
      <c r="S3" s="74"/>
      <c r="T3" s="58"/>
      <c r="U3" s="75"/>
      <c r="V3" s="58"/>
      <c r="W3" s="58"/>
      <c r="X3" s="58"/>
      <c r="Y3" s="58"/>
      <c r="Z3" s="210"/>
      <c r="AA3" s="58"/>
      <c r="AB3" s="76"/>
      <c r="AC3" s="58"/>
      <c r="AD3" s="76"/>
      <c r="AE3" s="58"/>
      <c r="AF3" s="76"/>
    </row>
    <row r="4" spans="1:44" ht="15" thickBot="1" x14ac:dyDescent="0.35">
      <c r="C4" s="885" t="s">
        <v>415</v>
      </c>
      <c r="D4" s="886"/>
      <c r="E4" s="886"/>
      <c r="F4" s="886"/>
      <c r="G4" s="886"/>
      <c r="H4" s="886"/>
      <c r="I4" s="887"/>
      <c r="J4" s="883" t="s">
        <v>58</v>
      </c>
      <c r="K4" s="884"/>
      <c r="L4" s="884"/>
      <c r="M4" s="884"/>
      <c r="N4" s="880"/>
      <c r="O4" s="881"/>
      <c r="P4" s="881"/>
      <c r="Q4" s="882"/>
      <c r="R4" s="77"/>
      <c r="S4" s="77"/>
      <c r="X4" s="891" t="s">
        <v>432</v>
      </c>
      <c r="Y4" s="892"/>
      <c r="Z4" s="892"/>
      <c r="AA4" s="892"/>
      <c r="AB4" s="892"/>
      <c r="AC4" s="892"/>
      <c r="AD4" s="892"/>
      <c r="AE4" s="892"/>
      <c r="AF4" s="892"/>
      <c r="AG4" s="892"/>
      <c r="AH4" s="892"/>
      <c r="AI4" s="892"/>
      <c r="AJ4" s="892"/>
      <c r="AK4" s="892"/>
      <c r="AL4" s="892"/>
      <c r="AM4" s="892"/>
      <c r="AN4" s="893"/>
    </row>
    <row r="5" spans="1:44" s="206" customFormat="1" ht="66" x14ac:dyDescent="0.3">
      <c r="A5" s="79" t="s">
        <v>59</v>
      </c>
      <c r="B5" s="80" t="s">
        <v>56</v>
      </c>
      <c r="C5" s="81" t="s">
        <v>60</v>
      </c>
      <c r="D5" s="81" t="s">
        <v>29</v>
      </c>
      <c r="E5" s="81" t="s">
        <v>93</v>
      </c>
      <c r="F5" s="81" t="s">
        <v>61</v>
      </c>
      <c r="G5" s="81" t="s">
        <v>62</v>
      </c>
      <c r="H5" s="81" t="s">
        <v>63</v>
      </c>
      <c r="I5" s="82" t="s">
        <v>433</v>
      </c>
      <c r="J5" s="83" t="s">
        <v>64</v>
      </c>
      <c r="K5" s="83" t="s">
        <v>65</v>
      </c>
      <c r="L5" s="84" t="s">
        <v>434</v>
      </c>
      <c r="M5" s="85" t="s">
        <v>67</v>
      </c>
      <c r="N5" s="86" t="s">
        <v>68</v>
      </c>
      <c r="O5" s="87" t="s">
        <v>69</v>
      </c>
      <c r="P5" s="149" t="s">
        <v>81</v>
      </c>
      <c r="Q5" s="149" t="s">
        <v>429</v>
      </c>
      <c r="R5" s="88" t="s">
        <v>431</v>
      </c>
      <c r="S5" s="88" t="s">
        <v>416</v>
      </c>
      <c r="T5" s="80" t="s">
        <v>417</v>
      </c>
      <c r="U5" s="89" t="s">
        <v>418</v>
      </c>
      <c r="V5" s="90" t="s">
        <v>419</v>
      </c>
      <c r="W5" s="80" t="s">
        <v>420</v>
      </c>
      <c r="X5" s="91" t="s">
        <v>71</v>
      </c>
      <c r="Y5" s="91" t="s">
        <v>72</v>
      </c>
      <c r="Z5" s="221" t="s">
        <v>441</v>
      </c>
      <c r="AA5" s="222" t="s">
        <v>73</v>
      </c>
      <c r="AB5" s="221" t="s">
        <v>435</v>
      </c>
      <c r="AC5" s="222" t="s">
        <v>74</v>
      </c>
      <c r="AD5" s="221" t="s">
        <v>436</v>
      </c>
      <c r="AE5" s="222" t="s">
        <v>75</v>
      </c>
      <c r="AF5" s="221" t="s">
        <v>437</v>
      </c>
      <c r="AG5" s="92" t="s">
        <v>26</v>
      </c>
      <c r="AH5" s="219" t="s">
        <v>31</v>
      </c>
      <c r="AI5" s="31" t="s">
        <v>27</v>
      </c>
      <c r="AJ5" s="220" t="s">
        <v>30</v>
      </c>
      <c r="AK5" s="31" t="s">
        <v>28</v>
      </c>
      <c r="AL5" s="220" t="s">
        <v>32</v>
      </c>
      <c r="AM5" s="31" t="s">
        <v>438</v>
      </c>
      <c r="AN5" s="220" t="s">
        <v>439</v>
      </c>
      <c r="AO5"/>
      <c r="AP5"/>
      <c r="AQ5"/>
      <c r="AR5"/>
    </row>
    <row r="6" spans="1:44" x14ac:dyDescent="0.3">
      <c r="A6" s="874" t="s">
        <v>76</v>
      </c>
      <c r="B6" s="93" t="s">
        <v>33</v>
      </c>
      <c r="C6" s="94">
        <v>300000</v>
      </c>
      <c r="D6" s="94"/>
      <c r="E6" s="95">
        <f t="shared" ref="E6:E33" si="0">C6/1000000</f>
        <v>0.3</v>
      </c>
      <c r="F6" s="96"/>
      <c r="G6" s="97">
        <v>8321.1678832116795</v>
      </c>
      <c r="H6" s="97">
        <v>308321.16788321169</v>
      </c>
      <c r="I6" s="98">
        <v>97.282219405453048</v>
      </c>
      <c r="J6" s="97">
        <v>300000</v>
      </c>
      <c r="K6" s="97">
        <v>8321.1678832116795</v>
      </c>
      <c r="L6" s="97">
        <v>308321.16788321169</v>
      </c>
      <c r="M6" s="98">
        <v>97.282219405453048</v>
      </c>
      <c r="N6" s="98"/>
      <c r="O6" s="97"/>
      <c r="P6" s="97"/>
      <c r="Q6" s="102"/>
      <c r="R6" s="98"/>
      <c r="S6" s="98"/>
      <c r="T6" s="96"/>
      <c r="U6" s="99"/>
      <c r="V6" s="93"/>
      <c r="W6" s="93"/>
      <c r="X6" s="100">
        <v>2.0806200000000001</v>
      </c>
      <c r="Y6" s="100">
        <f t="shared" ref="Y6:Y22" si="1">X6/180.156*1000</f>
        <v>11.548990874575368</v>
      </c>
      <c r="Z6" s="235"/>
      <c r="AA6" s="100">
        <v>0</v>
      </c>
      <c r="AB6" s="100"/>
      <c r="AC6" s="100">
        <v>1.77423</v>
      </c>
      <c r="AD6" s="100"/>
      <c r="AE6" s="100">
        <v>2.2425099999999998</v>
      </c>
      <c r="AF6" s="100"/>
      <c r="AG6" s="101">
        <f t="shared" ref="AG6:AG12" si="2">X6-X6</f>
        <v>0</v>
      </c>
      <c r="AH6">
        <v>43015</v>
      </c>
      <c r="AI6" s="101">
        <f t="shared" ref="AI6:AI12" si="3">AC6-AC6</f>
        <v>0</v>
      </c>
      <c r="AJ6">
        <v>0.76880000000000004</v>
      </c>
      <c r="AK6" s="101">
        <f t="shared" ref="AK6:AK12" si="4">AE6-AE6</f>
        <v>0</v>
      </c>
      <c r="AL6" s="1">
        <v>150088</v>
      </c>
      <c r="AM6" s="101">
        <f t="shared" ref="AM6:AM12" si="5">AA6-AA6</f>
        <v>0</v>
      </c>
      <c r="AN6">
        <v>0.99870000000000003</v>
      </c>
    </row>
    <row r="7" spans="1:44" x14ac:dyDescent="0.3">
      <c r="A7" s="874"/>
      <c r="B7" s="93" t="s">
        <v>34</v>
      </c>
      <c r="C7" s="102">
        <v>300000</v>
      </c>
      <c r="D7" s="94"/>
      <c r="E7" s="95">
        <f t="shared" si="0"/>
        <v>0.3</v>
      </c>
      <c r="F7" s="101"/>
      <c r="G7" s="102">
        <v>13454.198473282442</v>
      </c>
      <c r="H7" s="102">
        <v>313454.19847328245</v>
      </c>
      <c r="I7" s="96">
        <v>95.698475034575793</v>
      </c>
      <c r="J7" s="102">
        <v>300000</v>
      </c>
      <c r="K7" s="102">
        <v>13454.198473282442</v>
      </c>
      <c r="L7" s="102">
        <v>313454.19847328245</v>
      </c>
      <c r="M7" s="98">
        <v>95.698475034575793</v>
      </c>
      <c r="N7" s="98"/>
      <c r="O7" s="97"/>
      <c r="P7" s="97"/>
      <c r="Q7" s="102"/>
      <c r="R7" s="98"/>
      <c r="S7" s="98"/>
      <c r="T7" s="96"/>
      <c r="U7" s="99"/>
      <c r="V7" s="93"/>
      <c r="W7" s="93"/>
      <c r="X7" s="100">
        <v>2.1103000000000001</v>
      </c>
      <c r="Y7" s="100">
        <f t="shared" si="1"/>
        <v>11.713736983503185</v>
      </c>
      <c r="Z7" s="235"/>
      <c r="AA7" s="100">
        <v>0</v>
      </c>
      <c r="AB7" s="100"/>
      <c r="AC7" s="100">
        <v>1.9036999999999999</v>
      </c>
      <c r="AD7" s="100"/>
      <c r="AE7" s="100">
        <v>2.1474000000000002</v>
      </c>
      <c r="AF7" s="100"/>
      <c r="AG7" s="101">
        <f t="shared" si="2"/>
        <v>0</v>
      </c>
      <c r="AH7">
        <v>27128</v>
      </c>
      <c r="AI7" s="101">
        <f t="shared" si="3"/>
        <v>0</v>
      </c>
      <c r="AJ7" s="101"/>
      <c r="AK7" s="101">
        <f t="shared" si="4"/>
        <v>0</v>
      </c>
      <c r="AL7">
        <v>89116</v>
      </c>
      <c r="AM7" s="101">
        <f t="shared" si="5"/>
        <v>0</v>
      </c>
      <c r="AN7">
        <v>0.4572</v>
      </c>
    </row>
    <row r="8" spans="1:44" s="192" customFormat="1" x14ac:dyDescent="0.3">
      <c r="A8" s="874"/>
      <c r="B8" s="103" t="s">
        <v>35</v>
      </c>
      <c r="C8" s="102">
        <v>300000</v>
      </c>
      <c r="D8" s="94"/>
      <c r="E8" s="95">
        <f t="shared" si="0"/>
        <v>0.3</v>
      </c>
      <c r="F8" s="101"/>
      <c r="G8" s="102">
        <v>13454.198473282442</v>
      </c>
      <c r="H8" s="102">
        <v>313454.19847328245</v>
      </c>
      <c r="I8" s="96">
        <v>95.698475034575793</v>
      </c>
      <c r="J8" s="102">
        <v>300000</v>
      </c>
      <c r="K8" s="102">
        <v>13454.198473282442</v>
      </c>
      <c r="L8" s="102">
        <v>313454.19847328245</v>
      </c>
      <c r="M8" s="98">
        <v>95.698475034575793</v>
      </c>
      <c r="N8" s="98"/>
      <c r="O8" s="97"/>
      <c r="P8" s="97"/>
      <c r="Q8" s="102"/>
      <c r="R8" s="98"/>
      <c r="S8" s="98"/>
      <c r="T8" s="98"/>
      <c r="U8" s="99"/>
      <c r="V8" s="93"/>
      <c r="W8" s="103"/>
      <c r="X8" s="100">
        <v>2.1103000000000001</v>
      </c>
      <c r="Y8" s="100">
        <f t="shared" si="1"/>
        <v>11.713736983503185</v>
      </c>
      <c r="Z8" s="235"/>
      <c r="AA8" s="214">
        <v>0</v>
      </c>
      <c r="AB8" s="214"/>
      <c r="AC8" s="100">
        <v>1.9036999999999999</v>
      </c>
      <c r="AD8" s="100"/>
      <c r="AE8" s="100">
        <v>2.1474000000000002</v>
      </c>
      <c r="AF8" s="100"/>
      <c r="AG8" s="101">
        <f t="shared" si="2"/>
        <v>0</v>
      </c>
      <c r="AH8">
        <v>42380</v>
      </c>
      <c r="AI8" s="101">
        <f t="shared" si="3"/>
        <v>0</v>
      </c>
      <c r="AJ8">
        <v>0.74050000000000005</v>
      </c>
      <c r="AK8" s="101">
        <f t="shared" si="4"/>
        <v>0</v>
      </c>
      <c r="AL8">
        <v>114108</v>
      </c>
      <c r="AM8" s="101">
        <f t="shared" si="5"/>
        <v>0</v>
      </c>
      <c r="AN8">
        <v>0.90559999999999996</v>
      </c>
      <c r="AO8"/>
      <c r="AP8"/>
      <c r="AQ8"/>
      <c r="AR8"/>
    </row>
    <row r="9" spans="1:44" x14ac:dyDescent="0.3">
      <c r="A9" s="874"/>
      <c r="B9" s="103" t="s">
        <v>36</v>
      </c>
      <c r="C9" s="97">
        <v>300000</v>
      </c>
      <c r="D9" s="94"/>
      <c r="E9" s="95">
        <f t="shared" si="0"/>
        <v>0.3</v>
      </c>
      <c r="F9" s="97"/>
      <c r="G9" s="97">
        <v>7160.8040201005024</v>
      </c>
      <c r="H9" s="97">
        <v>307160.80402010051</v>
      </c>
      <c r="I9" s="98">
        <v>97.72023324413243</v>
      </c>
      <c r="J9" s="97">
        <v>300000</v>
      </c>
      <c r="K9" s="97">
        <v>7160.8040201005024</v>
      </c>
      <c r="L9" s="97">
        <v>307160.80402010051</v>
      </c>
      <c r="M9" s="98">
        <v>97.72023324413243</v>
      </c>
      <c r="N9" s="98"/>
      <c r="O9" s="97"/>
      <c r="P9" s="97"/>
      <c r="Q9" s="102"/>
      <c r="R9" s="98"/>
      <c r="S9" s="98"/>
      <c r="T9" s="98"/>
      <c r="U9" s="99"/>
      <c r="V9" s="93"/>
      <c r="W9" s="103"/>
      <c r="X9" s="100">
        <v>2.0882700000000001</v>
      </c>
      <c r="Y9" s="100">
        <f t="shared" si="1"/>
        <v>11.591454073136614</v>
      </c>
      <c r="Z9" s="235"/>
      <c r="AA9" s="214">
        <v>0</v>
      </c>
      <c r="AB9" s="214"/>
      <c r="AC9" s="100">
        <v>1.8364100000000001</v>
      </c>
      <c r="AD9" s="100"/>
      <c r="AE9" s="100">
        <v>1.9884200000000001</v>
      </c>
      <c r="AF9" s="100"/>
      <c r="AG9" s="101">
        <f t="shared" si="2"/>
        <v>0</v>
      </c>
      <c r="AH9">
        <v>43838</v>
      </c>
      <c r="AI9" s="101">
        <f t="shared" si="3"/>
        <v>0</v>
      </c>
      <c r="AJ9">
        <v>0.87309999999999999</v>
      </c>
      <c r="AK9" s="101">
        <f t="shared" si="4"/>
        <v>0</v>
      </c>
      <c r="AL9">
        <v>185419</v>
      </c>
      <c r="AM9" s="101">
        <f t="shared" si="5"/>
        <v>0</v>
      </c>
      <c r="AN9">
        <v>0.95509999999999995</v>
      </c>
    </row>
    <row r="10" spans="1:44" x14ac:dyDescent="0.3">
      <c r="A10" s="874"/>
      <c r="B10" s="103" t="s">
        <v>37</v>
      </c>
      <c r="C10" s="97">
        <v>300000</v>
      </c>
      <c r="D10" s="94"/>
      <c r="E10" s="95">
        <f t="shared" si="0"/>
        <v>0.3</v>
      </c>
      <c r="F10" s="97"/>
      <c r="G10" s="97">
        <v>7160.8040201005024</v>
      </c>
      <c r="H10" s="97">
        <v>307160.80402010051</v>
      </c>
      <c r="I10" s="98">
        <v>97.72023324413243</v>
      </c>
      <c r="J10" s="97">
        <v>300000</v>
      </c>
      <c r="K10" s="97">
        <v>7160.8040201005024</v>
      </c>
      <c r="L10" s="97">
        <v>307160.80402010051</v>
      </c>
      <c r="M10" s="98">
        <v>97.72023324413243</v>
      </c>
      <c r="N10" s="98"/>
      <c r="O10" s="97"/>
      <c r="P10" s="97"/>
      <c r="Q10" s="102"/>
      <c r="R10" s="98"/>
      <c r="S10" s="98"/>
      <c r="T10" s="98"/>
      <c r="U10" s="105"/>
      <c r="V10" s="93"/>
      <c r="W10" s="103"/>
      <c r="X10" s="100">
        <v>2.0882700000000001</v>
      </c>
      <c r="Y10" s="100">
        <f t="shared" si="1"/>
        <v>11.591454073136614</v>
      </c>
      <c r="Z10" s="235"/>
      <c r="AA10" s="214">
        <v>0</v>
      </c>
      <c r="AB10" s="214"/>
      <c r="AC10" s="100">
        <v>1.8364100000000001</v>
      </c>
      <c r="AD10" s="100"/>
      <c r="AE10" s="100">
        <v>1.9884200000000001</v>
      </c>
      <c r="AF10" s="100"/>
      <c r="AG10" s="101">
        <f t="shared" si="2"/>
        <v>0</v>
      </c>
      <c r="AH10">
        <v>25731</v>
      </c>
      <c r="AI10" s="101">
        <f t="shared" si="3"/>
        <v>0</v>
      </c>
      <c r="AJ10">
        <v>0.87549999999999994</v>
      </c>
      <c r="AK10" s="101">
        <f t="shared" si="4"/>
        <v>0</v>
      </c>
      <c r="AL10">
        <v>206919</v>
      </c>
      <c r="AM10" s="101">
        <f t="shared" si="5"/>
        <v>0</v>
      </c>
      <c r="AN10">
        <v>1.0722</v>
      </c>
    </row>
    <row r="11" spans="1:44" x14ac:dyDescent="0.3">
      <c r="A11" s="874"/>
      <c r="B11" s="103" t="s">
        <v>38</v>
      </c>
      <c r="C11" s="97">
        <v>300000</v>
      </c>
      <c r="D11" s="94"/>
      <c r="E11" s="95">
        <f t="shared" si="0"/>
        <v>0.3</v>
      </c>
      <c r="F11" s="97"/>
      <c r="G11" s="97">
        <v>14906.832298136647</v>
      </c>
      <c r="H11" s="97">
        <v>314906.83229813667</v>
      </c>
      <c r="I11" s="98">
        <v>95.275457220681929</v>
      </c>
      <c r="J11" s="97">
        <v>300000</v>
      </c>
      <c r="K11" s="97">
        <v>14906.832298136647</v>
      </c>
      <c r="L11" s="97">
        <v>314906.83229813667</v>
      </c>
      <c r="M11" s="98">
        <v>95.275457220681929</v>
      </c>
      <c r="N11" s="98"/>
      <c r="O11" s="97"/>
      <c r="P11" s="97"/>
      <c r="Q11" s="102"/>
      <c r="R11" s="98"/>
      <c r="S11" s="98"/>
      <c r="T11" s="98"/>
      <c r="U11" s="105"/>
      <c r="V11" s="103"/>
      <c r="W11" s="103"/>
      <c r="X11" s="214">
        <v>2.03457</v>
      </c>
      <c r="Y11" s="100">
        <f t="shared" si="1"/>
        <v>11.29337907147139</v>
      </c>
      <c r="Z11" s="235"/>
      <c r="AA11" s="214">
        <v>0</v>
      </c>
      <c r="AB11" s="214"/>
      <c r="AC11" s="214">
        <v>1.8769800000000001</v>
      </c>
      <c r="AD11" s="214"/>
      <c r="AE11" s="214">
        <v>2.2043699999999999</v>
      </c>
      <c r="AF11" s="214"/>
      <c r="AG11" s="101">
        <f t="shared" si="2"/>
        <v>0</v>
      </c>
      <c r="AH11">
        <v>26252</v>
      </c>
      <c r="AI11" s="101">
        <f t="shared" si="3"/>
        <v>0</v>
      </c>
      <c r="AJ11">
        <v>0.93689999999999996</v>
      </c>
      <c r="AK11" s="101">
        <f t="shared" si="4"/>
        <v>0</v>
      </c>
      <c r="AL11">
        <v>131093</v>
      </c>
      <c r="AM11" s="101">
        <f t="shared" si="5"/>
        <v>0</v>
      </c>
      <c r="AN11">
        <v>0.88100000000000001</v>
      </c>
    </row>
    <row r="12" spans="1:44" x14ac:dyDescent="0.3">
      <c r="A12" s="874"/>
      <c r="B12" s="103" t="s">
        <v>39</v>
      </c>
      <c r="C12" s="97">
        <v>300000</v>
      </c>
      <c r="D12" s="94"/>
      <c r="E12" s="95">
        <f t="shared" si="0"/>
        <v>0.3</v>
      </c>
      <c r="F12" s="97"/>
      <c r="G12" s="97">
        <v>14906.832298136647</v>
      </c>
      <c r="H12" s="97">
        <v>314906.83229813667</v>
      </c>
      <c r="I12" s="98">
        <v>95.275457220681929</v>
      </c>
      <c r="J12" s="97">
        <v>300000</v>
      </c>
      <c r="K12" s="97">
        <v>14906.832298136647</v>
      </c>
      <c r="L12" s="97">
        <v>314906.83229813667</v>
      </c>
      <c r="M12" s="98">
        <v>95.275457220681929</v>
      </c>
      <c r="N12" s="98"/>
      <c r="O12" s="97"/>
      <c r="P12" s="97"/>
      <c r="Q12" s="102"/>
      <c r="R12" s="98"/>
      <c r="S12" s="98"/>
      <c r="T12" s="98"/>
      <c r="U12" s="105"/>
      <c r="V12" s="103"/>
      <c r="W12" s="103"/>
      <c r="X12" s="214">
        <v>2.03457</v>
      </c>
      <c r="Y12" s="100">
        <f t="shared" si="1"/>
        <v>11.29337907147139</v>
      </c>
      <c r="Z12" s="235"/>
      <c r="AA12" s="214">
        <v>0</v>
      </c>
      <c r="AB12" s="214"/>
      <c r="AC12" s="214">
        <v>1.8769800000000001</v>
      </c>
      <c r="AD12" s="214"/>
      <c r="AE12" s="214">
        <v>2.2043699999999999</v>
      </c>
      <c r="AF12" s="214"/>
      <c r="AG12" s="101">
        <f t="shared" si="2"/>
        <v>0</v>
      </c>
      <c r="AH12">
        <v>16749</v>
      </c>
      <c r="AI12" s="101">
        <f t="shared" si="3"/>
        <v>0</v>
      </c>
      <c r="AJ12">
        <v>1.0341</v>
      </c>
      <c r="AK12" s="101">
        <f t="shared" si="4"/>
        <v>0</v>
      </c>
      <c r="AL12">
        <v>96916</v>
      </c>
      <c r="AM12" s="101">
        <f t="shared" si="5"/>
        <v>0</v>
      </c>
      <c r="AN12">
        <v>0.87209999999999999</v>
      </c>
    </row>
    <row r="13" spans="1:44" x14ac:dyDescent="0.3">
      <c r="A13" s="935" t="s">
        <v>77</v>
      </c>
      <c r="B13" s="106" t="s">
        <v>33</v>
      </c>
      <c r="C13" s="107">
        <v>406222.22222222225</v>
      </c>
      <c r="D13" s="223">
        <f>C13-300000</f>
        <v>106222.22222222225</v>
      </c>
      <c r="E13" s="224">
        <f t="shared" si="0"/>
        <v>0.40622222222222226</v>
      </c>
      <c r="F13" s="108">
        <f t="shared" ref="F13:F33" si="6">LN(C13/300000)</f>
        <v>0.30311788058162026</v>
      </c>
      <c r="G13" s="107">
        <v>8888.8888888888887</v>
      </c>
      <c r="H13" s="107">
        <v>415111.11111111112</v>
      </c>
      <c r="I13" s="108">
        <v>97.858672376873656</v>
      </c>
      <c r="J13" s="107">
        <v>8000</v>
      </c>
      <c r="K13" s="107">
        <v>2000</v>
      </c>
      <c r="L13" s="109">
        <v>10000</v>
      </c>
      <c r="M13" s="108">
        <v>80</v>
      </c>
      <c r="N13" s="127" t="s">
        <v>79</v>
      </c>
      <c r="O13" s="127" t="s">
        <v>79</v>
      </c>
      <c r="P13" s="127" t="s">
        <v>79</v>
      </c>
      <c r="Q13" s="127" t="s">
        <v>79</v>
      </c>
      <c r="R13" s="108">
        <f t="shared" ref="R13:R33" si="7">L13/H13*100</f>
        <v>2.4089935760171306</v>
      </c>
      <c r="S13" s="108">
        <f t="shared" ref="S13:S33" si="8">100-R13</f>
        <v>97.591006423982876</v>
      </c>
      <c r="T13" s="108">
        <v>1280</v>
      </c>
      <c r="U13" s="110">
        <v>153.15919701213818</v>
      </c>
      <c r="V13" s="107">
        <f t="shared" ref="V13:V33" si="9">H13-L13</f>
        <v>405111.11111111112</v>
      </c>
      <c r="W13" s="107">
        <f t="shared" ref="W13:W33" si="10">V13/T13</f>
        <v>316.49305555555554</v>
      </c>
      <c r="X13" s="115">
        <v>1.6974899999999999</v>
      </c>
      <c r="Y13" s="115">
        <f t="shared" si="1"/>
        <v>9.4223339772197416</v>
      </c>
      <c r="Z13" s="143">
        <f>((Y6-Y13)/$C13)/24*1000000</f>
        <v>0.21813357125502189</v>
      </c>
      <c r="AA13" s="115">
        <v>0.15603</v>
      </c>
      <c r="AB13" s="143">
        <f t="shared" ref="AB13:AB33" si="11">((AA13-AA6)/$C13)/24*1000000</f>
        <v>1.6004171225382932E-2</v>
      </c>
      <c r="AC13" s="115">
        <v>5.2499000000000002</v>
      </c>
      <c r="AD13" s="143">
        <f t="shared" ref="AD13:AD33" si="12">((AC13-AC6)/$C13)/24*1000000</f>
        <v>0.35650335065645511</v>
      </c>
      <c r="AE13" s="144">
        <v>2.1971799999999999</v>
      </c>
      <c r="AF13" s="231">
        <f t="shared" ref="AF13:AF33" si="13">((AE6-AE13)/$C13)/24*1000000</f>
        <v>4.6495486870897018E-3</v>
      </c>
      <c r="AG13" s="112">
        <f t="shared" ref="AG13:AG19" si="14">Y6-Y13</f>
        <v>2.1266568973556268</v>
      </c>
      <c r="AH13" s="112"/>
      <c r="AI13" s="112">
        <f t="shared" ref="AI13:AI19" si="15">AC13-AC6</f>
        <v>3.47567</v>
      </c>
      <c r="AJ13" s="112"/>
      <c r="AK13" s="112">
        <f t="shared" ref="AK13:AK19" si="16">AE6-AE13</f>
        <v>4.532999999999987E-2</v>
      </c>
      <c r="AL13" s="112"/>
      <c r="AM13" s="112">
        <f t="shared" ref="AM13:AM33" si="17">AA13-0</f>
        <v>0.15603</v>
      </c>
      <c r="AN13" s="112"/>
    </row>
    <row r="14" spans="1:44" x14ac:dyDescent="0.3">
      <c r="A14" s="935"/>
      <c r="B14" s="106" t="s">
        <v>34</v>
      </c>
      <c r="C14" s="107">
        <v>296000</v>
      </c>
      <c r="D14" s="223">
        <v>0</v>
      </c>
      <c r="E14" s="224">
        <f t="shared" si="0"/>
        <v>0.29599999999999999</v>
      </c>
      <c r="F14" s="108">
        <f t="shared" si="6"/>
        <v>-1.3423020332140661E-2</v>
      </c>
      <c r="G14" s="107">
        <v>12000</v>
      </c>
      <c r="H14" s="107">
        <v>308000</v>
      </c>
      <c r="I14" s="108">
        <v>96.103896103896105</v>
      </c>
      <c r="J14" s="113">
        <v>28000.000000000004</v>
      </c>
      <c r="K14" s="113">
        <v>2000</v>
      </c>
      <c r="L14" s="107">
        <v>30000</v>
      </c>
      <c r="M14" s="108">
        <v>93.333333333333329</v>
      </c>
      <c r="N14" s="108">
        <v>10.435897435897434</v>
      </c>
      <c r="O14" s="108">
        <f t="shared" ref="O14:O33" si="18">N14/H14*1000000</f>
        <v>33.882783882783876</v>
      </c>
      <c r="P14" s="108">
        <f t="shared" ref="P14:P33" si="19">(N14-2.857)/0.0006783</f>
        <v>11173.370832813556</v>
      </c>
      <c r="Q14" s="96">
        <f>C14/(C14+P14)*100</f>
        <v>96.362519705884623</v>
      </c>
      <c r="R14" s="108">
        <f t="shared" si="7"/>
        <v>9.7402597402597415</v>
      </c>
      <c r="S14" s="108">
        <f t="shared" si="8"/>
        <v>90.259740259740255</v>
      </c>
      <c r="T14" s="108">
        <v>2373.3333333333335</v>
      </c>
      <c r="U14" s="110">
        <v>143.75207373271888</v>
      </c>
      <c r="V14" s="107">
        <f t="shared" si="9"/>
        <v>278000</v>
      </c>
      <c r="W14" s="106">
        <f t="shared" si="10"/>
        <v>117.13483146067415</v>
      </c>
      <c r="X14" s="111">
        <v>1.64836</v>
      </c>
      <c r="Y14" s="115">
        <f t="shared" si="1"/>
        <v>9.1496258797930672</v>
      </c>
      <c r="Z14" s="143">
        <f t="shared" ref="Z14:Z22" si="20">((Y7-Y14)/$C14)/24*1000000</f>
        <v>0.36093906302225764</v>
      </c>
      <c r="AA14" s="115">
        <v>0.10922999999999999</v>
      </c>
      <c r="AB14" s="143">
        <f t="shared" si="11"/>
        <v>1.5375844594594595E-2</v>
      </c>
      <c r="AC14" s="115">
        <v>4.7056800000000001</v>
      </c>
      <c r="AD14" s="143">
        <f t="shared" si="12"/>
        <v>0.39442286036036039</v>
      </c>
      <c r="AE14" s="115">
        <v>1.7303900000000001</v>
      </c>
      <c r="AF14" s="231">
        <f t="shared" si="13"/>
        <v>5.8700731981981995E-2</v>
      </c>
      <c r="AG14" s="112">
        <f t="shared" si="14"/>
        <v>2.5641111037101183</v>
      </c>
      <c r="AH14" s="112"/>
      <c r="AI14" s="112">
        <f t="shared" si="15"/>
        <v>2.8019800000000004</v>
      </c>
      <c r="AJ14" s="112"/>
      <c r="AK14" s="112">
        <f t="shared" si="16"/>
        <v>0.4170100000000001</v>
      </c>
      <c r="AL14" s="112"/>
      <c r="AM14" s="112">
        <f t="shared" si="17"/>
        <v>0.10922999999999999</v>
      </c>
      <c r="AN14" s="112"/>
    </row>
    <row r="15" spans="1:44" x14ac:dyDescent="0.3">
      <c r="A15" s="935"/>
      <c r="B15" s="106" t="s">
        <v>35</v>
      </c>
      <c r="C15" s="107">
        <v>330666.66666666663</v>
      </c>
      <c r="D15" s="223">
        <f t="shared" ref="D15:D33" si="21">C15-300000</f>
        <v>30666.666666666628</v>
      </c>
      <c r="E15" s="224">
        <f t="shared" si="0"/>
        <v>0.33066666666666661</v>
      </c>
      <c r="F15" s="108">
        <f t="shared" si="6"/>
        <v>9.7328343960561836E-2</v>
      </c>
      <c r="G15" s="107">
        <v>4000</v>
      </c>
      <c r="H15" s="107">
        <v>334666.66666666663</v>
      </c>
      <c r="I15" s="108">
        <v>98.804780876494021</v>
      </c>
      <c r="J15" s="113">
        <v>28000.000000000004</v>
      </c>
      <c r="K15" s="113">
        <v>2000</v>
      </c>
      <c r="L15" s="107">
        <v>30000</v>
      </c>
      <c r="M15" s="108">
        <v>93.333333333333329</v>
      </c>
      <c r="N15" s="108">
        <v>18.288461538461537</v>
      </c>
      <c r="O15" s="108">
        <f t="shared" si="18"/>
        <v>54.646797425681889</v>
      </c>
      <c r="P15" s="108">
        <f t="shared" si="19"/>
        <v>22750.201295092935</v>
      </c>
      <c r="Q15" s="96">
        <f t="shared" ref="Q15:Q33" si="22">C15/(C15+P15)*100</f>
        <v>93.562785662637211</v>
      </c>
      <c r="R15" s="108">
        <f t="shared" si="7"/>
        <v>8.9641434262948216</v>
      </c>
      <c r="S15" s="108">
        <f t="shared" si="8"/>
        <v>91.035856573705175</v>
      </c>
      <c r="T15" s="108">
        <v>2233.3333333333335</v>
      </c>
      <c r="U15" s="110">
        <v>155.05576487005058</v>
      </c>
      <c r="V15" s="107">
        <f t="shared" si="9"/>
        <v>304666.66666666663</v>
      </c>
      <c r="W15" s="106">
        <f t="shared" si="10"/>
        <v>136.41791044776116</v>
      </c>
      <c r="X15" s="111">
        <v>1.8152200000000001</v>
      </c>
      <c r="Y15" s="115">
        <f t="shared" si="1"/>
        <v>10.075823175470148</v>
      </c>
      <c r="Z15" s="143">
        <f t="shared" si="20"/>
        <v>0.20639034879448553</v>
      </c>
      <c r="AA15" s="115">
        <v>0.1326</v>
      </c>
      <c r="AB15" s="143">
        <f t="shared" si="11"/>
        <v>1.6708669354838713E-2</v>
      </c>
      <c r="AC15" s="115">
        <v>5.24376</v>
      </c>
      <c r="AD15" s="143">
        <f t="shared" si="12"/>
        <v>0.42087449596774207</v>
      </c>
      <c r="AE15" s="115">
        <v>1.9749699999999999</v>
      </c>
      <c r="AF15" s="231">
        <f t="shared" si="13"/>
        <v>2.1727570564516168E-2</v>
      </c>
      <c r="AG15" s="112">
        <f t="shared" si="14"/>
        <v>1.6379138080330371</v>
      </c>
      <c r="AH15" s="112"/>
      <c r="AI15" s="112">
        <f t="shared" si="15"/>
        <v>3.3400600000000003</v>
      </c>
      <c r="AJ15" s="112"/>
      <c r="AK15" s="112">
        <f t="shared" si="16"/>
        <v>0.17243000000000031</v>
      </c>
      <c r="AL15" s="112"/>
      <c r="AM15" s="112">
        <f t="shared" si="17"/>
        <v>0.1326</v>
      </c>
      <c r="AN15" s="112"/>
    </row>
    <row r="16" spans="1:44" x14ac:dyDescent="0.3">
      <c r="A16" s="935"/>
      <c r="B16" s="106" t="s">
        <v>36</v>
      </c>
      <c r="C16" s="107">
        <v>338666.66666666663</v>
      </c>
      <c r="D16" s="223">
        <f t="shared" si="21"/>
        <v>38666.666666666628</v>
      </c>
      <c r="E16" s="224">
        <f t="shared" si="0"/>
        <v>0.33866666666666662</v>
      </c>
      <c r="F16" s="108">
        <f t="shared" si="6"/>
        <v>0.1212338648141164</v>
      </c>
      <c r="G16" s="107">
        <v>42666.666666666664</v>
      </c>
      <c r="H16" s="107">
        <v>381333.33333333331</v>
      </c>
      <c r="I16" s="108">
        <v>88.811188811188813</v>
      </c>
      <c r="J16" s="107">
        <v>22000</v>
      </c>
      <c r="K16" s="107">
        <v>0</v>
      </c>
      <c r="L16" s="107">
        <v>22000</v>
      </c>
      <c r="M16" s="108">
        <v>100</v>
      </c>
      <c r="N16" s="108">
        <v>3.3742802303262973</v>
      </c>
      <c r="O16" s="108">
        <f t="shared" si="18"/>
        <v>8.8486369676388925</v>
      </c>
      <c r="P16" s="108">
        <f t="shared" si="19"/>
        <v>762.61275295046016</v>
      </c>
      <c r="Q16" s="96">
        <f t="shared" si="22"/>
        <v>99.775324994280268</v>
      </c>
      <c r="R16" s="108">
        <f t="shared" si="7"/>
        <v>5.7692307692307692</v>
      </c>
      <c r="S16" s="108">
        <f t="shared" si="8"/>
        <v>94.230769230769226</v>
      </c>
      <c r="T16" s="108">
        <v>3075</v>
      </c>
      <c r="U16" s="110">
        <v>134.10515873015871</v>
      </c>
      <c r="V16" s="107">
        <f t="shared" si="9"/>
        <v>359333.33333333331</v>
      </c>
      <c r="W16" s="106">
        <f t="shared" si="10"/>
        <v>116.85636856368563</v>
      </c>
      <c r="X16" s="111">
        <v>1.6471199999999999</v>
      </c>
      <c r="Y16" s="115">
        <f t="shared" si="1"/>
        <v>9.1427429561047084</v>
      </c>
      <c r="Z16" s="143">
        <f t="shared" si="20"/>
        <v>0.30126859215451596</v>
      </c>
      <c r="AA16" s="115">
        <v>0.15417</v>
      </c>
      <c r="AB16" s="143">
        <f t="shared" si="11"/>
        <v>1.8967765748031499E-2</v>
      </c>
      <c r="AC16" s="115">
        <v>5.3688399999999996</v>
      </c>
      <c r="AD16" s="143">
        <f t="shared" si="12"/>
        <v>0.43460014763779531</v>
      </c>
      <c r="AE16" s="115">
        <v>1.89015</v>
      </c>
      <c r="AF16" s="231">
        <f t="shared" si="13"/>
        <v>1.2090305118110246E-2</v>
      </c>
      <c r="AG16" s="112">
        <f t="shared" si="14"/>
        <v>2.4487111170319054</v>
      </c>
      <c r="AH16" s="112"/>
      <c r="AI16" s="112">
        <f>AC16-AC9</f>
        <v>3.5324299999999997</v>
      </c>
      <c r="AJ16" s="112"/>
      <c r="AK16" s="112">
        <f t="shared" si="16"/>
        <v>9.827000000000008E-2</v>
      </c>
      <c r="AL16" s="112"/>
      <c r="AM16" s="112">
        <f t="shared" si="17"/>
        <v>0.15417</v>
      </c>
      <c r="AN16" s="112"/>
    </row>
    <row r="17" spans="1:40" x14ac:dyDescent="0.3">
      <c r="A17" s="935"/>
      <c r="B17" s="106" t="s">
        <v>37</v>
      </c>
      <c r="C17" s="107">
        <v>450666.66666666663</v>
      </c>
      <c r="D17" s="223">
        <f t="shared" si="21"/>
        <v>150666.66666666663</v>
      </c>
      <c r="E17" s="224">
        <f t="shared" si="0"/>
        <v>0.4506666666666666</v>
      </c>
      <c r="F17" s="108">
        <f t="shared" si="6"/>
        <v>0.40694549327859858</v>
      </c>
      <c r="G17" s="107">
        <v>34666.666666666664</v>
      </c>
      <c r="H17" s="107">
        <v>485333.33333333331</v>
      </c>
      <c r="I17" s="108">
        <v>92.857142857142861</v>
      </c>
      <c r="J17" s="107">
        <v>28000.000000000004</v>
      </c>
      <c r="K17" s="107">
        <v>4000</v>
      </c>
      <c r="L17" s="107">
        <v>32000</v>
      </c>
      <c r="M17" s="108">
        <v>87.5</v>
      </c>
      <c r="N17" s="108">
        <v>3.2879078694817707</v>
      </c>
      <c r="O17" s="108">
        <f t="shared" si="18"/>
        <v>6.774535445360792</v>
      </c>
      <c r="P17" s="108">
        <f t="shared" si="19"/>
        <v>635.27623394039585</v>
      </c>
      <c r="Q17" s="96">
        <f t="shared" si="22"/>
        <v>99.859234766449859</v>
      </c>
      <c r="R17" s="108">
        <f t="shared" si="7"/>
        <v>6.593406593406594</v>
      </c>
      <c r="S17" s="108">
        <f t="shared" si="8"/>
        <v>93.406593406593402</v>
      </c>
      <c r="T17" s="108">
        <v>2300</v>
      </c>
      <c r="U17" s="110">
        <v>141.29125138427466</v>
      </c>
      <c r="V17" s="107">
        <f t="shared" si="9"/>
        <v>453333.33333333331</v>
      </c>
      <c r="W17" s="106">
        <f t="shared" si="10"/>
        <v>197.10144927536231</v>
      </c>
      <c r="X17" s="111">
        <v>1.6741699999999999</v>
      </c>
      <c r="Y17" s="115">
        <f t="shared" si="1"/>
        <v>9.2928906059193146</v>
      </c>
      <c r="Z17" s="143">
        <f t="shared" si="20"/>
        <v>0.21251511346313787</v>
      </c>
      <c r="AA17" s="115">
        <v>0.16195999999999999</v>
      </c>
      <c r="AB17" s="143">
        <f t="shared" si="11"/>
        <v>1.4974112426035502E-2</v>
      </c>
      <c r="AC17" s="115">
        <v>5.4719300000000004</v>
      </c>
      <c r="AD17" s="143">
        <f t="shared" si="12"/>
        <v>0.33612426035502962</v>
      </c>
      <c r="AE17" s="115">
        <v>1.85825</v>
      </c>
      <c r="AF17" s="231">
        <f t="shared" si="13"/>
        <v>1.2034948224852082E-2</v>
      </c>
      <c r="AG17" s="112">
        <f t="shared" si="14"/>
        <v>2.2985634672172992</v>
      </c>
      <c r="AH17" s="112"/>
      <c r="AI17" s="112">
        <f t="shared" si="15"/>
        <v>3.6355200000000005</v>
      </c>
      <c r="AJ17" s="112"/>
      <c r="AK17" s="112">
        <f t="shared" si="16"/>
        <v>0.13017000000000012</v>
      </c>
      <c r="AL17" s="112"/>
      <c r="AM17" s="112">
        <f t="shared" si="17"/>
        <v>0.16195999999999999</v>
      </c>
      <c r="AN17" s="112"/>
    </row>
    <row r="18" spans="1:40" x14ac:dyDescent="0.3">
      <c r="A18" s="935"/>
      <c r="B18" s="106" t="s">
        <v>38</v>
      </c>
      <c r="C18" s="113">
        <v>392000</v>
      </c>
      <c r="D18" s="223">
        <f t="shared" si="21"/>
        <v>92000</v>
      </c>
      <c r="E18" s="224">
        <f t="shared" si="0"/>
        <v>0.39200000000000002</v>
      </c>
      <c r="F18" s="108">
        <f t="shared" si="6"/>
        <v>0.26747936513426146</v>
      </c>
      <c r="G18" s="113">
        <v>6666.6666666666661</v>
      </c>
      <c r="H18" s="113">
        <v>398666.66666666663</v>
      </c>
      <c r="I18" s="114">
        <v>98.327759197324411</v>
      </c>
      <c r="J18" s="113">
        <v>12000</v>
      </c>
      <c r="K18" s="113">
        <v>4000</v>
      </c>
      <c r="L18" s="113">
        <v>16000</v>
      </c>
      <c r="M18" s="108">
        <v>75</v>
      </c>
      <c r="N18" s="108">
        <v>7.8473804100227893</v>
      </c>
      <c r="O18" s="108">
        <f t="shared" si="18"/>
        <v>19.684064573635762</v>
      </c>
      <c r="P18" s="108">
        <f t="shared" si="19"/>
        <v>7357.1876898463652</v>
      </c>
      <c r="Q18" s="96">
        <f t="shared" si="22"/>
        <v>98.157742513060711</v>
      </c>
      <c r="R18" s="108">
        <f t="shared" si="7"/>
        <v>4.0133779264214047</v>
      </c>
      <c r="S18" s="108">
        <f t="shared" si="8"/>
        <v>95.986622073578602</v>
      </c>
      <c r="T18" s="114">
        <v>2308.333333333333</v>
      </c>
      <c r="U18" s="110">
        <v>164.81080765639592</v>
      </c>
      <c r="V18" s="107">
        <f t="shared" si="9"/>
        <v>382666.66666666663</v>
      </c>
      <c r="W18" s="106">
        <f t="shared" si="10"/>
        <v>165.77617328519855</v>
      </c>
      <c r="X18" s="115">
        <v>1.66025</v>
      </c>
      <c r="Y18" s="115">
        <f t="shared" si="1"/>
        <v>9.2156242367725749</v>
      </c>
      <c r="Z18" s="143">
        <f t="shared" si="20"/>
        <v>0.22084979110319039</v>
      </c>
      <c r="AA18" s="115">
        <v>0.26630999999999999</v>
      </c>
      <c r="AB18" s="143">
        <f t="shared" si="11"/>
        <v>2.8306760204081634E-2</v>
      </c>
      <c r="AC18" s="115">
        <v>5.8484100000000003</v>
      </c>
      <c r="AD18" s="143">
        <f t="shared" si="12"/>
        <v>0.4221332908163265</v>
      </c>
      <c r="AE18" s="115">
        <v>1.8782799999999999</v>
      </c>
      <c r="AF18" s="231">
        <f t="shared" si="13"/>
        <v>3.4660926870748301E-2</v>
      </c>
      <c r="AG18" s="112">
        <f t="shared" si="14"/>
        <v>2.0777548346988155</v>
      </c>
      <c r="AH18" s="112"/>
      <c r="AI18" s="112">
        <f t="shared" si="15"/>
        <v>3.9714300000000002</v>
      </c>
      <c r="AJ18" s="112"/>
      <c r="AK18" s="112">
        <f t="shared" si="16"/>
        <v>0.32608999999999999</v>
      </c>
      <c r="AL18" s="112"/>
      <c r="AM18" s="112">
        <f t="shared" si="17"/>
        <v>0.26630999999999999</v>
      </c>
      <c r="AN18" s="112"/>
    </row>
    <row r="19" spans="1:40" x14ac:dyDescent="0.3">
      <c r="A19" s="935"/>
      <c r="B19" s="106" t="s">
        <v>39</v>
      </c>
      <c r="C19" s="113">
        <v>426666.66666666663</v>
      </c>
      <c r="D19" s="223">
        <f t="shared" si="21"/>
        <v>126666.66666666663</v>
      </c>
      <c r="E19" s="224">
        <f t="shared" si="0"/>
        <v>0.42666666666666664</v>
      </c>
      <c r="F19" s="108">
        <f t="shared" si="6"/>
        <v>0.35222059358935198</v>
      </c>
      <c r="G19" s="113">
        <v>5333.333333333333</v>
      </c>
      <c r="H19" s="113">
        <v>432000</v>
      </c>
      <c r="I19" s="114">
        <v>98.76543209876543</v>
      </c>
      <c r="J19" s="113">
        <v>20000</v>
      </c>
      <c r="K19" s="113">
        <v>8000</v>
      </c>
      <c r="L19" s="113">
        <v>28000.000000000004</v>
      </c>
      <c r="M19" s="108">
        <v>71.428571428571431</v>
      </c>
      <c r="N19" s="108">
        <v>11.469248291571759</v>
      </c>
      <c r="O19" s="108">
        <f t="shared" si="18"/>
        <v>26.549185860119813</v>
      </c>
      <c r="P19" s="108">
        <f t="shared" si="19"/>
        <v>12696.813049641398</v>
      </c>
      <c r="Q19" s="96">
        <f t="shared" si="22"/>
        <v>97.110180150193742</v>
      </c>
      <c r="R19" s="108">
        <f t="shared" si="7"/>
        <v>6.4814814814814827</v>
      </c>
      <c r="S19" s="108">
        <f t="shared" si="8"/>
        <v>93.518518518518519</v>
      </c>
      <c r="T19" s="114">
        <v>1700</v>
      </c>
      <c r="U19" s="110">
        <v>153.2435725463894</v>
      </c>
      <c r="V19" s="107">
        <f t="shared" si="9"/>
        <v>404000</v>
      </c>
      <c r="W19" s="106">
        <f t="shared" si="10"/>
        <v>237.64705882352942</v>
      </c>
      <c r="X19" s="115">
        <v>1.6569</v>
      </c>
      <c r="Y19" s="115">
        <f t="shared" si="1"/>
        <v>9.1970292413241861</v>
      </c>
      <c r="Z19" s="143">
        <f t="shared" si="20"/>
        <v>0.20472166310031298</v>
      </c>
      <c r="AA19" s="115">
        <v>0.25442999999999999</v>
      </c>
      <c r="AB19" s="143">
        <f t="shared" si="11"/>
        <v>2.4846679687500005E-2</v>
      </c>
      <c r="AC19" s="115">
        <v>5.9968199999999996</v>
      </c>
      <c r="AD19" s="143">
        <f t="shared" si="12"/>
        <v>0.40232812499999998</v>
      </c>
      <c r="AE19" s="115">
        <v>1.8516699999999999</v>
      </c>
      <c r="AF19" s="231">
        <f t="shared" si="13"/>
        <v>3.4443359375000003E-2</v>
      </c>
      <c r="AG19" s="112">
        <f t="shared" si="14"/>
        <v>2.0963498301472043</v>
      </c>
      <c r="AH19" s="112"/>
      <c r="AI19" s="112">
        <f t="shared" si="15"/>
        <v>4.1198399999999999</v>
      </c>
      <c r="AJ19" s="112"/>
      <c r="AK19" s="112">
        <f t="shared" si="16"/>
        <v>0.35270000000000001</v>
      </c>
      <c r="AL19" s="112"/>
      <c r="AM19" s="112">
        <f t="shared" si="17"/>
        <v>0.25442999999999999</v>
      </c>
      <c r="AN19" s="112"/>
    </row>
    <row r="20" spans="1:40" x14ac:dyDescent="0.3">
      <c r="A20" s="936" t="s">
        <v>78</v>
      </c>
      <c r="B20" s="116" t="s">
        <v>33</v>
      </c>
      <c r="C20" s="117">
        <v>435466.66666666669</v>
      </c>
      <c r="D20" s="225">
        <f t="shared" si="21"/>
        <v>135466.66666666669</v>
      </c>
      <c r="E20" s="226">
        <f t="shared" si="0"/>
        <v>0.43546666666666667</v>
      </c>
      <c r="F20" s="118">
        <f t="shared" si="6"/>
        <v>0.37263577833194472</v>
      </c>
      <c r="G20" s="117">
        <v>45333.333333333328</v>
      </c>
      <c r="H20" s="117">
        <v>480800</v>
      </c>
      <c r="I20" s="118">
        <v>90.571270105379924</v>
      </c>
      <c r="J20" s="117">
        <v>32000</v>
      </c>
      <c r="K20" s="117">
        <v>0</v>
      </c>
      <c r="L20" s="119">
        <v>32000</v>
      </c>
      <c r="M20" s="118">
        <v>100</v>
      </c>
      <c r="N20" s="118">
        <v>5.544622425629286</v>
      </c>
      <c r="O20" s="120">
        <f t="shared" si="18"/>
        <v>11.532076592407</v>
      </c>
      <c r="P20" s="120">
        <f t="shared" si="19"/>
        <v>3962.2916491659826</v>
      </c>
      <c r="Q20" s="118">
        <f t="shared" si="22"/>
        <v>99.098308936135666</v>
      </c>
      <c r="R20" s="118">
        <f t="shared" si="7"/>
        <v>6.6555740432612307</v>
      </c>
      <c r="S20" s="118">
        <f t="shared" si="8"/>
        <v>93.344425956738775</v>
      </c>
      <c r="T20" s="118">
        <v>488.88888888888886</v>
      </c>
      <c r="U20" s="121">
        <v>203.13219373219371</v>
      </c>
      <c r="V20" s="122">
        <f t="shared" si="9"/>
        <v>448800</v>
      </c>
      <c r="W20" s="122">
        <f t="shared" si="10"/>
        <v>918.00000000000011</v>
      </c>
      <c r="X20" s="123">
        <v>1.3543700000000001</v>
      </c>
      <c r="Y20" s="232">
        <f t="shared" si="1"/>
        <v>7.5177623837118945</v>
      </c>
      <c r="Z20" s="146">
        <f t="shared" si="20"/>
        <v>0.18223472840514457</v>
      </c>
      <c r="AA20" s="129">
        <v>0.60682999999999998</v>
      </c>
      <c r="AB20" s="146">
        <f t="shared" si="11"/>
        <v>4.3133802816901406E-2</v>
      </c>
      <c r="AC20" s="129">
        <v>6.6591399999999998</v>
      </c>
      <c r="AD20" s="146">
        <f t="shared" si="12"/>
        <v>0.13484001837109608</v>
      </c>
      <c r="AE20" s="129">
        <v>1.6937599999999999</v>
      </c>
      <c r="AF20" s="233">
        <f t="shared" si="13"/>
        <v>4.8168631353337411E-2</v>
      </c>
      <c r="AG20" s="124">
        <f>Y6-Y20</f>
        <v>4.0312284908634739</v>
      </c>
      <c r="AH20" s="124"/>
      <c r="AI20" s="124">
        <f t="shared" ref="AI20:AI26" si="23">AC20-AC6</f>
        <v>4.8849099999999996</v>
      </c>
      <c r="AJ20" s="124"/>
      <c r="AK20" s="124">
        <f t="shared" ref="AK20:AK26" si="24">AE6-AE20</f>
        <v>0.54874999999999985</v>
      </c>
      <c r="AL20" s="124"/>
      <c r="AM20" s="124">
        <f t="shared" si="17"/>
        <v>0.60682999999999998</v>
      </c>
      <c r="AN20" s="124"/>
    </row>
    <row r="21" spans="1:40" x14ac:dyDescent="0.3">
      <c r="A21" s="936"/>
      <c r="B21" s="116" t="s">
        <v>34</v>
      </c>
      <c r="C21" s="117">
        <v>433333.33333333331</v>
      </c>
      <c r="D21" s="225">
        <f t="shared" si="21"/>
        <v>133333.33333333331</v>
      </c>
      <c r="E21" s="226">
        <f t="shared" si="0"/>
        <v>0.43333333333333329</v>
      </c>
      <c r="F21" s="118">
        <f t="shared" si="6"/>
        <v>0.36772478012531734</v>
      </c>
      <c r="G21" s="117">
        <v>24000</v>
      </c>
      <c r="H21" s="117">
        <v>457333.33333333331</v>
      </c>
      <c r="I21" s="118">
        <v>94.75218658892129</v>
      </c>
      <c r="J21" s="117">
        <v>16000</v>
      </c>
      <c r="K21" s="117">
        <v>16000</v>
      </c>
      <c r="L21" s="125">
        <v>32000</v>
      </c>
      <c r="M21" s="118">
        <v>50</v>
      </c>
      <c r="N21" s="118">
        <v>8.0961538461538449</v>
      </c>
      <c r="O21" s="120">
        <f t="shared" si="18"/>
        <v>17.702960305001117</v>
      </c>
      <c r="P21" s="120">
        <f t="shared" si="19"/>
        <v>7723.9478787466387</v>
      </c>
      <c r="Q21" s="118">
        <f t="shared" si="22"/>
        <v>98.248765362739206</v>
      </c>
      <c r="R21" s="118">
        <f t="shared" si="7"/>
        <v>6.9970845481049562</v>
      </c>
      <c r="S21" s="118">
        <f t="shared" si="8"/>
        <v>93.002915451895049</v>
      </c>
      <c r="T21" s="118">
        <v>787.5</v>
      </c>
      <c r="U21" s="121">
        <v>197.67034013605442</v>
      </c>
      <c r="V21" s="122">
        <f t="shared" si="9"/>
        <v>425333.33333333331</v>
      </c>
      <c r="W21" s="126">
        <f t="shared" si="10"/>
        <v>540.10582010582004</v>
      </c>
      <c r="X21" s="123">
        <v>1.34876</v>
      </c>
      <c r="Y21" s="232">
        <f t="shared" si="1"/>
        <v>7.4866227047669796</v>
      </c>
      <c r="Z21" s="146">
        <f t="shared" si="20"/>
        <v>0.15990415144481615</v>
      </c>
      <c r="AA21" s="129">
        <v>0.60824</v>
      </c>
      <c r="AB21" s="146">
        <f t="shared" si="11"/>
        <v>4.798173076923077E-2</v>
      </c>
      <c r="AC21" s="129">
        <v>6.9588599999999996</v>
      </c>
      <c r="AD21" s="146">
        <f t="shared" si="12"/>
        <v>0.21665192307692305</v>
      </c>
      <c r="AE21" s="129">
        <v>1.4562299999999999</v>
      </c>
      <c r="AF21" s="233">
        <f t="shared" si="13"/>
        <v>2.6361538461538481E-2</v>
      </c>
      <c r="AG21" s="124">
        <f>Y7-Y21</f>
        <v>4.2271142787362059</v>
      </c>
      <c r="AH21" s="124"/>
      <c r="AI21" s="124">
        <f t="shared" si="23"/>
        <v>5.0551599999999999</v>
      </c>
      <c r="AJ21" s="124"/>
      <c r="AK21" s="124">
        <f t="shared" si="24"/>
        <v>0.69117000000000028</v>
      </c>
      <c r="AL21" s="124"/>
      <c r="AM21" s="124">
        <f t="shared" si="17"/>
        <v>0.60824</v>
      </c>
      <c r="AN21" s="124"/>
    </row>
    <row r="22" spans="1:40" x14ac:dyDescent="0.3">
      <c r="A22" s="936"/>
      <c r="B22" s="116" t="s">
        <v>35</v>
      </c>
      <c r="C22" s="117">
        <v>452000</v>
      </c>
      <c r="D22" s="225">
        <f t="shared" si="21"/>
        <v>152000</v>
      </c>
      <c r="E22" s="226">
        <f t="shared" si="0"/>
        <v>0.45200000000000001</v>
      </c>
      <c r="F22" s="118">
        <f t="shared" si="6"/>
        <v>0.40989970517603008</v>
      </c>
      <c r="G22" s="117">
        <v>22666.666666666664</v>
      </c>
      <c r="H22" s="117">
        <v>474666.66666666663</v>
      </c>
      <c r="I22" s="118">
        <v>95.224719101123597</v>
      </c>
      <c r="J22" s="117">
        <v>22000</v>
      </c>
      <c r="K22" s="117">
        <v>8000</v>
      </c>
      <c r="L22" s="125">
        <v>30000</v>
      </c>
      <c r="M22" s="118">
        <v>73.333333333333329</v>
      </c>
      <c r="N22" s="118">
        <v>9.089743589743593</v>
      </c>
      <c r="O22" s="120">
        <f t="shared" si="18"/>
        <v>19.149740708729482</v>
      </c>
      <c r="P22" s="120">
        <f t="shared" si="19"/>
        <v>9188.7713249942408</v>
      </c>
      <c r="Q22" s="118">
        <f t="shared" si="22"/>
        <v>98.007589972627713</v>
      </c>
      <c r="R22" s="118">
        <f t="shared" si="7"/>
        <v>6.320224719101124</v>
      </c>
      <c r="S22" s="118">
        <f t="shared" si="8"/>
        <v>93.67977528089888</v>
      </c>
      <c r="T22" s="118">
        <v>987.5</v>
      </c>
      <c r="U22" s="121">
        <v>203.47907647907647</v>
      </c>
      <c r="V22" s="122">
        <f t="shared" si="9"/>
        <v>444666.66666666663</v>
      </c>
      <c r="W22" s="126">
        <f t="shared" si="10"/>
        <v>450.29535864978897</v>
      </c>
      <c r="X22" s="123">
        <v>1.3359399999999999</v>
      </c>
      <c r="Y22" s="232">
        <f t="shared" si="1"/>
        <v>7.4154621550212028</v>
      </c>
      <c r="Z22" s="146">
        <f t="shared" si="20"/>
        <v>0.24523976958415797</v>
      </c>
      <c r="AA22" s="129">
        <v>0.61758000000000002</v>
      </c>
      <c r="AB22" s="146">
        <f t="shared" si="11"/>
        <v>4.470685840707965E-2</v>
      </c>
      <c r="AC22" s="129">
        <v>6.9452299999999996</v>
      </c>
      <c r="AD22" s="146">
        <f t="shared" si="12"/>
        <v>0.15684642330383478</v>
      </c>
      <c r="AE22" s="129">
        <v>1.3752899999999999</v>
      </c>
      <c r="AF22" s="233">
        <f t="shared" si="13"/>
        <v>5.5280235988200588E-2</v>
      </c>
      <c r="AG22" s="124">
        <f>Y8-Y22</f>
        <v>4.2982748284819827</v>
      </c>
      <c r="AH22" s="124"/>
      <c r="AI22" s="124">
        <f t="shared" si="23"/>
        <v>5.0415299999999998</v>
      </c>
      <c r="AJ22" s="124"/>
      <c r="AK22" s="124">
        <f t="shared" si="24"/>
        <v>0.7721100000000003</v>
      </c>
      <c r="AL22" s="124"/>
      <c r="AM22" s="124">
        <f t="shared" si="17"/>
        <v>0.61758000000000002</v>
      </c>
      <c r="AN22" s="124"/>
    </row>
    <row r="23" spans="1:40" ht="12" customHeight="1" x14ac:dyDescent="0.3">
      <c r="A23" s="936"/>
      <c r="B23" s="116" t="s">
        <v>36</v>
      </c>
      <c r="C23" s="117">
        <v>490666.66666666663</v>
      </c>
      <c r="D23" s="225">
        <f t="shared" si="21"/>
        <v>190666.66666666663</v>
      </c>
      <c r="E23" s="226">
        <f t="shared" si="0"/>
        <v>0.49066666666666664</v>
      </c>
      <c r="F23" s="118">
        <f t="shared" si="6"/>
        <v>0.49198253596451069</v>
      </c>
      <c r="G23" s="117">
        <v>21333.333333333332</v>
      </c>
      <c r="H23" s="117">
        <v>512000</v>
      </c>
      <c r="I23" s="118">
        <v>95.833333333333343</v>
      </c>
      <c r="J23" s="117">
        <v>205</v>
      </c>
      <c r="K23" s="117">
        <v>8000</v>
      </c>
      <c r="L23" s="117">
        <v>36000</v>
      </c>
      <c r="M23" s="118">
        <v>77.777777777777786</v>
      </c>
      <c r="N23" s="118">
        <v>8.499040307101728</v>
      </c>
      <c r="O23" s="120">
        <f t="shared" si="18"/>
        <v>16.599688099808063</v>
      </c>
      <c r="P23" s="120">
        <f t="shared" si="19"/>
        <v>8317.9128808812147</v>
      </c>
      <c r="Q23" s="118">
        <f t="shared" si="22"/>
        <v>98.333032077178927</v>
      </c>
      <c r="R23" s="118">
        <f t="shared" si="7"/>
        <v>7.03125</v>
      </c>
      <c r="S23" s="118">
        <f t="shared" si="8"/>
        <v>92.96875</v>
      </c>
      <c r="T23" s="118">
        <v>808.33333333333337</v>
      </c>
      <c r="U23" s="121">
        <v>169.4797235023041</v>
      </c>
      <c r="V23" s="122">
        <f t="shared" si="9"/>
        <v>476000</v>
      </c>
      <c r="W23" s="126">
        <f t="shared" si="10"/>
        <v>588.86597938144325</v>
      </c>
      <c r="X23" s="127" t="s">
        <v>79</v>
      </c>
      <c r="Y23" s="127" t="s">
        <v>79</v>
      </c>
      <c r="Z23" s="218" t="s">
        <v>79</v>
      </c>
      <c r="AA23" s="129">
        <v>0.59618000000000004</v>
      </c>
      <c r="AB23" s="146">
        <f t="shared" si="11"/>
        <v>3.7534816576086961E-2</v>
      </c>
      <c r="AC23" s="129">
        <v>7.3396100000000004</v>
      </c>
      <c r="AD23" s="146">
        <f t="shared" si="12"/>
        <v>0.16735478940217396</v>
      </c>
      <c r="AE23" s="129">
        <v>1.3557999999999999</v>
      </c>
      <c r="AF23" s="233">
        <f t="shared" si="13"/>
        <v>4.5376188858695661E-2</v>
      </c>
      <c r="AG23" s="124"/>
      <c r="AH23" s="124"/>
      <c r="AI23" s="124">
        <f t="shared" si="23"/>
        <v>5.5032000000000005</v>
      </c>
      <c r="AJ23" s="124"/>
      <c r="AK23" s="124">
        <f t="shared" si="24"/>
        <v>0.63262000000000018</v>
      </c>
      <c r="AL23" s="124"/>
      <c r="AM23" s="124">
        <f t="shared" si="17"/>
        <v>0.59618000000000004</v>
      </c>
      <c r="AN23" s="124"/>
    </row>
    <row r="24" spans="1:40" ht="14.4" customHeight="1" x14ac:dyDescent="0.3">
      <c r="A24" s="936"/>
      <c r="B24" s="116" t="s">
        <v>37</v>
      </c>
      <c r="C24" s="117">
        <v>546666.66666666651</v>
      </c>
      <c r="D24" s="225">
        <f t="shared" si="21"/>
        <v>246666.66666666651</v>
      </c>
      <c r="E24" s="226">
        <f t="shared" si="0"/>
        <v>0.54666666666666652</v>
      </c>
      <c r="F24" s="118">
        <f t="shared" si="6"/>
        <v>0.60005675749393306</v>
      </c>
      <c r="G24" s="117">
        <v>25333.333333333332</v>
      </c>
      <c r="H24" s="117">
        <v>572000</v>
      </c>
      <c r="I24" s="118">
        <v>95.571095571095569</v>
      </c>
      <c r="J24" s="117">
        <v>34000</v>
      </c>
      <c r="K24" s="117">
        <v>14000.000000000002</v>
      </c>
      <c r="L24" s="117">
        <v>48000</v>
      </c>
      <c r="M24" s="118">
        <v>70.833333333333343</v>
      </c>
      <c r="N24" s="118">
        <v>6.6564299424184306</v>
      </c>
      <c r="O24" s="120">
        <f t="shared" si="18"/>
        <v>11.637115283948306</v>
      </c>
      <c r="P24" s="120">
        <f t="shared" si="19"/>
        <v>5601.4004753330837</v>
      </c>
      <c r="Q24" s="118">
        <f t="shared" si="22"/>
        <v>98.985746088069064</v>
      </c>
      <c r="R24" s="118">
        <f t="shared" si="7"/>
        <v>8.3916083916083917</v>
      </c>
      <c r="S24" s="118">
        <f t="shared" si="8"/>
        <v>91.608391608391614</v>
      </c>
      <c r="T24" s="118">
        <v>737.5</v>
      </c>
      <c r="U24" s="121">
        <v>179.53453583453589</v>
      </c>
      <c r="V24" s="122">
        <f t="shared" si="9"/>
        <v>524000</v>
      </c>
      <c r="W24" s="126">
        <f t="shared" si="10"/>
        <v>710.50847457627117</v>
      </c>
      <c r="X24" s="123">
        <v>1.30301</v>
      </c>
      <c r="Y24" s="232">
        <f t="shared" ref="Y24:Y33" si="25">X24/180.156*1000</f>
        <v>7.2326761251359928</v>
      </c>
      <c r="Z24" s="146">
        <f t="shared" ref="Z24:Z29" si="26">((Y17-Y24)/$C24)/24*1000000</f>
        <v>0.15702854274263126</v>
      </c>
      <c r="AA24" s="129">
        <v>0.59663999999999995</v>
      </c>
      <c r="AB24" s="146">
        <f t="shared" si="11"/>
        <v>3.3131097560975618E-2</v>
      </c>
      <c r="AC24" s="129">
        <v>7.3880499999999998</v>
      </c>
      <c r="AD24" s="146">
        <f t="shared" si="12"/>
        <v>0.14604573170731708</v>
      </c>
      <c r="AE24" s="129">
        <v>1.4046700000000001</v>
      </c>
      <c r="AF24" s="233">
        <f t="shared" si="13"/>
        <v>3.4571646341463418E-2</v>
      </c>
      <c r="AG24" s="124">
        <f>Y10-Y24</f>
        <v>4.358777948000621</v>
      </c>
      <c r="AH24" s="124"/>
      <c r="AI24" s="124">
        <f t="shared" si="23"/>
        <v>5.5516399999999999</v>
      </c>
      <c r="AJ24" s="124"/>
      <c r="AK24" s="124">
        <f t="shared" si="24"/>
        <v>0.58374999999999999</v>
      </c>
      <c r="AL24" s="124"/>
      <c r="AM24" s="124">
        <f t="shared" si="17"/>
        <v>0.59663999999999995</v>
      </c>
      <c r="AN24" s="124"/>
    </row>
    <row r="25" spans="1:40" x14ac:dyDescent="0.3">
      <c r="A25" s="936"/>
      <c r="B25" s="116" t="s">
        <v>38</v>
      </c>
      <c r="C25" s="125">
        <v>432000</v>
      </c>
      <c r="D25" s="225">
        <f t="shared" si="21"/>
        <v>132000</v>
      </c>
      <c r="E25" s="226">
        <f t="shared" si="0"/>
        <v>0.432</v>
      </c>
      <c r="F25" s="118">
        <f t="shared" si="6"/>
        <v>0.36464311358790924</v>
      </c>
      <c r="G25" s="125">
        <v>28000</v>
      </c>
      <c r="H25" s="125">
        <v>460000</v>
      </c>
      <c r="I25" s="128">
        <v>93.913043478260875</v>
      </c>
      <c r="J25" s="125">
        <v>42000</v>
      </c>
      <c r="K25" s="125">
        <v>10000</v>
      </c>
      <c r="L25" s="125">
        <v>52000</v>
      </c>
      <c r="M25" s="118">
        <v>80.769230769230774</v>
      </c>
      <c r="N25" s="118">
        <v>12.904328018223232</v>
      </c>
      <c r="O25" s="120">
        <f t="shared" si="18"/>
        <v>28.05288699613746</v>
      </c>
      <c r="P25" s="120">
        <f t="shared" si="19"/>
        <v>14812.513663899799</v>
      </c>
      <c r="Q25" s="118">
        <f t="shared" si="22"/>
        <v>96.684848071412333</v>
      </c>
      <c r="R25" s="118">
        <f t="shared" si="7"/>
        <v>11.304347826086957</v>
      </c>
      <c r="S25" s="118">
        <f t="shared" si="8"/>
        <v>88.695652173913047</v>
      </c>
      <c r="T25" s="128">
        <v>745.83333333333337</v>
      </c>
      <c r="U25" s="121">
        <v>211.94244897959177</v>
      </c>
      <c r="V25" s="122">
        <f t="shared" si="9"/>
        <v>408000</v>
      </c>
      <c r="W25" s="126">
        <f t="shared" si="10"/>
        <v>547.03910614525137</v>
      </c>
      <c r="X25" s="129">
        <v>1.2010799999999999</v>
      </c>
      <c r="Y25" s="232">
        <f t="shared" si="25"/>
        <v>6.6668886964630643</v>
      </c>
      <c r="Z25" s="146">
        <f t="shared" si="26"/>
        <v>0.24582711615639574</v>
      </c>
      <c r="AA25" s="129">
        <v>0.66830999999999996</v>
      </c>
      <c r="AB25" s="146">
        <f t="shared" si="11"/>
        <v>3.8773148148148147E-2</v>
      </c>
      <c r="AC25" s="129">
        <v>8.1080699999999997</v>
      </c>
      <c r="AD25" s="146">
        <f t="shared" si="12"/>
        <v>0.2179456018518518</v>
      </c>
      <c r="AE25" s="129">
        <v>1.36955</v>
      </c>
      <c r="AF25" s="233">
        <f t="shared" si="13"/>
        <v>4.9067322530864189E-2</v>
      </c>
      <c r="AG25" s="124">
        <f>Y11-Y25</f>
        <v>4.6264903750083262</v>
      </c>
      <c r="AH25" s="124"/>
      <c r="AI25" s="124">
        <f t="shared" si="23"/>
        <v>6.23109</v>
      </c>
      <c r="AJ25" s="124"/>
      <c r="AK25" s="124">
        <f t="shared" si="24"/>
        <v>0.8348199999999999</v>
      </c>
      <c r="AL25" s="124"/>
      <c r="AM25" s="124">
        <f t="shared" si="17"/>
        <v>0.66830999999999996</v>
      </c>
      <c r="AN25" s="124"/>
    </row>
    <row r="26" spans="1:40" ht="14.4" customHeight="1" x14ac:dyDescent="0.3">
      <c r="A26" s="936"/>
      <c r="B26" s="116" t="s">
        <v>39</v>
      </c>
      <c r="C26" s="125">
        <v>562666.66666666663</v>
      </c>
      <c r="D26" s="225">
        <f t="shared" si="21"/>
        <v>262666.66666666663</v>
      </c>
      <c r="E26" s="226">
        <f t="shared" si="0"/>
        <v>0.56266666666666665</v>
      </c>
      <c r="F26" s="118">
        <f t="shared" si="6"/>
        <v>0.62890491183159158</v>
      </c>
      <c r="G26" s="125">
        <v>28000</v>
      </c>
      <c r="H26" s="125">
        <v>590666.66666666663</v>
      </c>
      <c r="I26" s="128">
        <v>95.259593679458249</v>
      </c>
      <c r="J26" s="125">
        <v>10000</v>
      </c>
      <c r="K26" s="125">
        <v>6000</v>
      </c>
      <c r="L26" s="125">
        <v>16000</v>
      </c>
      <c r="M26" s="118">
        <v>62.5</v>
      </c>
      <c r="N26" s="118">
        <v>14.886104783599098</v>
      </c>
      <c r="O26" s="120">
        <f t="shared" si="18"/>
        <v>25.202209001578609</v>
      </c>
      <c r="P26" s="120">
        <f t="shared" si="19"/>
        <v>17734.195464542383</v>
      </c>
      <c r="Q26" s="118">
        <f t="shared" si="22"/>
        <v>96.944491881107282</v>
      </c>
      <c r="R26" s="118">
        <f t="shared" si="7"/>
        <v>2.7088036117381491</v>
      </c>
      <c r="S26" s="118">
        <f t="shared" si="8"/>
        <v>97.291196388261852</v>
      </c>
      <c r="T26" s="128">
        <v>841.66666666666652</v>
      </c>
      <c r="U26" s="121">
        <v>192.93397817460323</v>
      </c>
      <c r="V26" s="122">
        <f t="shared" si="9"/>
        <v>574666.66666666663</v>
      </c>
      <c r="W26" s="126">
        <f t="shared" si="10"/>
        <v>682.77227722772284</v>
      </c>
      <c r="X26" s="129">
        <v>1.1992799999999999</v>
      </c>
      <c r="Y26" s="232">
        <f t="shared" si="25"/>
        <v>6.6568973556251239</v>
      </c>
      <c r="Z26" s="146">
        <f t="shared" si="26"/>
        <v>0.18810218347889976</v>
      </c>
      <c r="AA26" s="129">
        <v>0.66410000000000002</v>
      </c>
      <c r="AB26" s="146">
        <f t="shared" si="11"/>
        <v>3.0336937203791475E-2</v>
      </c>
      <c r="AC26" s="129">
        <v>8.5190599999999996</v>
      </c>
      <c r="AD26" s="146">
        <f t="shared" si="12"/>
        <v>0.18677725118483415</v>
      </c>
      <c r="AE26" s="129">
        <v>1.25403</v>
      </c>
      <c r="AF26" s="233">
        <f t="shared" si="13"/>
        <v>4.4256516587677722E-2</v>
      </c>
      <c r="AG26" s="124">
        <f>Y12-Y26</f>
        <v>4.6364817158462666</v>
      </c>
      <c r="AH26" s="124"/>
      <c r="AI26" s="124">
        <f t="shared" si="23"/>
        <v>6.64208</v>
      </c>
      <c r="AJ26" s="124"/>
      <c r="AK26" s="124">
        <f t="shared" si="24"/>
        <v>0.95033999999999996</v>
      </c>
      <c r="AL26" s="124"/>
      <c r="AM26" s="124">
        <f t="shared" si="17"/>
        <v>0.66410000000000002</v>
      </c>
      <c r="AN26" s="124"/>
    </row>
    <row r="27" spans="1:40" x14ac:dyDescent="0.3">
      <c r="A27" s="931" t="s">
        <v>80</v>
      </c>
      <c r="B27" s="130" t="s">
        <v>33</v>
      </c>
      <c r="C27" s="131">
        <v>545333.33333333326</v>
      </c>
      <c r="D27" s="227">
        <f t="shared" si="21"/>
        <v>245333.33333333326</v>
      </c>
      <c r="E27" s="228">
        <f t="shared" si="0"/>
        <v>0.54533333333333323</v>
      </c>
      <c r="F27" s="132">
        <f t="shared" si="6"/>
        <v>0.59761475383838147</v>
      </c>
      <c r="G27" s="131">
        <v>25333.333333333332</v>
      </c>
      <c r="H27" s="131">
        <v>570666.66666666663</v>
      </c>
      <c r="I27" s="132">
        <v>95.56074766355141</v>
      </c>
      <c r="J27" s="131">
        <v>8000</v>
      </c>
      <c r="K27" s="131">
        <v>20000</v>
      </c>
      <c r="L27" s="133">
        <v>28000.000000000004</v>
      </c>
      <c r="M27" s="132">
        <v>28.571428571428569</v>
      </c>
      <c r="N27" s="132">
        <v>31.70022883295195</v>
      </c>
      <c r="O27" s="132">
        <f t="shared" si="18"/>
        <v>55.549466412883092</v>
      </c>
      <c r="P27" s="132">
        <f t="shared" si="19"/>
        <v>42522.820039734564</v>
      </c>
      <c r="Q27" s="132">
        <f t="shared" si="22"/>
        <v>92.766458291583348</v>
      </c>
      <c r="R27" s="132">
        <f t="shared" si="7"/>
        <v>4.9065420560747679</v>
      </c>
      <c r="S27" s="132">
        <f t="shared" si="8"/>
        <v>95.09345794392523</v>
      </c>
      <c r="T27" s="132">
        <v>470</v>
      </c>
      <c r="U27" s="134">
        <v>192.61370370370366</v>
      </c>
      <c r="V27" s="135">
        <f t="shared" si="9"/>
        <v>542666.66666666663</v>
      </c>
      <c r="W27" s="135">
        <f t="shared" si="10"/>
        <v>1154.6099290780141</v>
      </c>
      <c r="X27" s="136">
        <v>1.1594899999999999</v>
      </c>
      <c r="Y27" s="142">
        <f t="shared" si="25"/>
        <v>6.4360332156575399</v>
      </c>
      <c r="Z27" s="147">
        <f t="shared" si="26"/>
        <v>8.2650455994373068E-2</v>
      </c>
      <c r="AA27" s="142">
        <v>1.0609999999999999</v>
      </c>
      <c r="AB27" s="147">
        <f t="shared" si="11"/>
        <v>3.470125305623472E-2</v>
      </c>
      <c r="AC27" s="142">
        <v>7.5568600000000004</v>
      </c>
      <c r="AD27" s="147">
        <f t="shared" si="12"/>
        <v>6.8591075794621079E-2</v>
      </c>
      <c r="AE27" s="142">
        <v>1.2951900000000001</v>
      </c>
      <c r="AF27" s="234">
        <f t="shared" si="13"/>
        <v>3.0453086797066011E-2</v>
      </c>
      <c r="AG27" s="137">
        <f t="shared" ref="AG27:AG33" si="27">Y6-Y27</f>
        <v>5.1129576589178285</v>
      </c>
      <c r="AH27" s="137"/>
      <c r="AI27" s="137">
        <f t="shared" ref="AI27:AI33" si="28">AC27-AC6</f>
        <v>5.7826300000000002</v>
      </c>
      <c r="AJ27" s="137"/>
      <c r="AK27" s="137">
        <f t="shared" ref="AK27:AK33" si="29">AE6-AE27</f>
        <v>0.94731999999999972</v>
      </c>
      <c r="AL27" s="137"/>
      <c r="AM27" s="137">
        <f t="shared" si="17"/>
        <v>1.0609999999999999</v>
      </c>
      <c r="AN27" s="137"/>
    </row>
    <row r="28" spans="1:40" ht="16.2" customHeight="1" x14ac:dyDescent="0.3">
      <c r="A28" s="931"/>
      <c r="B28" s="130" t="s">
        <v>34</v>
      </c>
      <c r="C28" s="131">
        <v>420453.33333333326</v>
      </c>
      <c r="D28" s="227">
        <f t="shared" si="21"/>
        <v>120453.33333333326</v>
      </c>
      <c r="E28" s="228">
        <f t="shared" si="0"/>
        <v>0.42045333333333323</v>
      </c>
      <c r="F28" s="132">
        <f t="shared" si="6"/>
        <v>0.33755101960491546</v>
      </c>
      <c r="G28" s="131">
        <v>31119.999999999996</v>
      </c>
      <c r="H28" s="131">
        <v>451573.33333333326</v>
      </c>
      <c r="I28" s="132">
        <v>93.108539033896307</v>
      </c>
      <c r="J28" s="131">
        <v>22000</v>
      </c>
      <c r="K28" s="131">
        <v>12000</v>
      </c>
      <c r="L28" s="138">
        <v>34000</v>
      </c>
      <c r="M28" s="132">
        <v>64.705882352941174</v>
      </c>
      <c r="N28" s="132">
        <v>22.583333333333336</v>
      </c>
      <c r="O28" s="132">
        <f t="shared" si="18"/>
        <v>50.010334238809513</v>
      </c>
      <c r="P28" s="132">
        <f t="shared" si="19"/>
        <v>29082.018772421256</v>
      </c>
      <c r="Q28" s="132">
        <f t="shared" si="22"/>
        <v>93.530649227876609</v>
      </c>
      <c r="R28" s="132">
        <f t="shared" si="7"/>
        <v>7.5292311326325745</v>
      </c>
      <c r="S28" s="132">
        <f t="shared" si="8"/>
        <v>92.470768867367426</v>
      </c>
      <c r="T28" s="132">
        <v>673.33333333333337</v>
      </c>
      <c r="U28" s="134">
        <v>203.97499999999997</v>
      </c>
      <c r="V28" s="135">
        <f t="shared" si="9"/>
        <v>417573.33333333326</v>
      </c>
      <c r="W28" s="139">
        <f t="shared" si="10"/>
        <v>620.15841584158397</v>
      </c>
      <c r="X28" s="136">
        <v>0.62739999999999996</v>
      </c>
      <c r="Y28" s="142">
        <f t="shared" si="25"/>
        <v>3.4825373565132436</v>
      </c>
      <c r="Z28" s="147">
        <f t="shared" si="26"/>
        <v>0.39680239466267919</v>
      </c>
      <c r="AA28" s="142">
        <v>0.64478000000000002</v>
      </c>
      <c r="AB28" s="147">
        <f t="shared" si="11"/>
        <v>3.6210915202638445E-3</v>
      </c>
      <c r="AC28" s="142">
        <v>5.1915500000000003</v>
      </c>
      <c r="AD28" s="147">
        <f t="shared" si="12"/>
        <v>-0.17513933373501614</v>
      </c>
      <c r="AE28" s="142">
        <v>0.76490000000000002</v>
      </c>
      <c r="AF28" s="234">
        <f t="shared" si="13"/>
        <v>6.8510377687575313E-2</v>
      </c>
      <c r="AG28" s="145">
        <f t="shared" si="27"/>
        <v>8.231199626989941</v>
      </c>
      <c r="AH28" s="145"/>
      <c r="AI28" s="145">
        <f t="shared" si="28"/>
        <v>3.2878500000000006</v>
      </c>
      <c r="AJ28" s="140"/>
      <c r="AK28" s="137">
        <f t="shared" si="29"/>
        <v>1.3825000000000003</v>
      </c>
      <c r="AL28" s="137"/>
      <c r="AM28" s="137">
        <f t="shared" si="17"/>
        <v>0.64478000000000002</v>
      </c>
      <c r="AN28" s="137"/>
    </row>
    <row r="29" spans="1:40" ht="14.4" customHeight="1" x14ac:dyDescent="0.3">
      <c r="A29" s="931"/>
      <c r="B29" s="130" t="s">
        <v>35</v>
      </c>
      <c r="C29" s="131">
        <v>412453.33333333326</v>
      </c>
      <c r="D29" s="227">
        <f t="shared" si="21"/>
        <v>112453.33333333326</v>
      </c>
      <c r="E29" s="228">
        <f t="shared" si="0"/>
        <v>0.41245333333333328</v>
      </c>
      <c r="F29" s="132">
        <f t="shared" si="6"/>
        <v>0.31834059340557336</v>
      </c>
      <c r="G29" s="131">
        <v>65786.666666666657</v>
      </c>
      <c r="H29" s="131">
        <v>478239.99999999988</v>
      </c>
      <c r="I29" s="132">
        <v>86.244005799040934</v>
      </c>
      <c r="J29" s="131">
        <v>16000</v>
      </c>
      <c r="K29" s="131">
        <v>10000</v>
      </c>
      <c r="L29" s="138">
        <v>26000</v>
      </c>
      <c r="M29" s="132">
        <v>61.53846153846154</v>
      </c>
      <c r="N29" s="132">
        <v>23.737179487179482</v>
      </c>
      <c r="O29" s="132">
        <f t="shared" si="18"/>
        <v>49.634450249204349</v>
      </c>
      <c r="P29" s="132">
        <f t="shared" si="19"/>
        <v>30783.104064837808</v>
      </c>
      <c r="Q29" s="132">
        <f t="shared" si="22"/>
        <v>93.054924760803331</v>
      </c>
      <c r="R29" s="132">
        <f t="shared" si="7"/>
        <v>5.4366008698561403</v>
      </c>
      <c r="S29" s="132">
        <f t="shared" si="8"/>
        <v>94.563399130143864</v>
      </c>
      <c r="T29" s="132">
        <v>750</v>
      </c>
      <c r="U29" s="134">
        <v>212.82772240679219</v>
      </c>
      <c r="V29" s="135">
        <f t="shared" si="9"/>
        <v>452239.99999999988</v>
      </c>
      <c r="W29" s="139">
        <f t="shared" si="10"/>
        <v>602.98666666666657</v>
      </c>
      <c r="X29" s="136">
        <v>1.1557599999999999</v>
      </c>
      <c r="Y29" s="142">
        <f t="shared" si="25"/>
        <v>6.4153289371433635</v>
      </c>
      <c r="Z29" s="147">
        <f t="shared" si="26"/>
        <v>0.10103498758221532</v>
      </c>
      <c r="AA29" s="142">
        <v>1.0597799999999999</v>
      </c>
      <c r="AB29" s="147">
        <f t="shared" si="11"/>
        <v>4.4671720437059553E-2</v>
      </c>
      <c r="AC29" s="142">
        <v>8.0500299999999996</v>
      </c>
      <c r="AD29" s="147">
        <f t="shared" si="12"/>
        <v>0.111608586021853</v>
      </c>
      <c r="AE29" s="142">
        <v>0.95940000000000003</v>
      </c>
      <c r="AF29" s="234">
        <f t="shared" si="13"/>
        <v>4.2013843990431239E-2</v>
      </c>
      <c r="AG29" s="137">
        <f t="shared" si="27"/>
        <v>5.298408046359822</v>
      </c>
      <c r="AH29" s="137"/>
      <c r="AI29" s="137">
        <f t="shared" si="28"/>
        <v>6.1463299999999998</v>
      </c>
      <c r="AJ29" s="137"/>
      <c r="AK29" s="137">
        <f t="shared" si="29"/>
        <v>1.1880000000000002</v>
      </c>
      <c r="AL29" s="137"/>
      <c r="AM29" s="137">
        <f t="shared" si="17"/>
        <v>1.0597799999999999</v>
      </c>
      <c r="AN29" s="137"/>
    </row>
    <row r="30" spans="1:40" ht="14.4" customHeight="1" x14ac:dyDescent="0.3">
      <c r="A30" s="931"/>
      <c r="B30" s="130" t="s">
        <v>36</v>
      </c>
      <c r="C30" s="131">
        <v>432000</v>
      </c>
      <c r="D30" s="227">
        <f t="shared" si="21"/>
        <v>132000</v>
      </c>
      <c r="E30" s="228">
        <f t="shared" si="0"/>
        <v>0.432</v>
      </c>
      <c r="F30" s="132">
        <f t="shared" si="6"/>
        <v>0.36464311358790924</v>
      </c>
      <c r="G30" s="131">
        <v>29333.333333333332</v>
      </c>
      <c r="H30" s="131">
        <v>461333.33333333331</v>
      </c>
      <c r="I30" s="132">
        <v>93.641618497109818</v>
      </c>
      <c r="J30" s="131">
        <v>32000</v>
      </c>
      <c r="K30" s="131">
        <v>6000</v>
      </c>
      <c r="L30" s="131">
        <v>38000</v>
      </c>
      <c r="M30" s="132">
        <v>84.210526315789465</v>
      </c>
      <c r="N30" s="132">
        <v>28.451055662188111</v>
      </c>
      <c r="O30" s="132">
        <f t="shared" si="18"/>
        <v>61.671363429598507</v>
      </c>
      <c r="P30" s="132">
        <f t="shared" si="19"/>
        <v>37732.648772207154</v>
      </c>
      <c r="Q30" s="132">
        <f t="shared" si="22"/>
        <v>91.967207544369501</v>
      </c>
      <c r="R30" s="132">
        <f t="shared" si="7"/>
        <v>8.2369942196531785</v>
      </c>
      <c r="S30" s="132">
        <f t="shared" si="8"/>
        <v>91.763005780346816</v>
      </c>
      <c r="T30" s="132">
        <v>636.66666666666663</v>
      </c>
      <c r="U30" s="134">
        <v>182.82037752037749</v>
      </c>
      <c r="V30" s="135">
        <f t="shared" si="9"/>
        <v>423333.33333333331</v>
      </c>
      <c r="W30" s="139">
        <f t="shared" si="10"/>
        <v>664.9214659685864</v>
      </c>
      <c r="X30" s="136">
        <v>1.00661</v>
      </c>
      <c r="Y30" s="142">
        <f t="shared" si="25"/>
        <v>5.5874353338217979</v>
      </c>
      <c r="Z30" s="218" t="s">
        <v>79</v>
      </c>
      <c r="AA30" s="142">
        <v>1.0349900000000001</v>
      </c>
      <c r="AB30" s="147">
        <f t="shared" si="11"/>
        <v>4.2323495370370376E-2</v>
      </c>
      <c r="AC30" s="142">
        <v>8.4729200000000002</v>
      </c>
      <c r="AD30" s="147">
        <f t="shared" si="12"/>
        <v>0.10930844907407405</v>
      </c>
      <c r="AE30" s="142">
        <v>0.97653000000000001</v>
      </c>
      <c r="AF30" s="234">
        <f t="shared" si="13"/>
        <v>3.6580825617283937E-2</v>
      </c>
      <c r="AG30" s="137">
        <f t="shared" si="27"/>
        <v>6.0040187393148159</v>
      </c>
      <c r="AH30" s="137"/>
      <c r="AI30" s="137">
        <f t="shared" si="28"/>
        <v>6.6365100000000004</v>
      </c>
      <c r="AJ30" s="137"/>
      <c r="AK30" s="137">
        <f t="shared" si="29"/>
        <v>1.0118900000000002</v>
      </c>
      <c r="AL30" s="137"/>
      <c r="AM30" s="137">
        <f t="shared" si="17"/>
        <v>1.0349900000000001</v>
      </c>
      <c r="AN30" s="137"/>
    </row>
    <row r="31" spans="1:40" x14ac:dyDescent="0.3">
      <c r="A31" s="931"/>
      <c r="B31" s="130" t="s">
        <v>37</v>
      </c>
      <c r="C31" s="131">
        <v>604000</v>
      </c>
      <c r="D31" s="227">
        <f t="shared" si="21"/>
        <v>304000</v>
      </c>
      <c r="E31" s="228">
        <f t="shared" si="0"/>
        <v>0.60399999999999998</v>
      </c>
      <c r="F31" s="132">
        <f t="shared" si="6"/>
        <v>0.69979172327861383</v>
      </c>
      <c r="G31" s="131">
        <v>52000</v>
      </c>
      <c r="H31" s="131">
        <v>656000</v>
      </c>
      <c r="I31" s="132">
        <v>92.073170731707322</v>
      </c>
      <c r="J31" s="131">
        <v>24000</v>
      </c>
      <c r="K31" s="131">
        <v>20000</v>
      </c>
      <c r="L31" s="131">
        <v>44000</v>
      </c>
      <c r="M31" s="132">
        <v>54.54545454545454</v>
      </c>
      <c r="N31" s="132">
        <v>28.62380038387716</v>
      </c>
      <c r="O31" s="132">
        <f t="shared" si="18"/>
        <v>43.63384204859323</v>
      </c>
      <c r="P31" s="132">
        <f t="shared" si="19"/>
        <v>37987.32181022728</v>
      </c>
      <c r="Q31" s="132">
        <f t="shared" si="22"/>
        <v>94.082854829108854</v>
      </c>
      <c r="R31" s="132">
        <f t="shared" si="7"/>
        <v>6.7073170731707323</v>
      </c>
      <c r="S31" s="132">
        <f t="shared" si="8"/>
        <v>93.292682926829272</v>
      </c>
      <c r="T31" s="132">
        <v>343.33333333333337</v>
      </c>
      <c r="U31" s="134">
        <v>200.21683673469391</v>
      </c>
      <c r="V31" s="135">
        <f t="shared" si="9"/>
        <v>612000</v>
      </c>
      <c r="W31" s="139">
        <f t="shared" si="10"/>
        <v>1782.52427184466</v>
      </c>
      <c r="X31" s="136">
        <v>1.0189299999999999</v>
      </c>
      <c r="Y31" s="142">
        <f t="shared" si="25"/>
        <v>5.6558205111125908</v>
      </c>
      <c r="Z31" s="147">
        <f>((Y24-Y31)/$C31)/24*1000000</f>
        <v>0.10877867094532299</v>
      </c>
      <c r="AA31" s="142">
        <v>1.0562400000000001</v>
      </c>
      <c r="AB31" s="147">
        <f t="shared" si="11"/>
        <v>3.1705298013245044E-2</v>
      </c>
      <c r="AC31" s="142">
        <v>8.6457499999999996</v>
      </c>
      <c r="AD31" s="147">
        <f t="shared" si="12"/>
        <v>8.6761865342163347E-2</v>
      </c>
      <c r="AE31" s="142">
        <v>1.02725</v>
      </c>
      <c r="AF31" s="234">
        <f t="shared" si="13"/>
        <v>2.6036147902869764E-2</v>
      </c>
      <c r="AG31" s="137">
        <f t="shared" si="27"/>
        <v>5.935633562024023</v>
      </c>
      <c r="AH31" s="137"/>
      <c r="AI31" s="137">
        <f t="shared" si="28"/>
        <v>6.8093399999999997</v>
      </c>
      <c r="AJ31" s="137"/>
      <c r="AK31" s="137">
        <f t="shared" si="29"/>
        <v>0.96117000000000008</v>
      </c>
      <c r="AL31" s="137"/>
      <c r="AM31" s="137">
        <f t="shared" si="17"/>
        <v>1.0562400000000001</v>
      </c>
      <c r="AN31" s="137"/>
    </row>
    <row r="32" spans="1:40" ht="14.4" customHeight="1" x14ac:dyDescent="0.3">
      <c r="A32" s="931"/>
      <c r="B32" s="130" t="s">
        <v>38</v>
      </c>
      <c r="C32" s="138">
        <v>581333.33333333337</v>
      </c>
      <c r="D32" s="227">
        <f t="shared" si="21"/>
        <v>281333.33333333337</v>
      </c>
      <c r="E32" s="228">
        <f t="shared" si="0"/>
        <v>0.58133333333333337</v>
      </c>
      <c r="F32" s="132">
        <f t="shared" si="6"/>
        <v>0.66154184114461423</v>
      </c>
      <c r="G32" s="138">
        <v>14666.666666666666</v>
      </c>
      <c r="H32" s="138">
        <v>596000</v>
      </c>
      <c r="I32" s="141">
        <v>97.539149888143172</v>
      </c>
      <c r="J32" s="138">
        <v>26000</v>
      </c>
      <c r="K32" s="138">
        <v>10000</v>
      </c>
      <c r="L32" s="138">
        <v>36000</v>
      </c>
      <c r="M32" s="132">
        <v>72.222222222222214</v>
      </c>
      <c r="N32" s="132">
        <v>34.396355353075172</v>
      </c>
      <c r="O32" s="132">
        <f t="shared" si="18"/>
        <v>57.712005625965055</v>
      </c>
      <c r="P32" s="132">
        <f t="shared" si="19"/>
        <v>46497.64905362697</v>
      </c>
      <c r="Q32" s="132">
        <f t="shared" si="22"/>
        <v>92.593922511302836</v>
      </c>
      <c r="R32" s="132">
        <f t="shared" si="7"/>
        <v>6.0402684563758395</v>
      </c>
      <c r="S32" s="132">
        <f t="shared" si="8"/>
        <v>93.959731543624159</v>
      </c>
      <c r="T32" s="141">
        <v>620</v>
      </c>
      <c r="U32" s="134">
        <v>200.09972632731245</v>
      </c>
      <c r="V32" s="135">
        <f t="shared" si="9"/>
        <v>560000</v>
      </c>
      <c r="W32" s="139">
        <f t="shared" si="10"/>
        <v>903.22580645161293</v>
      </c>
      <c r="X32" s="142">
        <v>0.94291000000000003</v>
      </c>
      <c r="Y32" s="142">
        <f t="shared" si="25"/>
        <v>5.2338528830569064</v>
      </c>
      <c r="Z32" s="147">
        <f>((Y25-Y32)/$C32)/24*1000000</f>
        <v>0.1027118558920698</v>
      </c>
      <c r="AA32" s="142">
        <v>1.0470600000000001</v>
      </c>
      <c r="AB32" s="147">
        <f t="shared" si="11"/>
        <v>2.7146645642201844E-2</v>
      </c>
      <c r="AC32" s="142">
        <v>9.6054200000000005</v>
      </c>
      <c r="AD32" s="147">
        <f t="shared" si="12"/>
        <v>0.10732153096330281</v>
      </c>
      <c r="AE32" s="142">
        <v>0.99775999999999998</v>
      </c>
      <c r="AF32" s="234">
        <f t="shared" si="13"/>
        <v>2.6647792431192661E-2</v>
      </c>
      <c r="AG32" s="137">
        <f t="shared" si="27"/>
        <v>6.059526188414484</v>
      </c>
      <c r="AH32" s="137"/>
      <c r="AI32" s="137">
        <f t="shared" si="28"/>
        <v>7.7284400000000009</v>
      </c>
      <c r="AJ32" s="137"/>
      <c r="AK32" s="137">
        <f t="shared" si="29"/>
        <v>1.20661</v>
      </c>
      <c r="AL32" s="137"/>
      <c r="AM32" s="137">
        <f t="shared" si="17"/>
        <v>1.0470600000000001</v>
      </c>
      <c r="AN32" s="137"/>
    </row>
    <row r="33" spans="1:40" ht="15.6" customHeight="1" x14ac:dyDescent="0.3">
      <c r="A33" s="931"/>
      <c r="B33" s="130" t="s">
        <v>39</v>
      </c>
      <c r="C33" s="138">
        <v>510666.66666666663</v>
      </c>
      <c r="D33" s="227">
        <f t="shared" si="21"/>
        <v>210666.66666666663</v>
      </c>
      <c r="E33" s="228">
        <f t="shared" si="0"/>
        <v>0.5106666666666666</v>
      </c>
      <c r="F33" s="132">
        <f t="shared" si="6"/>
        <v>0.53193458697622575</v>
      </c>
      <c r="G33" s="138">
        <v>14666.666666666666</v>
      </c>
      <c r="H33" s="138">
        <v>525333.33333333326</v>
      </c>
      <c r="I33" s="141">
        <v>97.208121827411162</v>
      </c>
      <c r="J33" s="138">
        <v>32000</v>
      </c>
      <c r="K33" s="138">
        <v>8000</v>
      </c>
      <c r="L33" s="138">
        <v>40000</v>
      </c>
      <c r="M33" s="132">
        <v>80</v>
      </c>
      <c r="N33" s="132">
        <v>38.906605922551265</v>
      </c>
      <c r="O33" s="132">
        <f t="shared" si="18"/>
        <v>74.060798075922463</v>
      </c>
      <c r="P33" s="132">
        <f t="shared" si="19"/>
        <v>53146.99384129628</v>
      </c>
      <c r="Q33" s="132">
        <f t="shared" si="22"/>
        <v>90.573659780890381</v>
      </c>
      <c r="R33" s="132">
        <f t="shared" si="7"/>
        <v>7.6142131979695442</v>
      </c>
      <c r="S33" s="132">
        <f t="shared" si="8"/>
        <v>92.385786802030452</v>
      </c>
      <c r="T33" s="141">
        <v>443.33333333333337</v>
      </c>
      <c r="U33" s="134">
        <v>192.78406084656083</v>
      </c>
      <c r="V33" s="135">
        <f t="shared" si="9"/>
        <v>485333.33333333326</v>
      </c>
      <c r="W33" s="139">
        <f t="shared" si="10"/>
        <v>1094.7368421052629</v>
      </c>
      <c r="X33" s="142">
        <v>0.95628999999999997</v>
      </c>
      <c r="Y33" s="142">
        <f t="shared" si="25"/>
        <v>5.3081218499522631</v>
      </c>
      <c r="Z33" s="147">
        <f>((Y26-Y33)/$C33)/24*1000000</f>
        <v>0.11005022076312507</v>
      </c>
      <c r="AA33" s="142">
        <v>1.0015000000000001</v>
      </c>
      <c r="AB33" s="147">
        <f t="shared" si="11"/>
        <v>2.7529373368146218E-2</v>
      </c>
      <c r="AC33" s="142">
        <v>10.04204</v>
      </c>
      <c r="AD33" s="147">
        <f t="shared" si="12"/>
        <v>0.1242640339425588</v>
      </c>
      <c r="AE33" s="142">
        <v>1.04366</v>
      </c>
      <c r="AF33" s="234">
        <f t="shared" si="13"/>
        <v>1.7164654046997387E-2</v>
      </c>
      <c r="AG33" s="137">
        <f t="shared" si="27"/>
        <v>5.9852572215191273</v>
      </c>
      <c r="AH33" s="137"/>
      <c r="AI33" s="137">
        <f t="shared" si="28"/>
        <v>8.1650600000000004</v>
      </c>
      <c r="AJ33" s="137"/>
      <c r="AK33" s="137">
        <f t="shared" si="29"/>
        <v>1.1607099999999999</v>
      </c>
      <c r="AL33" s="137"/>
      <c r="AM33" s="137">
        <f t="shared" si="17"/>
        <v>1.0015000000000001</v>
      </c>
      <c r="AN33" s="137"/>
    </row>
    <row r="34" spans="1:40" ht="14.4" customHeight="1" x14ac:dyDescent="0.3">
      <c r="A34" s="155"/>
      <c r="B34" s="155"/>
      <c r="D34" s="229"/>
      <c r="E34" s="230"/>
      <c r="R34" s="39"/>
      <c r="S34" s="39"/>
      <c r="T34" s="211"/>
      <c r="U34" s="211"/>
      <c r="W34" s="32"/>
    </row>
    <row r="35" spans="1:40" ht="14.4" customHeight="1" x14ac:dyDescent="0.3">
      <c r="A35" s="155"/>
      <c r="B35" s="155"/>
      <c r="D35" s="229"/>
      <c r="E35" s="230"/>
      <c r="S35" s="212"/>
      <c r="T35" s="212"/>
      <c r="U35" s="212"/>
      <c r="V35" s="212"/>
      <c r="W35" s="213"/>
    </row>
    <row r="36" spans="1:40" x14ac:dyDescent="0.3">
      <c r="A36" s="155"/>
      <c r="B36" s="155"/>
      <c r="D36" s="229"/>
      <c r="E36" s="230"/>
      <c r="S36" s="212"/>
      <c r="T36" s="212"/>
      <c r="U36" s="212"/>
      <c r="V36" s="212"/>
      <c r="W36" s="213"/>
    </row>
    <row r="37" spans="1:40" x14ac:dyDescent="0.3">
      <c r="A37" s="155"/>
      <c r="B37" s="155"/>
      <c r="D37" s="229"/>
      <c r="E37" s="230"/>
      <c r="T37" s="32"/>
      <c r="U37" s="32"/>
      <c r="W37" s="32"/>
    </row>
    <row r="38" spans="1:40" ht="14.4" customHeight="1" x14ac:dyDescent="0.3">
      <c r="A38" s="155"/>
      <c r="B38" s="155"/>
    </row>
    <row r="39" spans="1:40" x14ac:dyDescent="0.3">
      <c r="A39" s="155"/>
      <c r="B39" s="155"/>
      <c r="J39" s="32"/>
      <c r="K39" s="32"/>
    </row>
    <row r="40" spans="1:40" x14ac:dyDescent="0.3">
      <c r="A40" s="155"/>
      <c r="B40" s="155"/>
      <c r="J40" s="32"/>
      <c r="K40" s="32"/>
    </row>
    <row r="41" spans="1:40" x14ac:dyDescent="0.3">
      <c r="A41" s="155"/>
      <c r="B41" s="155"/>
    </row>
    <row r="42" spans="1:40" x14ac:dyDescent="0.3">
      <c r="A42" s="155"/>
      <c r="B42" s="155"/>
    </row>
    <row r="44" spans="1:40" ht="14.4" customHeight="1" x14ac:dyDescent="0.3"/>
    <row r="53" ht="14.4" customHeight="1" x14ac:dyDescent="0.3"/>
  </sheetData>
  <mergeCells count="9">
    <mergeCell ref="A27:A33"/>
    <mergeCell ref="C4:I4"/>
    <mergeCell ref="J4:M4"/>
    <mergeCell ref="N4:Q4"/>
    <mergeCell ref="A2:AN2"/>
    <mergeCell ref="X4:AN4"/>
    <mergeCell ref="A6:A12"/>
    <mergeCell ref="A13:A19"/>
    <mergeCell ref="A20:A2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Prod EV</vt:lpstr>
      <vt:lpstr>Scale-up 0,125L &gt; 0,5L SpF</vt:lpstr>
      <vt:lpstr>PV impact on spheroid size</vt:lpstr>
      <vt:lpstr>µmax ambr vs spf</vt:lpstr>
      <vt:lpstr>Ambr250 STBr EV production</vt:lpstr>
      <vt:lpstr>0.5L SpF production</vt:lpstr>
      <vt:lpstr>µmax &amp;PDT SpF w or wo FBS</vt:lpstr>
      <vt:lpstr>0,125L SpF wo FBS</vt:lpstr>
      <vt:lpstr>0,125L SpF 10% FBS</vt:lpstr>
      <vt:lpstr>LDH Analyzis</vt:lpstr>
      <vt:lpstr>Monolayer viability LDH</vt:lpstr>
      <vt:lpstr>µmax monolayer</vt:lpstr>
      <vt:lpstr>Monolayer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2025-01-20T10:47:22Z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