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istin\OneDrive - Washington State University (email.wsu.edu)\Documents\NARA-Micronized\SUGAR\Publication\submission\"/>
    </mc:Choice>
  </mc:AlternateContent>
  <xr:revisionPtr revIDLastSave="0" documentId="13_ncr:1_{0FCD5DFF-ECBE-4A67-BB6E-E562D6DA5E9F}" xr6:coauthVersionLast="34" xr6:coauthVersionMax="34" xr10:uidLastSave="{00000000-0000-0000-0000-000000000000}"/>
  <bookViews>
    <workbookView xWindow="0" yWindow="0" windowWidth="23040" windowHeight="8808" xr2:uid="{00000000-000D-0000-FFFF-FFFF00000000}"/>
  </bookViews>
  <sheets>
    <sheet name="SUMMARY" sheetId="4" r:id="rId1"/>
    <sheet name="Inputs" sheetId="1" r:id="rId2"/>
    <sheet name="CBA" sheetId="36" r:id="rId3"/>
    <sheet name="CAPEX" sheetId="5" r:id="rId4"/>
    <sheet name="OPEX" sheetId="6" r:id="rId5"/>
    <sheet name="FHRPrep" sheetId="32" r:id="rId6"/>
    <sheet name="Coarse" sheetId="33" r:id="rId7"/>
    <sheet name="Fine" sheetId="34" r:id="rId8"/>
    <sheet name="Amorphous" sheetId="35" r:id="rId9"/>
    <sheet name="Saccharification" sheetId="22" r:id="rId10"/>
    <sheet name="Pellets" sheetId="21" r:id="rId11"/>
    <sheet name="WWT" sheetId="17" r:id="rId12"/>
    <sheet name="Utilities" sheetId="24" r:id="rId13"/>
    <sheet name="References" sheetId="30" r:id="rId14"/>
    <sheet name="CostYear" sheetId="11" r:id="rId15"/>
    <sheet name="DCFROR" sheetId="3" r:id="rId16"/>
  </sheets>
  <definedNames>
    <definedName name="ConstYrs">CBA!$C$9</definedName>
    <definedName name="CostYr">Inputs!$C$5</definedName>
    <definedName name="CY1990_">CostYear!$D$15</definedName>
    <definedName name="CY1991_">CostYear!$D$16</definedName>
    <definedName name="CY1992_">CostYear!$D$17</definedName>
    <definedName name="CY1993_">CostYear!$D$18</definedName>
    <definedName name="CY1994_">CostYear!$D$19</definedName>
    <definedName name="CY1995_">CostYear!$D$20</definedName>
    <definedName name="CY1996_">CostYear!$D$21</definedName>
    <definedName name="CY1997_">CostYear!$D$22</definedName>
    <definedName name="CY1998_">CostYear!$D$23</definedName>
    <definedName name="CY1999_">CostYear!$D$24</definedName>
    <definedName name="CY2000_">CostYear!$D$25</definedName>
    <definedName name="CY2001_">CostYear!$D$26</definedName>
    <definedName name="CY2002_">CostYear!$D$27</definedName>
    <definedName name="CY2003_">CostYear!$D$28</definedName>
    <definedName name="CY2004_">CostYear!$D$29</definedName>
    <definedName name="CY2005_">CostYear!$D$30</definedName>
    <definedName name="CY2006_">CostYear!$D$31</definedName>
    <definedName name="CY2007_">CostYear!$D$32</definedName>
    <definedName name="CY2008_">CostYear!$D$33</definedName>
    <definedName name="CY2009_">CostYear!$D$34</definedName>
    <definedName name="CY2010_">CostYear!$D$35</definedName>
    <definedName name="CY2011_">CostYear!$D$36</definedName>
    <definedName name="CY2012_">CostYear!$D$37</definedName>
    <definedName name="CY2013_">CostYear!$D$38</definedName>
    <definedName name="CY2014_">CostYear!$D$39</definedName>
    <definedName name="CY2015_">CostYear!$D$40</definedName>
    <definedName name="DaysPrYr">Inputs!$C$11</definedName>
    <definedName name="Dep7yr">CBA!$C$19</definedName>
    <definedName name="DepLife">CBA!$C$8</definedName>
    <definedName name="Diesel">Inputs!$C$20</definedName>
    <definedName name="ElecCost">Inputs!$C$14</definedName>
    <definedName name="EnzCost">Inputs!$C$18</definedName>
    <definedName name="Equity">CBA!$J$5</definedName>
    <definedName name="FCI">CBA!$C$4</definedName>
    <definedName name="FeedCost">Inputs!$C$13</definedName>
    <definedName name="FeedPerD">Inputs!$C$9</definedName>
    <definedName name="FeedPerYr">Inputs!$C$6</definedName>
    <definedName name="FeedYrBFLoss">Inputs!$C$10</definedName>
    <definedName name="HogFuel">Inputs!$C$19</definedName>
    <definedName name="HrsPrDay">Inputs!$C$12</definedName>
    <definedName name="InfRate">Inputs!$C$17</definedName>
    <definedName name="InTaxRate">CBA!$J$12</definedName>
    <definedName name="kgPrHr">Inputs!$C$7</definedName>
    <definedName name="LandCost">CBA!$C$5</definedName>
    <definedName name="LoanInt">CBA!$J$6</definedName>
    <definedName name="LoanPayment">CBA!$J$8</definedName>
    <definedName name="LoanYrs">CBA!$J$7</definedName>
    <definedName name="MiconYield">Inputs!$C$26</definedName>
    <definedName name="NGkcfCost">Inputs!$C$15</definedName>
    <definedName name="NGMMbtuCost">Inputs!$C$16</definedName>
    <definedName name="NomDiscRate">CBA!$J$11</definedName>
    <definedName name="PelletYield">Inputs!$C$25</definedName>
    <definedName name="ProdRamp">CBA!$C$17</definedName>
    <definedName name="RealDiscRate">CBA!$J$10</definedName>
    <definedName name="ScreenLoss">Inputs!$C$8</definedName>
    <definedName name="SpendYr1">CBA!$C$10</definedName>
    <definedName name="SpendYr2">CBA!$C$11</definedName>
    <definedName name="SpendYr3">CBA!$C$12</definedName>
    <definedName name="StartUp">CBA!$C$13</definedName>
    <definedName name="StartupFuel">CBA!$C$14</definedName>
    <definedName name="StartupVar">CBA!$C$15</definedName>
    <definedName name="SugarProd">Inputs!$C$24</definedName>
    <definedName name="SugarYield">Inputs!$C$23</definedName>
    <definedName name="TotalRevenue">SUMMARY!$E$11</definedName>
    <definedName name="TPI">CBA!$J$4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  <c r="B27" i="3"/>
  <c r="B26" i="3"/>
  <c r="B25" i="3"/>
  <c r="B24" i="3"/>
  <c r="B23" i="3"/>
  <c r="B21" i="3"/>
  <c r="B20" i="3"/>
  <c r="B19" i="3"/>
  <c r="B12" i="3"/>
  <c r="B10" i="3"/>
  <c r="B9" i="3"/>
  <c r="B8" i="3"/>
  <c r="C13" i="1" l="1"/>
  <c r="F16" i="22" l="1"/>
  <c r="J11" i="36"/>
  <c r="D34" i="6"/>
  <c r="D8" i="4" l="1"/>
  <c r="D9" i="4"/>
  <c r="B2" i="33"/>
  <c r="B2" i="24" l="1"/>
  <c r="B31" i="3"/>
  <c r="O7" i="11"/>
  <c r="E24" i="21"/>
  <c r="B16" i="22"/>
  <c r="B11" i="22"/>
  <c r="B12" i="22"/>
  <c r="B13" i="22"/>
  <c r="B19" i="22"/>
  <c r="B18" i="22"/>
  <c r="B17" i="22"/>
  <c r="B14" i="22"/>
  <c r="B8" i="22"/>
  <c r="B9" i="22"/>
  <c r="B10" i="22"/>
  <c r="B7" i="22"/>
  <c r="C2" i="22"/>
  <c r="G7" i="32"/>
  <c r="C19" i="1"/>
  <c r="C6" i="1"/>
  <c r="C24" i="1" l="1"/>
  <c r="C3" i="22" s="1"/>
  <c r="B14" i="35"/>
  <c r="Q85" i="36" l="1"/>
  <c r="V85" i="36" s="1"/>
  <c r="W85" i="36" s="1"/>
  <c r="P85" i="36"/>
  <c r="V84" i="36"/>
  <c r="W84" i="36" s="1"/>
  <c r="Q84" i="36"/>
  <c r="P84" i="36"/>
  <c r="K58" i="36"/>
  <c r="J58" i="36"/>
  <c r="I58" i="36"/>
  <c r="G58" i="36"/>
  <c r="F58" i="36"/>
  <c r="K57" i="36"/>
  <c r="J57" i="36"/>
  <c r="I57" i="36"/>
  <c r="G57" i="36"/>
  <c r="F57" i="36"/>
  <c r="K56" i="36"/>
  <c r="J56" i="36"/>
  <c r="I56" i="36"/>
  <c r="G56" i="36"/>
  <c r="F56" i="36"/>
  <c r="C18" i="36"/>
  <c r="H58" i="36" l="1"/>
  <c r="L56" i="36"/>
  <c r="M56" i="36" s="1"/>
  <c r="H57" i="36"/>
  <c r="L58" i="36"/>
  <c r="M58" i="36" s="1"/>
  <c r="H56" i="36"/>
  <c r="L57" i="36"/>
  <c r="M57" i="36" s="1"/>
  <c r="C16" i="1"/>
  <c r="E11" i="5" l="1"/>
  <c r="E10" i="5"/>
  <c r="B9" i="4" l="1"/>
  <c r="E14" i="35"/>
  <c r="E14" i="34"/>
  <c r="E15" i="33"/>
  <c r="D10" i="4"/>
  <c r="E20" i="32"/>
  <c r="C26" i="1"/>
  <c r="C11" i="1"/>
  <c r="G8" i="32"/>
  <c r="E18" i="32"/>
  <c r="B8" i="4"/>
  <c r="F15" i="22"/>
  <c r="D28" i="6"/>
  <c r="D29" i="6"/>
  <c r="D31" i="6"/>
  <c r="D32" i="6"/>
  <c r="B13" i="6"/>
  <c r="E30" i="4" s="1"/>
  <c r="D30" i="6"/>
  <c r="D27" i="6"/>
  <c r="A11" i="17"/>
  <c r="A12" i="17" s="1"/>
  <c r="F6" i="17"/>
  <c r="E26" i="21"/>
  <c r="E25" i="21"/>
  <c r="E23" i="21"/>
  <c r="C34" i="22"/>
  <c r="C28" i="22"/>
  <c r="A32" i="22"/>
  <c r="B32" i="22"/>
  <c r="A24" i="22"/>
  <c r="B30" i="3"/>
  <c r="D33" i="6"/>
  <c r="C36" i="6"/>
  <c r="D35" i="6"/>
  <c r="B29" i="4"/>
  <c r="B28" i="4"/>
  <c r="B19" i="4"/>
  <c r="B16" i="4"/>
  <c r="B15" i="4"/>
  <c r="B14" i="4"/>
  <c r="B17" i="4"/>
  <c r="O8" i="11"/>
  <c r="O9" i="11"/>
  <c r="O10" i="11"/>
  <c r="O11" i="11"/>
  <c r="O12" i="11"/>
  <c r="Y39" i="3"/>
  <c r="X39" i="3"/>
  <c r="W39" i="3"/>
  <c r="V39" i="3"/>
  <c r="U39" i="3"/>
  <c r="T39" i="3"/>
  <c r="S39" i="3"/>
  <c r="R39" i="3"/>
  <c r="Q39" i="3"/>
  <c r="P39" i="3"/>
  <c r="D13" i="24" l="1"/>
  <c r="G11" i="32"/>
  <c r="B7" i="35"/>
  <c r="B7" i="34"/>
  <c r="G7" i="34" s="1"/>
  <c r="B19" i="32"/>
  <c r="C2" i="21"/>
  <c r="B24" i="6"/>
  <c r="B30" i="4"/>
  <c r="E9" i="4"/>
  <c r="F7" i="17"/>
  <c r="F8" i="17" s="1"/>
  <c r="F3" i="17" s="1"/>
  <c r="B11" i="6" s="1"/>
  <c r="E28" i="4" s="1"/>
  <c r="D7" i="17"/>
  <c r="B3" i="33"/>
  <c r="C9" i="1"/>
  <c r="D10" i="24" s="1"/>
  <c r="F7" i="22"/>
  <c r="D28" i="22"/>
  <c r="E28" i="22" s="1"/>
  <c r="D20" i="32"/>
  <c r="F20" i="32" s="1"/>
  <c r="C32" i="22"/>
  <c r="D32" i="22" s="1"/>
  <c r="D36" i="6"/>
  <c r="D19" i="6" s="1"/>
  <c r="F11" i="22"/>
  <c r="F8" i="22"/>
  <c r="F12" i="22"/>
  <c r="F9" i="22"/>
  <c r="F13" i="22"/>
  <c r="F10" i="22"/>
  <c r="C24" i="22"/>
  <c r="F14" i="22"/>
  <c r="G14" i="32"/>
  <c r="F2" i="32" s="1"/>
  <c r="B23" i="4" s="1"/>
  <c r="C27" i="22"/>
  <c r="D27" i="22" s="1"/>
  <c r="E27" i="22" s="1"/>
  <c r="D19" i="32"/>
  <c r="E8" i="4"/>
  <c r="E19" i="32"/>
  <c r="E15" i="21"/>
  <c r="E29" i="22" l="1"/>
  <c r="G9" i="33"/>
  <c r="G16" i="33" s="1"/>
  <c r="G10" i="33"/>
  <c r="C7" i="21"/>
  <c r="F7" i="21" s="1"/>
  <c r="F23" i="21"/>
  <c r="D11" i="24"/>
  <c r="G8" i="33"/>
  <c r="D12" i="24"/>
  <c r="D9" i="24"/>
  <c r="B15" i="22"/>
  <c r="D8" i="24"/>
  <c r="G15" i="34"/>
  <c r="D19" i="21"/>
  <c r="E19" i="21" s="1"/>
  <c r="D18" i="21"/>
  <c r="E18" i="21" s="1"/>
  <c r="D17" i="21"/>
  <c r="E17" i="21" s="1"/>
  <c r="D16" i="21"/>
  <c r="E16" i="21" s="1"/>
  <c r="F24" i="21"/>
  <c r="C7" i="1"/>
  <c r="D15" i="33" s="1"/>
  <c r="G15" i="33" s="1"/>
  <c r="G17" i="33" s="1"/>
  <c r="F3" i="33" s="1"/>
  <c r="F7" i="35"/>
  <c r="G15" i="35" s="1"/>
  <c r="D7" i="24"/>
  <c r="C10" i="1"/>
  <c r="B10" i="4" s="1"/>
  <c r="F19" i="32"/>
  <c r="C5" i="5"/>
  <c r="C16" i="5" s="1"/>
  <c r="C10" i="21"/>
  <c r="F10" i="21" s="1"/>
  <c r="C8" i="21"/>
  <c r="F8" i="21" s="1"/>
  <c r="F26" i="21"/>
  <c r="F25" i="21"/>
  <c r="C9" i="21"/>
  <c r="F9" i="21" s="1"/>
  <c r="F40" i="36"/>
  <c r="F48" i="36"/>
  <c r="F33" i="36"/>
  <c r="F41" i="36"/>
  <c r="F49" i="36"/>
  <c r="F34" i="36"/>
  <c r="F42" i="36"/>
  <c r="F50" i="36"/>
  <c r="F45" i="36"/>
  <c r="F35" i="36"/>
  <c r="F43" i="36"/>
  <c r="F32" i="36"/>
  <c r="F36" i="36"/>
  <c r="F44" i="36"/>
  <c r="F31" i="36"/>
  <c r="F37" i="36"/>
  <c r="F38" i="36"/>
  <c r="F46" i="36"/>
  <c r="F39" i="36"/>
  <c r="F47" i="36"/>
  <c r="G9" i="34"/>
  <c r="F2" i="34" s="1"/>
  <c r="D14" i="24"/>
  <c r="F3" i="24" s="1"/>
  <c r="B12" i="6" s="1"/>
  <c r="E29" i="4" s="1"/>
  <c r="F17" i="22"/>
  <c r="F18" i="22"/>
  <c r="F19" i="22"/>
  <c r="B38" i="22"/>
  <c r="C38" i="22" s="1"/>
  <c r="D38" i="22" s="1"/>
  <c r="D41" i="22" s="1"/>
  <c r="F3" i="22" s="1"/>
  <c r="B9" i="6" s="1"/>
  <c r="E26" i="4" s="1"/>
  <c r="D14" i="35" l="1"/>
  <c r="G14" i="35" s="1"/>
  <c r="G16" i="35" s="1"/>
  <c r="F3" i="35" s="1"/>
  <c r="D18" i="32"/>
  <c r="F18" i="32" s="1"/>
  <c r="D14" i="34"/>
  <c r="G14" i="34" s="1"/>
  <c r="G16" i="34" s="1"/>
  <c r="F3" i="34" s="1"/>
  <c r="F9" i="35"/>
  <c r="F2" i="35" s="1"/>
  <c r="E10" i="4"/>
  <c r="G48" i="36" s="1"/>
  <c r="G76" i="36" s="1"/>
  <c r="K104" i="36" s="1"/>
  <c r="B13" i="4"/>
  <c r="B3" i="6"/>
  <c r="I50" i="36" s="1"/>
  <c r="I78" i="36" s="1"/>
  <c r="L106" i="36" s="1"/>
  <c r="G11" i="33"/>
  <c r="F2" i="33" s="1"/>
  <c r="C6" i="5" s="1"/>
  <c r="E11" i="4"/>
  <c r="G34" i="36"/>
  <c r="G62" i="36" s="1"/>
  <c r="K90" i="36" s="1"/>
  <c r="G40" i="36"/>
  <c r="G68" i="36" s="1"/>
  <c r="K96" i="36" s="1"/>
  <c r="G39" i="36"/>
  <c r="G67" i="36" s="1"/>
  <c r="K95" i="36" s="1"/>
  <c r="G42" i="36"/>
  <c r="G70" i="36" s="1"/>
  <c r="K98" i="36" s="1"/>
  <c r="G37" i="36"/>
  <c r="G65" i="36" s="1"/>
  <c r="K93" i="36" s="1"/>
  <c r="G45" i="36"/>
  <c r="G73" i="36" s="1"/>
  <c r="K101" i="36" s="1"/>
  <c r="G49" i="36"/>
  <c r="G77" i="36" s="1"/>
  <c r="K105" i="36" s="1"/>
  <c r="G35" i="36"/>
  <c r="G63" i="36" s="1"/>
  <c r="K91" i="36" s="1"/>
  <c r="G41" i="36"/>
  <c r="G69" i="36" s="1"/>
  <c r="K97" i="36" s="1"/>
  <c r="G43" i="36"/>
  <c r="G71" i="36" s="1"/>
  <c r="K99" i="36" s="1"/>
  <c r="G38" i="36"/>
  <c r="G66" i="36" s="1"/>
  <c r="K94" i="36" s="1"/>
  <c r="G44" i="36"/>
  <c r="G72" i="36" s="1"/>
  <c r="K100" i="36" s="1"/>
  <c r="G47" i="36"/>
  <c r="G75" i="36" s="1"/>
  <c r="K103" i="36" s="1"/>
  <c r="G36" i="36"/>
  <c r="G64" i="36" s="1"/>
  <c r="K92" i="36" s="1"/>
  <c r="F11" i="21"/>
  <c r="F2" i="21" s="1"/>
  <c r="C8" i="5" s="1"/>
  <c r="C19" i="5" s="1"/>
  <c r="B26" i="4" s="1"/>
  <c r="E20" i="21"/>
  <c r="F27" i="21"/>
  <c r="F71" i="36"/>
  <c r="F65" i="36"/>
  <c r="F78" i="36"/>
  <c r="F70" i="36"/>
  <c r="F77" i="36"/>
  <c r="F59" i="36"/>
  <c r="F72" i="36"/>
  <c r="F62" i="36"/>
  <c r="F64" i="36"/>
  <c r="F75" i="36"/>
  <c r="F60" i="36"/>
  <c r="F69" i="36"/>
  <c r="F61" i="36"/>
  <c r="F67" i="36"/>
  <c r="F74" i="36"/>
  <c r="F63" i="36"/>
  <c r="F76" i="36"/>
  <c r="F66" i="36"/>
  <c r="F73" i="36"/>
  <c r="H40" i="36"/>
  <c r="F68" i="36"/>
  <c r="F21" i="32"/>
  <c r="F3" i="32" s="1"/>
  <c r="E24" i="4" s="1"/>
  <c r="F20" i="22"/>
  <c r="F2" i="22" s="1"/>
  <c r="C7" i="5" s="1"/>
  <c r="B8" i="6" l="1"/>
  <c r="E25" i="4"/>
  <c r="E23" i="4"/>
  <c r="G44" i="3"/>
  <c r="H47" i="36"/>
  <c r="G50" i="36"/>
  <c r="G78" i="36" s="1"/>
  <c r="K106" i="36" s="1"/>
  <c r="H35" i="36"/>
  <c r="G46" i="36"/>
  <c r="G74" i="36" s="1"/>
  <c r="K102" i="36" s="1"/>
  <c r="I46" i="36"/>
  <c r="I74" i="36" s="1"/>
  <c r="L102" i="36" s="1"/>
  <c r="I43" i="36"/>
  <c r="I71" i="36" s="1"/>
  <c r="L99" i="36" s="1"/>
  <c r="I38" i="36"/>
  <c r="I66" i="36" s="1"/>
  <c r="L94" i="36" s="1"/>
  <c r="I35" i="36"/>
  <c r="I63" i="36" s="1"/>
  <c r="L91" i="36" s="1"/>
  <c r="I45" i="36"/>
  <c r="I73" i="36" s="1"/>
  <c r="L101" i="36" s="1"/>
  <c r="I32" i="36"/>
  <c r="I60" i="36" s="1"/>
  <c r="L88" i="36" s="1"/>
  <c r="I33" i="36"/>
  <c r="I61" i="36" s="1"/>
  <c r="L89" i="36" s="1"/>
  <c r="I31" i="36"/>
  <c r="I59" i="36" s="1"/>
  <c r="L87" i="36" s="1"/>
  <c r="I42" i="36"/>
  <c r="I70" i="36" s="1"/>
  <c r="L98" i="36" s="1"/>
  <c r="I40" i="36"/>
  <c r="I68" i="36" s="1"/>
  <c r="L96" i="36" s="1"/>
  <c r="I34" i="36"/>
  <c r="I62" i="36" s="1"/>
  <c r="L90" i="36" s="1"/>
  <c r="I37" i="36"/>
  <c r="I65" i="36" s="1"/>
  <c r="L93" i="36" s="1"/>
  <c r="I47" i="36"/>
  <c r="I75" i="36" s="1"/>
  <c r="L103" i="36" s="1"/>
  <c r="I44" i="36"/>
  <c r="I72" i="36" s="1"/>
  <c r="L100" i="36" s="1"/>
  <c r="I49" i="36"/>
  <c r="I77" i="36" s="1"/>
  <c r="L105" i="36" s="1"/>
  <c r="I39" i="36"/>
  <c r="I67" i="36" s="1"/>
  <c r="L95" i="36" s="1"/>
  <c r="I36" i="36"/>
  <c r="I64" i="36" s="1"/>
  <c r="L92" i="36" s="1"/>
  <c r="I41" i="36"/>
  <c r="I69" i="36" s="1"/>
  <c r="L97" i="36" s="1"/>
  <c r="I48" i="36"/>
  <c r="I76" i="36" s="1"/>
  <c r="L104" i="36" s="1"/>
  <c r="G33" i="36"/>
  <c r="G31" i="36"/>
  <c r="G32" i="36"/>
  <c r="B24" i="4"/>
  <c r="H45" i="36"/>
  <c r="H41" i="36"/>
  <c r="H36" i="36"/>
  <c r="F3" i="21"/>
  <c r="B10" i="6" s="1"/>
  <c r="E27" i="4" s="1"/>
  <c r="J42" i="3"/>
  <c r="K42" i="3"/>
  <c r="S42" i="3"/>
  <c r="G42" i="3"/>
  <c r="F42" i="3" s="1"/>
  <c r="L42" i="3"/>
  <c r="T42" i="3"/>
  <c r="N42" i="3"/>
  <c r="O42" i="3"/>
  <c r="H42" i="3"/>
  <c r="I42" i="3"/>
  <c r="Y42" i="3"/>
  <c r="M42" i="3"/>
  <c r="U42" i="3"/>
  <c r="V42" i="3"/>
  <c r="W42" i="3"/>
  <c r="P42" i="3"/>
  <c r="X42" i="3"/>
  <c r="Q42" i="3"/>
  <c r="R42" i="3"/>
  <c r="H39" i="36"/>
  <c r="H46" i="36"/>
  <c r="H50" i="36"/>
  <c r="H42" i="36"/>
  <c r="H34" i="36"/>
  <c r="H37" i="36"/>
  <c r="H43" i="36"/>
  <c r="H44" i="36"/>
  <c r="H38" i="36"/>
  <c r="H49" i="36"/>
  <c r="C17" i="5"/>
  <c r="C9" i="5"/>
  <c r="C20" i="5" s="1"/>
  <c r="H48" i="36"/>
  <c r="J96" i="36"/>
  <c r="O96" i="36" s="1"/>
  <c r="H68" i="36"/>
  <c r="J97" i="36"/>
  <c r="O97" i="36" s="1"/>
  <c r="H69" i="36"/>
  <c r="H70" i="36"/>
  <c r="J98" i="36"/>
  <c r="O98" i="36" s="1"/>
  <c r="H63" i="36"/>
  <c r="J91" i="36"/>
  <c r="O91" i="36" s="1"/>
  <c r="J90" i="36"/>
  <c r="O90" i="36" s="1"/>
  <c r="H62" i="36"/>
  <c r="J102" i="36"/>
  <c r="J101" i="36"/>
  <c r="O101" i="36" s="1"/>
  <c r="H73" i="36"/>
  <c r="J88" i="36"/>
  <c r="H72" i="36"/>
  <c r="J100" i="36"/>
  <c r="O100" i="36" s="1"/>
  <c r="H78" i="36"/>
  <c r="J106" i="36"/>
  <c r="O106" i="36" s="1"/>
  <c r="J93" i="36"/>
  <c r="O93" i="36" s="1"/>
  <c r="H65" i="36"/>
  <c r="H66" i="36"/>
  <c r="J94" i="36"/>
  <c r="O94" i="36" s="1"/>
  <c r="J95" i="36"/>
  <c r="O95" i="36" s="1"/>
  <c r="H67" i="36"/>
  <c r="J103" i="36"/>
  <c r="O103" i="36" s="1"/>
  <c r="H75" i="36"/>
  <c r="J87" i="36"/>
  <c r="J89" i="36"/>
  <c r="H64" i="36"/>
  <c r="J92" i="36"/>
  <c r="O92" i="36" s="1"/>
  <c r="J99" i="36"/>
  <c r="O99" i="36" s="1"/>
  <c r="H71" i="36"/>
  <c r="J104" i="36"/>
  <c r="O104" i="36" s="1"/>
  <c r="H76" i="36"/>
  <c r="J105" i="36"/>
  <c r="O105" i="36" s="1"/>
  <c r="H77" i="36"/>
  <c r="C18" i="5"/>
  <c r="B25" i="4" s="1"/>
  <c r="B7" i="6"/>
  <c r="F44" i="3"/>
  <c r="H44" i="3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T44" i="3" s="1"/>
  <c r="U44" i="3" s="1"/>
  <c r="V44" i="3" s="1"/>
  <c r="W44" i="3" s="1"/>
  <c r="X44" i="3" s="1"/>
  <c r="Y44" i="3" s="1"/>
  <c r="O102" i="36" l="1"/>
  <c r="H74" i="36"/>
  <c r="H32" i="36"/>
  <c r="G60" i="36"/>
  <c r="H31" i="36"/>
  <c r="G59" i="36"/>
  <c r="G61" i="36"/>
  <c r="H33" i="36"/>
  <c r="B14" i="6"/>
  <c r="C10" i="5"/>
  <c r="C21" i="5" s="1"/>
  <c r="C11" i="5"/>
  <c r="K89" i="36" l="1"/>
  <c r="O89" i="36" s="1"/>
  <c r="H61" i="36"/>
  <c r="K87" i="36"/>
  <c r="O87" i="36" s="1"/>
  <c r="H59" i="36"/>
  <c r="K88" i="36"/>
  <c r="O88" i="36" s="1"/>
  <c r="H60" i="36"/>
  <c r="J35" i="36"/>
  <c r="J63" i="36" s="1"/>
  <c r="J32" i="36"/>
  <c r="J31" i="36"/>
  <c r="J33" i="36"/>
  <c r="J61" i="36" s="1"/>
  <c r="J47" i="36"/>
  <c r="J75" i="36" s="1"/>
  <c r="J39" i="36"/>
  <c r="J67" i="36" s="1"/>
  <c r="J36" i="36"/>
  <c r="J64" i="36" s="1"/>
  <c r="F45" i="3"/>
  <c r="J43" i="36"/>
  <c r="J71" i="36" s="1"/>
  <c r="J41" i="36"/>
  <c r="J69" i="36" s="1"/>
  <c r="J50" i="36"/>
  <c r="J78" i="36" s="1"/>
  <c r="J45" i="36"/>
  <c r="J73" i="36" s="1"/>
  <c r="G45" i="3"/>
  <c r="H45" i="3" s="1"/>
  <c r="I45" i="3" s="1"/>
  <c r="J45" i="3" s="1"/>
  <c r="J48" i="36"/>
  <c r="J76" i="36" s="1"/>
  <c r="J44" i="36"/>
  <c r="J72" i="36" s="1"/>
  <c r="J34" i="36"/>
  <c r="J62" i="36" s="1"/>
  <c r="J40" i="36"/>
  <c r="J68" i="36" s="1"/>
  <c r="J37" i="36"/>
  <c r="J65" i="36" s="1"/>
  <c r="J42" i="36"/>
  <c r="J70" i="36" s="1"/>
  <c r="J46" i="36"/>
  <c r="J74" i="36" s="1"/>
  <c r="J49" i="36"/>
  <c r="J77" i="36" s="1"/>
  <c r="J38" i="36"/>
  <c r="J66" i="36" s="1"/>
  <c r="B42" i="3"/>
  <c r="J60" i="36" l="1"/>
  <c r="M88" i="36" s="1"/>
  <c r="J59" i="36"/>
  <c r="M87" i="36" s="1"/>
  <c r="M94" i="36"/>
  <c r="M92" i="36"/>
  <c r="M93" i="36"/>
  <c r="M97" i="36"/>
  <c r="M101" i="36"/>
  <c r="M96" i="36"/>
  <c r="M100" i="36"/>
  <c r="M95" i="36"/>
  <c r="M105" i="36"/>
  <c r="M102" i="36"/>
  <c r="M90" i="36"/>
  <c r="M103" i="36"/>
  <c r="M99" i="36"/>
  <c r="M91" i="36"/>
  <c r="M104" i="36"/>
  <c r="M89" i="36"/>
  <c r="M106" i="36"/>
  <c r="M98" i="36"/>
  <c r="K45" i="3"/>
  <c r="L45" i="3" l="1"/>
  <c r="M45" i="3" l="1"/>
  <c r="N45" i="3" l="1"/>
  <c r="O45" i="3" l="1"/>
  <c r="P45" i="3" l="1"/>
  <c r="Q45" i="3" l="1"/>
  <c r="R45" i="3" l="1"/>
  <c r="S45" i="3" l="1"/>
  <c r="T45" i="3" l="1"/>
  <c r="U45" i="3" l="1"/>
  <c r="V45" i="3" l="1"/>
  <c r="W45" i="3" l="1"/>
  <c r="X45" i="3" l="1"/>
  <c r="Y45" i="3" l="1"/>
  <c r="D20" i="6" l="1"/>
  <c r="D18" i="6"/>
  <c r="C22" i="5"/>
  <c r="C4" i="36" s="1"/>
  <c r="C28" i="36" l="1"/>
  <c r="C56" i="36" s="1"/>
  <c r="C84" i="36" s="1"/>
  <c r="C29" i="36"/>
  <c r="C30" i="36"/>
  <c r="C58" i="36" s="1"/>
  <c r="C86" i="36" s="1"/>
  <c r="B6" i="3"/>
  <c r="B11" i="3" s="1"/>
  <c r="G39" i="3" s="1"/>
  <c r="D21" i="6"/>
  <c r="K32" i="36" l="1"/>
  <c r="L32" i="36" s="1"/>
  <c r="K33" i="36"/>
  <c r="L33" i="36" s="1"/>
  <c r="K31" i="36"/>
  <c r="L31" i="36" s="1"/>
  <c r="M29" i="36"/>
  <c r="C57" i="36"/>
  <c r="E31" i="4"/>
  <c r="E32" i="4" s="1"/>
  <c r="K40" i="36"/>
  <c r="K48" i="36"/>
  <c r="K41" i="36"/>
  <c r="K49" i="36"/>
  <c r="K46" i="36"/>
  <c r="K39" i="36"/>
  <c r="K34" i="36"/>
  <c r="K42" i="36"/>
  <c r="K50" i="36"/>
  <c r="K44" i="36"/>
  <c r="K35" i="36"/>
  <c r="K43" i="36"/>
  <c r="K36" i="36"/>
  <c r="K37" i="36"/>
  <c r="K45" i="36"/>
  <c r="K38" i="36"/>
  <c r="K47" i="36"/>
  <c r="F46" i="3"/>
  <c r="G46" i="3" s="1"/>
  <c r="E36" i="3"/>
  <c r="B7" i="3"/>
  <c r="K50" i="3" s="1"/>
  <c r="D36" i="3"/>
  <c r="E3" i="6"/>
  <c r="C12" i="5" s="1"/>
  <c r="M39" i="3"/>
  <c r="L39" i="3"/>
  <c r="C41" i="3"/>
  <c r="D41" i="3" s="1"/>
  <c r="N39" i="3"/>
  <c r="I39" i="3"/>
  <c r="O39" i="3"/>
  <c r="J39" i="3"/>
  <c r="C36" i="3"/>
  <c r="F40" i="3"/>
  <c r="H39" i="3"/>
  <c r="K39" i="3"/>
  <c r="F39" i="3"/>
  <c r="C40" i="3" l="1"/>
  <c r="C85" i="36"/>
  <c r="N57" i="36"/>
  <c r="K63" i="36"/>
  <c r="L35" i="36"/>
  <c r="M35" i="36" s="1"/>
  <c r="K73" i="36"/>
  <c r="L45" i="36"/>
  <c r="M45" i="36" s="1"/>
  <c r="K70" i="36"/>
  <c r="L42" i="36"/>
  <c r="M42" i="36" s="1"/>
  <c r="K68" i="36"/>
  <c r="L40" i="36"/>
  <c r="M40" i="36" s="1"/>
  <c r="K69" i="36"/>
  <c r="L41" i="36"/>
  <c r="M41" i="36" s="1"/>
  <c r="K72" i="36"/>
  <c r="L44" i="36"/>
  <c r="M44" i="36" s="1"/>
  <c r="K78" i="36"/>
  <c r="L50" i="36"/>
  <c r="K65" i="36"/>
  <c r="L37" i="36"/>
  <c r="M37" i="36" s="1"/>
  <c r="K62" i="36"/>
  <c r="L34" i="36"/>
  <c r="M34" i="36" s="1"/>
  <c r="K60" i="36"/>
  <c r="M32" i="36"/>
  <c r="K59" i="36"/>
  <c r="M31" i="36"/>
  <c r="K74" i="36"/>
  <c r="L46" i="36"/>
  <c r="M46" i="36" s="1"/>
  <c r="K71" i="36"/>
  <c r="L43" i="36"/>
  <c r="M43" i="36" s="1"/>
  <c r="K77" i="36"/>
  <c r="L49" i="36"/>
  <c r="M49" i="36" s="1"/>
  <c r="K75" i="36"/>
  <c r="L47" i="36"/>
  <c r="M47" i="36" s="1"/>
  <c r="K61" i="36"/>
  <c r="M33" i="36"/>
  <c r="K66" i="36"/>
  <c r="L38" i="36"/>
  <c r="M38" i="36" s="1"/>
  <c r="K76" i="36"/>
  <c r="L48" i="36"/>
  <c r="M48" i="36" s="1"/>
  <c r="K64" i="36"/>
  <c r="L36" i="36"/>
  <c r="M36" i="36" s="1"/>
  <c r="K67" i="36"/>
  <c r="L39" i="36"/>
  <c r="M39" i="36" s="1"/>
  <c r="M50" i="3"/>
  <c r="G50" i="3"/>
  <c r="H50" i="3"/>
  <c r="L50" i="3"/>
  <c r="J50" i="3"/>
  <c r="F50" i="3"/>
  <c r="F51" i="3" s="1"/>
  <c r="I50" i="3"/>
  <c r="F47" i="3"/>
  <c r="E38" i="3"/>
  <c r="Y38" i="3" s="1"/>
  <c r="F41" i="3"/>
  <c r="G40" i="3" s="1"/>
  <c r="G41" i="3" s="1"/>
  <c r="D40" i="3"/>
  <c r="E41" i="3"/>
  <c r="E40" i="3" s="1"/>
  <c r="G47" i="3"/>
  <c r="H46" i="3"/>
  <c r="H85" i="36" l="1"/>
  <c r="X85" i="36" s="1"/>
  <c r="R93" i="36"/>
  <c r="R87" i="36"/>
  <c r="R91" i="36"/>
  <c r="R92" i="36"/>
  <c r="R90" i="36"/>
  <c r="R89" i="36"/>
  <c r="R88" i="36"/>
  <c r="S87" i="36"/>
  <c r="G51" i="3"/>
  <c r="H51" i="3" s="1"/>
  <c r="I51" i="3" s="1"/>
  <c r="J51" i="3" s="1"/>
  <c r="K51" i="3" s="1"/>
  <c r="L51" i="3" s="1"/>
  <c r="M51" i="3" s="1"/>
  <c r="N87" i="36"/>
  <c r="L59" i="36"/>
  <c r="N104" i="36"/>
  <c r="P104" i="36" s="1"/>
  <c r="Q104" i="36" s="1"/>
  <c r="V104" i="36" s="1"/>
  <c r="W104" i="36" s="1"/>
  <c r="X104" i="36" s="1"/>
  <c r="L76" i="36"/>
  <c r="N105" i="36"/>
  <c r="P105" i="36" s="1"/>
  <c r="Q105" i="36" s="1"/>
  <c r="V105" i="36" s="1"/>
  <c r="W105" i="36" s="1"/>
  <c r="X105" i="36" s="1"/>
  <c r="L77" i="36"/>
  <c r="N98" i="36"/>
  <c r="P98" i="36" s="1"/>
  <c r="Q98" i="36" s="1"/>
  <c r="V98" i="36" s="1"/>
  <c r="W98" i="36" s="1"/>
  <c r="X98" i="36" s="1"/>
  <c r="L70" i="36"/>
  <c r="N102" i="36"/>
  <c r="P102" i="36" s="1"/>
  <c r="Q102" i="36" s="1"/>
  <c r="V102" i="36" s="1"/>
  <c r="W102" i="36" s="1"/>
  <c r="X102" i="36" s="1"/>
  <c r="L74" i="36"/>
  <c r="N103" i="36"/>
  <c r="P103" i="36" s="1"/>
  <c r="Q103" i="36" s="1"/>
  <c r="V103" i="36" s="1"/>
  <c r="W103" i="36" s="1"/>
  <c r="X103" i="36" s="1"/>
  <c r="L75" i="36"/>
  <c r="N106" i="36"/>
  <c r="L78" i="36"/>
  <c r="M78" i="36" s="1"/>
  <c r="N88" i="36"/>
  <c r="L60" i="36"/>
  <c r="N100" i="36"/>
  <c r="P100" i="36" s="1"/>
  <c r="Q100" i="36" s="1"/>
  <c r="V100" i="36" s="1"/>
  <c r="W100" i="36" s="1"/>
  <c r="X100" i="36" s="1"/>
  <c r="L72" i="36"/>
  <c r="N95" i="36"/>
  <c r="L67" i="36"/>
  <c r="N94" i="36"/>
  <c r="L66" i="36"/>
  <c r="N99" i="36"/>
  <c r="P99" i="36" s="1"/>
  <c r="Q99" i="36" s="1"/>
  <c r="V99" i="36" s="1"/>
  <c r="W99" i="36" s="1"/>
  <c r="X99" i="36" s="1"/>
  <c r="L71" i="36"/>
  <c r="N101" i="36"/>
  <c r="P101" i="36" s="1"/>
  <c r="Q101" i="36" s="1"/>
  <c r="V101" i="36" s="1"/>
  <c r="W101" i="36" s="1"/>
  <c r="X101" i="36" s="1"/>
  <c r="L73" i="36"/>
  <c r="N93" i="36"/>
  <c r="L65" i="36"/>
  <c r="N90" i="36"/>
  <c r="L62" i="36"/>
  <c r="N96" i="36"/>
  <c r="L68" i="36"/>
  <c r="N92" i="36"/>
  <c r="L64" i="36"/>
  <c r="N89" i="36"/>
  <c r="L61" i="36"/>
  <c r="N97" i="36"/>
  <c r="P97" i="36" s="1"/>
  <c r="Q97" i="36" s="1"/>
  <c r="V97" i="36" s="1"/>
  <c r="W97" i="36" s="1"/>
  <c r="X97" i="36" s="1"/>
  <c r="L69" i="36"/>
  <c r="N91" i="36"/>
  <c r="L63" i="36"/>
  <c r="D30" i="36"/>
  <c r="F52" i="3"/>
  <c r="F54" i="3" s="1"/>
  <c r="F55" i="3" s="1"/>
  <c r="E56" i="3"/>
  <c r="E61" i="3" s="1"/>
  <c r="C23" i="5"/>
  <c r="B1" i="5"/>
  <c r="C5" i="36" s="1"/>
  <c r="G52" i="3"/>
  <c r="H40" i="3"/>
  <c r="H41" i="3" s="1"/>
  <c r="H47" i="3"/>
  <c r="I46" i="3"/>
  <c r="D56" i="3"/>
  <c r="D61" i="3" s="1"/>
  <c r="E56" i="36" l="1"/>
  <c r="E50" i="36"/>
  <c r="E28" i="36"/>
  <c r="B27" i="4"/>
  <c r="J4" i="36"/>
  <c r="J8" i="36" s="1"/>
  <c r="C37" i="3"/>
  <c r="C56" i="3" s="1"/>
  <c r="C61" i="3" s="1"/>
  <c r="S91" i="36"/>
  <c r="T91" i="36" s="1"/>
  <c r="S89" i="36"/>
  <c r="T89" i="36" s="1"/>
  <c r="S88" i="36"/>
  <c r="T88" i="36" s="1"/>
  <c r="T87" i="36"/>
  <c r="U87" i="36" s="1"/>
  <c r="S93" i="36"/>
  <c r="T93" i="36" s="1"/>
  <c r="S92" i="36"/>
  <c r="T92" i="36" s="1"/>
  <c r="S90" i="36"/>
  <c r="T90" i="36" s="1"/>
  <c r="N62" i="36"/>
  <c r="M62" i="36"/>
  <c r="M77" i="36"/>
  <c r="N77" i="36"/>
  <c r="N61" i="36"/>
  <c r="M61" i="36"/>
  <c r="M65" i="36"/>
  <c r="N65" i="36"/>
  <c r="M67" i="36"/>
  <c r="N67" i="36"/>
  <c r="N75" i="36"/>
  <c r="M75" i="36"/>
  <c r="N76" i="36"/>
  <c r="M76" i="36"/>
  <c r="N66" i="36"/>
  <c r="M66" i="36"/>
  <c r="N64" i="36"/>
  <c r="M64" i="36"/>
  <c r="N73" i="36"/>
  <c r="M73" i="36"/>
  <c r="M72" i="36"/>
  <c r="N72" i="36"/>
  <c r="N74" i="36"/>
  <c r="M74" i="36"/>
  <c r="M69" i="36"/>
  <c r="N69" i="36"/>
  <c r="M59" i="36"/>
  <c r="N59" i="36"/>
  <c r="N63" i="36"/>
  <c r="M63" i="36"/>
  <c r="N68" i="36"/>
  <c r="M68" i="36"/>
  <c r="M71" i="36"/>
  <c r="N71" i="36"/>
  <c r="M60" i="36"/>
  <c r="N60" i="36"/>
  <c r="M70" i="36"/>
  <c r="N70" i="36"/>
  <c r="D58" i="36"/>
  <c r="D50" i="36"/>
  <c r="M30" i="36"/>
  <c r="G53" i="3"/>
  <c r="G54" i="3" s="1"/>
  <c r="H53" i="3" s="1"/>
  <c r="H52" i="3"/>
  <c r="I40" i="3"/>
  <c r="I41" i="3" s="1"/>
  <c r="I47" i="3"/>
  <c r="J46" i="3"/>
  <c r="F56" i="3"/>
  <c r="Y37" i="3" l="1"/>
  <c r="U88" i="36"/>
  <c r="U89" i="36" s="1"/>
  <c r="U90" i="36" s="1"/>
  <c r="U91" i="36" s="1"/>
  <c r="U92" i="36" s="1"/>
  <c r="U93" i="36" s="1"/>
  <c r="E78" i="36"/>
  <c r="E106" i="36" s="1"/>
  <c r="M28" i="36"/>
  <c r="C6" i="36"/>
  <c r="D78" i="36"/>
  <c r="D86" i="36"/>
  <c r="N58" i="36"/>
  <c r="H54" i="3"/>
  <c r="I53" i="3" s="1"/>
  <c r="G55" i="3"/>
  <c r="G56" i="3" s="1"/>
  <c r="I52" i="3"/>
  <c r="J40" i="3"/>
  <c r="J47" i="3"/>
  <c r="K46" i="3"/>
  <c r="F61" i="3"/>
  <c r="M50" i="36" l="1"/>
  <c r="M52" i="36" s="1"/>
  <c r="G90" i="36"/>
  <c r="P90" i="36" s="1"/>
  <c r="Q90" i="36" s="1"/>
  <c r="G96" i="36"/>
  <c r="P96" i="36" s="1"/>
  <c r="Q96" i="36" s="1"/>
  <c r="G89" i="36"/>
  <c r="P89" i="36" s="1"/>
  <c r="Q89" i="36" s="1"/>
  <c r="G88" i="36"/>
  <c r="P88" i="36" s="1"/>
  <c r="Q88" i="36" s="1"/>
  <c r="G91" i="36"/>
  <c r="P91" i="36" s="1"/>
  <c r="Q91" i="36" s="1"/>
  <c r="G95" i="36"/>
  <c r="P95" i="36" s="1"/>
  <c r="Q95" i="36" s="1"/>
  <c r="G87" i="36"/>
  <c r="P87" i="36" s="1"/>
  <c r="Q87" i="36" s="1"/>
  <c r="G94" i="36"/>
  <c r="P94" i="36" s="1"/>
  <c r="Q94" i="36" s="1"/>
  <c r="G93" i="36"/>
  <c r="P93" i="36" s="1"/>
  <c r="Q93" i="36" s="1"/>
  <c r="G92" i="36"/>
  <c r="P92" i="36" s="1"/>
  <c r="Q92" i="36" s="1"/>
  <c r="E84" i="36"/>
  <c r="N56" i="36"/>
  <c r="D106" i="36"/>
  <c r="P106" i="36" s="1"/>
  <c r="Q106" i="36" s="1"/>
  <c r="V106" i="36" s="1"/>
  <c r="W106" i="36" s="1"/>
  <c r="X106" i="36" s="1"/>
  <c r="N78" i="36"/>
  <c r="P86" i="36"/>
  <c r="Q86" i="36" s="1"/>
  <c r="V86" i="36" s="1"/>
  <c r="W86" i="36" s="1"/>
  <c r="H86" i="36"/>
  <c r="H55" i="3"/>
  <c r="H56" i="3" s="1"/>
  <c r="I54" i="3"/>
  <c r="J53" i="3" s="1"/>
  <c r="J52" i="3"/>
  <c r="L46" i="3"/>
  <c r="K47" i="3"/>
  <c r="J41" i="3"/>
  <c r="G61" i="3"/>
  <c r="M51" i="36" l="1"/>
  <c r="F84" i="36"/>
  <c r="F85" i="36" s="1"/>
  <c r="F86" i="36" s="1"/>
  <c r="H84" i="36"/>
  <c r="X84" i="36" s="1"/>
  <c r="N79" i="36"/>
  <c r="N80" i="36"/>
  <c r="X86" i="36"/>
  <c r="J54" i="3"/>
  <c r="J55" i="3" s="1"/>
  <c r="I55" i="3"/>
  <c r="I56" i="3" s="1"/>
  <c r="H61" i="3"/>
  <c r="L47" i="3"/>
  <c r="M46" i="3"/>
  <c r="K40" i="3"/>
  <c r="K52" i="3" s="1"/>
  <c r="I93" i="36" l="1"/>
  <c r="V93" i="36" s="1"/>
  <c r="W93" i="36" s="1"/>
  <c r="X93" i="36" s="1"/>
  <c r="I94" i="36"/>
  <c r="V94" i="36" s="1"/>
  <c r="W94" i="36" s="1"/>
  <c r="X94" i="36" s="1"/>
  <c r="I92" i="36"/>
  <c r="V92" i="36" s="1"/>
  <c r="W92" i="36" s="1"/>
  <c r="X92" i="36" s="1"/>
  <c r="I87" i="36"/>
  <c r="V87" i="36" s="1"/>
  <c r="W87" i="36" s="1"/>
  <c r="X87" i="36" s="1"/>
  <c r="I91" i="36"/>
  <c r="V91" i="36" s="1"/>
  <c r="W91" i="36" s="1"/>
  <c r="X91" i="36" s="1"/>
  <c r="I90" i="36"/>
  <c r="V90" i="36" s="1"/>
  <c r="W90" i="36" s="1"/>
  <c r="X90" i="36" s="1"/>
  <c r="I89" i="36"/>
  <c r="V89" i="36" s="1"/>
  <c r="W89" i="36" s="1"/>
  <c r="X89" i="36" s="1"/>
  <c r="I96" i="36"/>
  <c r="V96" i="36" s="1"/>
  <c r="W96" i="36" s="1"/>
  <c r="X96" i="36" s="1"/>
  <c r="I88" i="36"/>
  <c r="V88" i="36" s="1"/>
  <c r="W88" i="36" s="1"/>
  <c r="X88" i="36" s="1"/>
  <c r="I95" i="36"/>
  <c r="V95" i="36" s="1"/>
  <c r="W95" i="36" s="1"/>
  <c r="X95" i="36" s="1"/>
  <c r="K53" i="3"/>
  <c r="K54" i="3" s="1"/>
  <c r="N46" i="3"/>
  <c r="M47" i="3"/>
  <c r="K41" i="3"/>
  <c r="I61" i="3"/>
  <c r="J56" i="3"/>
  <c r="X107" i="36" l="1"/>
  <c r="B22" i="36" s="1"/>
  <c r="X108" i="36"/>
  <c r="B18" i="4" s="1"/>
  <c r="J61" i="3"/>
  <c r="L53" i="3"/>
  <c r="K55" i="3"/>
  <c r="L40" i="3"/>
  <c r="L52" i="3" s="1"/>
  <c r="N47" i="3"/>
  <c r="O46" i="3"/>
  <c r="L54" i="3" l="1"/>
  <c r="M53" i="3" s="1"/>
  <c r="L41" i="3"/>
  <c r="K56" i="3"/>
  <c r="O47" i="3"/>
  <c r="P46" i="3"/>
  <c r="L55" i="3" l="1"/>
  <c r="L56" i="3" s="1"/>
  <c r="Q46" i="3"/>
  <c r="P47" i="3"/>
  <c r="K61" i="3"/>
  <c r="M40" i="3"/>
  <c r="M52" i="3" s="1"/>
  <c r="M54" i="3" s="1"/>
  <c r="Q47" i="3" l="1"/>
  <c r="R46" i="3"/>
  <c r="N53" i="3"/>
  <c r="M55" i="3"/>
  <c r="L61" i="3"/>
  <c r="M41" i="3"/>
  <c r="M56" i="3" l="1"/>
  <c r="R47" i="3"/>
  <c r="S46" i="3"/>
  <c r="N40" i="3"/>
  <c r="N52" i="3" s="1"/>
  <c r="N54" i="3" s="1"/>
  <c r="N41" i="3" l="1"/>
  <c r="O40" i="3" s="1"/>
  <c r="O52" i="3" s="1"/>
  <c r="N55" i="3"/>
  <c r="O53" i="3"/>
  <c r="T46" i="3"/>
  <c r="S47" i="3"/>
  <c r="M61" i="3"/>
  <c r="O41" i="3" l="1"/>
  <c r="P40" i="3" s="1"/>
  <c r="P52" i="3" s="1"/>
  <c r="T47" i="3"/>
  <c r="U46" i="3"/>
  <c r="N56" i="3"/>
  <c r="O54" i="3"/>
  <c r="P41" i="3" l="1"/>
  <c r="Q40" i="3" s="1"/>
  <c r="Q52" i="3" s="1"/>
  <c r="P53" i="3"/>
  <c r="P54" i="3" s="1"/>
  <c r="O55" i="3"/>
  <c r="V46" i="3"/>
  <c r="U47" i="3"/>
  <c r="N61" i="3"/>
  <c r="Q41" i="3" l="1"/>
  <c r="R40" i="3" s="1"/>
  <c r="R52" i="3" s="1"/>
  <c r="V47" i="3"/>
  <c r="W46" i="3"/>
  <c r="O56" i="3"/>
  <c r="Q53" i="3"/>
  <c r="Q54" i="3" s="1"/>
  <c r="P55" i="3"/>
  <c r="R41" i="3" l="1"/>
  <c r="S40" i="3" s="1"/>
  <c r="S52" i="3" s="1"/>
  <c r="O61" i="3"/>
  <c r="P56" i="3"/>
  <c r="W47" i="3"/>
  <c r="X46" i="3"/>
  <c r="R53" i="3"/>
  <c r="R54" i="3" s="1"/>
  <c r="Q55" i="3"/>
  <c r="S41" i="3" l="1"/>
  <c r="T40" i="3" s="1"/>
  <c r="T52" i="3" s="1"/>
  <c r="R55" i="3"/>
  <c r="S53" i="3"/>
  <c r="S54" i="3" s="1"/>
  <c r="P61" i="3"/>
  <c r="X47" i="3"/>
  <c r="Y46" i="3"/>
  <c r="Y47" i="3" s="1"/>
  <c r="Q56" i="3"/>
  <c r="T41" i="3" l="1"/>
  <c r="U40" i="3" s="1"/>
  <c r="U52" i="3" s="1"/>
  <c r="Q61" i="3"/>
  <c r="T53" i="3"/>
  <c r="T54" i="3" s="1"/>
  <c r="S55" i="3"/>
  <c r="B47" i="3"/>
  <c r="R56" i="3"/>
  <c r="U41" i="3" l="1"/>
  <c r="U53" i="3"/>
  <c r="U54" i="3" s="1"/>
  <c r="T55" i="3"/>
  <c r="R61" i="3"/>
  <c r="S56" i="3"/>
  <c r="V40" i="3" l="1"/>
  <c r="V52" i="3" s="1"/>
  <c r="U55" i="3"/>
  <c r="V53" i="3"/>
  <c r="S61" i="3"/>
  <c r="T56" i="3"/>
  <c r="V54" i="3" l="1"/>
  <c r="V55" i="3" s="1"/>
  <c r="V41" i="3"/>
  <c r="U56" i="3"/>
  <c r="T61" i="3"/>
  <c r="W40" i="3" l="1"/>
  <c r="W52" i="3" s="1"/>
  <c r="W53" i="3"/>
  <c r="U61" i="3"/>
  <c r="V56" i="3"/>
  <c r="W41" i="3" l="1"/>
  <c r="W54" i="3"/>
  <c r="V61" i="3"/>
  <c r="X53" i="3" l="1"/>
  <c r="W55" i="3"/>
  <c r="W56" i="3" s="1"/>
  <c r="W61" i="3" s="1"/>
  <c r="X40" i="3"/>
  <c r="X52" i="3" s="1"/>
  <c r="X41" i="3" l="1"/>
  <c r="X54" i="3"/>
  <c r="X55" i="3" l="1"/>
  <c r="X56" i="3" s="1"/>
  <c r="X61" i="3" s="1"/>
  <c r="Y53" i="3"/>
  <c r="Y40" i="3"/>
  <c r="Y52" i="3" s="1"/>
  <c r="Y54" i="3" l="1"/>
  <c r="B52" i="3"/>
  <c r="Y41" i="3"/>
  <c r="Y55" i="3" l="1"/>
  <c r="B54" i="3"/>
  <c r="B55" i="3" l="1"/>
  <c r="C55" i="3" s="1"/>
  <c r="Y56" i="3"/>
  <c r="B56" i="3" l="1"/>
  <c r="Y61" i="3"/>
  <c r="B61" i="3" s="1"/>
  <c r="X57" i="3" l="1"/>
  <c r="T57" i="3"/>
  <c r="M57" i="3"/>
  <c r="L57" i="3"/>
  <c r="U57" i="3"/>
  <c r="W57" i="3"/>
  <c r="N57" i="3"/>
  <c r="S57" i="3"/>
  <c r="F57" i="3"/>
  <c r="I57" i="3"/>
  <c r="K57" i="3"/>
  <c r="B57" i="3"/>
  <c r="G57" i="3"/>
  <c r="Y57" i="3"/>
  <c r="P57" i="3"/>
  <c r="C57" i="3"/>
  <c r="C59" i="3" s="1"/>
  <c r="B28" i="3"/>
  <c r="B20" i="4" s="1"/>
  <c r="O57" i="3"/>
  <c r="D57" i="3"/>
  <c r="D59" i="3" s="1"/>
  <c r="V57" i="3"/>
  <c r="E57" i="3"/>
  <c r="E59" i="3" s="1"/>
  <c r="H57" i="3"/>
  <c r="R57" i="3"/>
  <c r="Q57" i="3"/>
  <c r="J57" i="3"/>
  <c r="K64" i="3" l="1"/>
  <c r="K65" i="3"/>
  <c r="K66" i="3"/>
  <c r="K58" i="3"/>
  <c r="O66" i="3"/>
  <c r="O58" i="3"/>
  <c r="O64" i="3"/>
  <c r="O65" i="3"/>
  <c r="I64" i="3"/>
  <c r="I65" i="3"/>
  <c r="I66" i="3"/>
  <c r="I58" i="3"/>
  <c r="J64" i="3"/>
  <c r="J65" i="3"/>
  <c r="J66" i="3"/>
  <c r="J58" i="3"/>
  <c r="Q64" i="3"/>
  <c r="Q65" i="3"/>
  <c r="Q66" i="3"/>
  <c r="Q58" i="3"/>
  <c r="S65" i="3"/>
  <c r="S64" i="3"/>
  <c r="S66" i="3"/>
  <c r="S58" i="3"/>
  <c r="P65" i="3"/>
  <c r="P64" i="3"/>
  <c r="P66" i="3"/>
  <c r="P58" i="3"/>
  <c r="H64" i="3"/>
  <c r="H65" i="3"/>
  <c r="H66" i="3"/>
  <c r="H58" i="3"/>
  <c r="G64" i="3"/>
  <c r="G65" i="3"/>
  <c r="G66" i="3"/>
  <c r="G58" i="3"/>
  <c r="U65" i="3"/>
  <c r="U66" i="3"/>
  <c r="U58" i="3"/>
  <c r="U64" i="3"/>
  <c r="M64" i="3"/>
  <c r="M65" i="3"/>
  <c r="M66" i="3"/>
  <c r="M58" i="3"/>
  <c r="R65" i="3"/>
  <c r="R64" i="3"/>
  <c r="R66" i="3"/>
  <c r="R58" i="3"/>
  <c r="N66" i="3"/>
  <c r="N58" i="3"/>
  <c r="N65" i="3"/>
  <c r="N64" i="3"/>
  <c r="Y64" i="3"/>
  <c r="Y65" i="3"/>
  <c r="Y59" i="3"/>
  <c r="Y66" i="3"/>
  <c r="Y58" i="3"/>
  <c r="W65" i="3"/>
  <c r="W64" i="3"/>
  <c r="W66" i="3"/>
  <c r="W58" i="3"/>
  <c r="V64" i="3"/>
  <c r="V65" i="3"/>
  <c r="V66" i="3"/>
  <c r="V58" i="3"/>
  <c r="L64" i="3"/>
  <c r="L65" i="3"/>
  <c r="L66" i="3"/>
  <c r="L58" i="3"/>
  <c r="T66" i="3"/>
  <c r="T58" i="3"/>
  <c r="T64" i="3"/>
  <c r="T65" i="3"/>
  <c r="F58" i="3"/>
  <c r="F64" i="3"/>
  <c r="F65" i="3"/>
  <c r="F66" i="3"/>
  <c r="X65" i="3"/>
  <c r="X66" i="3"/>
  <c r="X64" i="3"/>
  <c r="X58" i="3"/>
  <c r="B64" i="3" l="1"/>
  <c r="C64" i="3" s="1"/>
  <c r="B66" i="3"/>
  <c r="C66" i="3" s="1"/>
  <c r="B65" i="3"/>
  <c r="C65" i="3" s="1"/>
  <c r="B58" i="3"/>
  <c r="B67" i="3" l="1"/>
  <c r="C67" i="3" s="1"/>
  <c r="E60" i="3"/>
  <c r="B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BrandtFam</author>
  </authors>
  <commentList>
    <comment ref="Y5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BrandtFam:</t>
        </r>
        <r>
          <rPr>
            <sz val="9"/>
            <color indexed="81"/>
            <rFont val="Tahoma"/>
            <family val="2"/>
          </rPr>
          <t xml:space="preserve">
Gevan Marrs:
I think a slight mistake here… uses 20 yr instead of 30</t>
        </r>
      </text>
    </comment>
  </commentList>
</comments>
</file>

<file path=xl/sharedStrings.xml><?xml version="1.0" encoding="utf-8"?>
<sst xmlns="http://schemas.openxmlformats.org/spreadsheetml/2006/main" count="917" uniqueCount="609">
  <si>
    <t>cost year</t>
  </si>
  <si>
    <t>Item</t>
  </si>
  <si>
    <t>source</t>
  </si>
  <si>
    <t>days per year</t>
  </si>
  <si>
    <t>hours per day</t>
  </si>
  <si>
    <t xml:space="preserve">Source: </t>
  </si>
  <si>
    <t>(1)Chemical Engineering Magazine, March, 1997</t>
  </si>
  <si>
    <t>(2)Chemical Engineering Magazine, March, 2000</t>
  </si>
  <si>
    <t>(3)Chemical Engineering Magazine, January, 2001</t>
  </si>
  <si>
    <t>(4)Chemical Engineering Magazine, April, 2002</t>
  </si>
  <si>
    <t>(5) Chemical Engineering Magazine, December, 2003</t>
  </si>
  <si>
    <t>(6) Chemical Engineering Magazine, May 2005</t>
  </si>
  <si>
    <t>(7) Chemical Engineering Magazine, April 2009</t>
  </si>
  <si>
    <t>(8) Chemical Engineering Magazine, May 2013</t>
  </si>
  <si>
    <t>(9) Chemcial Engineering Magazine, April 2015</t>
  </si>
  <si>
    <t>Source</t>
  </si>
  <si>
    <t>Year</t>
  </si>
  <si>
    <t>(1)</t>
  </si>
  <si>
    <t>(2)</t>
  </si>
  <si>
    <t>(3)</t>
  </si>
  <si>
    <t>(4)</t>
  </si>
  <si>
    <t>(5)</t>
  </si>
  <si>
    <t>(6)</t>
  </si>
  <si>
    <t>(8)</t>
  </si>
  <si>
    <t>(9)</t>
  </si>
  <si>
    <t>electricity cost ($/kwh)</t>
  </si>
  <si>
    <t>natural gas cost ($/k cf)</t>
  </si>
  <si>
    <t>Revised</t>
  </si>
  <si>
    <t>Feedstock (MM$/yr)</t>
  </si>
  <si>
    <t>TOTAL</t>
  </si>
  <si>
    <t>Fixed Operating Costs</t>
  </si>
  <si>
    <t>Maintenance</t>
  </si>
  <si>
    <t>TOTAL OPEX</t>
  </si>
  <si>
    <t>Value</t>
  </si>
  <si>
    <t>Annual Revenue</t>
  </si>
  <si>
    <t xml:space="preserve">Product  </t>
  </si>
  <si>
    <t>Annual Product</t>
  </si>
  <si>
    <t>Total Annual Revenue, $MM</t>
  </si>
  <si>
    <t>Based on: Corn Stover Design Report Case: 2012 model DW1102A</t>
  </si>
  <si>
    <t>Assumptions</t>
  </si>
  <si>
    <t>Fixed Capital Investment</t>
  </si>
  <si>
    <t xml:space="preserve">   General Plant</t>
  </si>
  <si>
    <t>Equity</t>
  </si>
  <si>
    <t xml:space="preserve">   Loan Interest</t>
  </si>
  <si>
    <t xml:space="preserve">   Loan Term, years</t>
  </si>
  <si>
    <t>Salvage Value</t>
  </si>
  <si>
    <t>Depreciation Period (Years)</t>
  </si>
  <si>
    <t xml:space="preserve">   Steam/Electricity System</t>
  </si>
  <si>
    <t>Construction Period (Years)</t>
  </si>
  <si>
    <t xml:space="preserve">   % Spent in Year -2</t>
  </si>
  <si>
    <t xml:space="preserve">   % Spent in Year -1</t>
  </si>
  <si>
    <t xml:space="preserve">   % Spent in Year 0</t>
  </si>
  <si>
    <t>Start-up Time (Years)</t>
  </si>
  <si>
    <t xml:space="preserve">  Variable Costs (% of Normal)</t>
  </si>
  <si>
    <t xml:space="preserve">  Fixed Cost (% of Normal)</t>
  </si>
  <si>
    <t>Discount Rate (Internal Rate of Return [IRR])</t>
  </si>
  <si>
    <t>Income Tax Rate</t>
  </si>
  <si>
    <t>Cost Year for Analysis</t>
  </si>
  <si>
    <t>Net Present Value</t>
  </si>
  <si>
    <t>Not permitted since 2002</t>
  </si>
  <si>
    <t>IRS Pub 946</t>
  </si>
  <si>
    <t>Check Zero (target)</t>
  </si>
  <si>
    <t>Equity Percent of Total Investment</t>
  </si>
  <si>
    <t>Assumed annual Inflation</t>
  </si>
  <si>
    <t xml:space="preserve">Units </t>
  </si>
  <si>
    <t>DCFROR Worksheet - all $ MM</t>
  </si>
  <si>
    <t>Annual Averages</t>
  </si>
  <si>
    <t>Land</t>
  </si>
  <si>
    <t>Working Capital</t>
  </si>
  <si>
    <t>Loan Payment</t>
  </si>
  <si>
    <t xml:space="preserve">   Loan Interest Payment</t>
  </si>
  <si>
    <t xml:space="preserve">   Loan Outstanding Principal</t>
  </si>
  <si>
    <t>Annual Manufacturing Cost</t>
  </si>
  <si>
    <t xml:space="preserve">   Feedstock</t>
  </si>
  <si>
    <t xml:space="preserve">   Other Variable Costs</t>
  </si>
  <si>
    <t xml:space="preserve">   Fixed Operating Costs</t>
  </si>
  <si>
    <t>Total Product Cost</t>
  </si>
  <si>
    <t>Annual Depreciation</t>
  </si>
  <si>
    <t>General Plant Writedown</t>
  </si>
  <si>
    <t xml:space="preserve">     Depreciation Charge - TOTAL</t>
  </si>
  <si>
    <t xml:space="preserve">     Remaining Value</t>
  </si>
  <si>
    <t>Net Revenue</t>
  </si>
  <si>
    <t>Losses Forward</t>
  </si>
  <si>
    <t>Taxable Income</t>
  </si>
  <si>
    <t>Income Tax</t>
  </si>
  <si>
    <t>Annual Cash Income</t>
  </si>
  <si>
    <t>Discount Factor</t>
  </si>
  <si>
    <t>Annual Present Value</t>
  </si>
  <si>
    <t>Total Capital Investment + Interest</t>
  </si>
  <si>
    <t>Net Present Worth</t>
  </si>
  <si>
    <t>Internal Rate of Return</t>
  </si>
  <si>
    <t>NPV of All Revenue @IRR</t>
  </si>
  <si>
    <t>Discounted Depreciation</t>
  </si>
  <si>
    <t>NPV of Income Tax @IRR</t>
  </si>
  <si>
    <t>NPV of After-tax Cash Flow @ IRR</t>
  </si>
  <si>
    <t>If taxable income &lt; 0, tax = $0</t>
  </si>
  <si>
    <t>Loan Interest subtracted from taxable income.</t>
  </si>
  <si>
    <t>Loan payment subtracted from annual cash income</t>
  </si>
  <si>
    <t>Interest on construction loan added to investment</t>
  </si>
  <si>
    <t>LAND ($MM)</t>
  </si>
  <si>
    <t>Loan Rate</t>
  </si>
  <si>
    <t>Term (years)</t>
  </si>
  <si>
    <t>Fixed Costs (Labor, Prop Tax, Insurance, Maint.)</t>
  </si>
  <si>
    <t>Total Manufacturing Costs</t>
  </si>
  <si>
    <t>Total Annual Sales</t>
  </si>
  <si>
    <t>Equipment</t>
  </si>
  <si>
    <t>Total Capital Investment (TCI)</t>
  </si>
  <si>
    <t xml:space="preserve">Process Area </t>
  </si>
  <si>
    <t>ISBL</t>
  </si>
  <si>
    <t xml:space="preserve">Total Direct Costs (TDC) </t>
  </si>
  <si>
    <t>Fixed Capital Investment (FCI)</t>
  </si>
  <si>
    <t xml:space="preserve">Total Capital Investment (TCI) </t>
  </si>
  <si>
    <t xml:space="preserve">Total Annual Sales </t>
  </si>
  <si>
    <t xml:space="preserve"> </t>
  </si>
  <si>
    <t>Annual pmt @IRR</t>
  </si>
  <si>
    <t>CAPEX</t>
  </si>
  <si>
    <t>Notes</t>
  </si>
  <si>
    <t>natural gas cost ($/MMbtu)</t>
  </si>
  <si>
    <t>BLS - Employment Cost Index</t>
  </si>
  <si>
    <t>Job</t>
  </si>
  <si>
    <t>Year Avg Index</t>
  </si>
  <si>
    <t>Mar Index</t>
  </si>
  <si>
    <t>June Index</t>
  </si>
  <si>
    <t>Sept Index</t>
  </si>
  <si>
    <t>Dec Index</t>
  </si>
  <si>
    <t xml:space="preserve">  Feedstock use (% of Normal)</t>
  </si>
  <si>
    <t>FCI</t>
  </si>
  <si>
    <t>Taxes and Insurance</t>
  </si>
  <si>
    <t>MT/ST</t>
  </si>
  <si>
    <t>Conversion metric to US</t>
  </si>
  <si>
    <t>l/gal</t>
  </si>
  <si>
    <t xml:space="preserve">Number of days of work per year </t>
  </si>
  <si>
    <t>Benefits (%)</t>
  </si>
  <si>
    <t>Workers</t>
  </si>
  <si>
    <t>J/btu</t>
  </si>
  <si>
    <t>Shift Supervisor</t>
  </si>
  <si>
    <t>Lab Technician</t>
  </si>
  <si>
    <t>Shift Operators</t>
  </si>
  <si>
    <t>Salary (2011)</t>
  </si>
  <si>
    <t># Positions</t>
  </si>
  <si>
    <t>Total Cost (2011)</t>
  </si>
  <si>
    <t xml:space="preserve">   Annual Loan Payment ($MM)</t>
  </si>
  <si>
    <t>Labor + Benefits</t>
  </si>
  <si>
    <t>From Table 5 - values are for wages and salary only - labor burden not included for private employees</t>
  </si>
  <si>
    <t>All Workers</t>
  </si>
  <si>
    <t>Working Capital (% yearly OPEX)</t>
  </si>
  <si>
    <t>Economic Analysis (Real):</t>
  </si>
  <si>
    <t>NPV</t>
  </si>
  <si>
    <t>IRR</t>
  </si>
  <si>
    <t>Economic Analysis (Nominal):</t>
  </si>
  <si>
    <t>Financial Analysis (Nominal):</t>
  </si>
  <si>
    <t>Production Rate, start up (%)</t>
  </si>
  <si>
    <t>Wright et al.</t>
  </si>
  <si>
    <t>Inflation Rate</t>
  </si>
  <si>
    <t>Nominal Discount Rate</t>
  </si>
  <si>
    <t xml:space="preserve">Real Discount Rate </t>
  </si>
  <si>
    <t>location specific value</t>
  </si>
  <si>
    <t>Total Project Investment</t>
  </si>
  <si>
    <t>CostYr</t>
  </si>
  <si>
    <t>DaysPrYr</t>
  </si>
  <si>
    <t>HrsPrDay</t>
  </si>
  <si>
    <t>FeedCost</t>
  </si>
  <si>
    <t>InfRate</t>
  </si>
  <si>
    <t>ElecCost</t>
  </si>
  <si>
    <t>NGMMbtuCost</t>
  </si>
  <si>
    <t>NGkcfCost</t>
  </si>
  <si>
    <t>InTaxRate</t>
  </si>
  <si>
    <t>NomDiscRate</t>
  </si>
  <si>
    <t>Defined Name</t>
  </si>
  <si>
    <t>FeedPerD</t>
  </si>
  <si>
    <t>FeedPerYr</t>
  </si>
  <si>
    <t>RealDiscRate</t>
  </si>
  <si>
    <t>SpendYr1</t>
  </si>
  <si>
    <t>SpendYr2</t>
  </si>
  <si>
    <t>SpendYr3</t>
  </si>
  <si>
    <t xml:space="preserve">   % Spent in Year 1</t>
  </si>
  <si>
    <t xml:space="preserve">   % Spent in Year 2</t>
  </si>
  <si>
    <t xml:space="preserve">   % Spent in Year 3</t>
  </si>
  <si>
    <t>DepLife</t>
  </si>
  <si>
    <t>LoanInt</t>
  </si>
  <si>
    <t>LoanYrs</t>
  </si>
  <si>
    <t>LoanPayment</t>
  </si>
  <si>
    <t>TPI</t>
  </si>
  <si>
    <t xml:space="preserve">   Land</t>
  </si>
  <si>
    <t>LandCost</t>
  </si>
  <si>
    <t>ConstYrs</t>
  </si>
  <si>
    <t>CE Annual Index</t>
  </si>
  <si>
    <t>CY1990</t>
  </si>
  <si>
    <t>CY1991</t>
  </si>
  <si>
    <t>CY1992</t>
  </si>
  <si>
    <t>CY1993</t>
  </si>
  <si>
    <t>CY1994</t>
  </si>
  <si>
    <t>CY1995</t>
  </si>
  <si>
    <t>CY1996</t>
  </si>
  <si>
    <t>CY1997</t>
  </si>
  <si>
    <t>CY1998</t>
  </si>
  <si>
    <t>CY1999</t>
  </si>
  <si>
    <t>CY2000</t>
  </si>
  <si>
    <t>CY2001</t>
  </si>
  <si>
    <t>CY2002</t>
  </si>
  <si>
    <t>CY2003</t>
  </si>
  <si>
    <t>CY2004</t>
  </si>
  <si>
    <t>CY2005</t>
  </si>
  <si>
    <t>CY2006</t>
  </si>
  <si>
    <t>CY2007</t>
  </si>
  <si>
    <t>CY2008</t>
  </si>
  <si>
    <t>CY2009</t>
  </si>
  <si>
    <t>CY2010</t>
  </si>
  <si>
    <t>CY2011</t>
  </si>
  <si>
    <t>CY2012</t>
  </si>
  <si>
    <t>CY2013</t>
  </si>
  <si>
    <t>CY2014</t>
  </si>
  <si>
    <t>Plant Life (years)</t>
  </si>
  <si>
    <t>Real Discount Rate</t>
  </si>
  <si>
    <t xml:space="preserve">DCFROR IRR </t>
  </si>
  <si>
    <t>CY2015</t>
  </si>
  <si>
    <t xml:space="preserve">  Production Rate (% of Normal)</t>
  </si>
  <si>
    <t>OPEX</t>
  </si>
  <si>
    <t>NOTES</t>
  </si>
  <si>
    <t>Total OPEX (MM$)</t>
  </si>
  <si>
    <t>OPEX (MM$/yr)</t>
  </si>
  <si>
    <t>Yield</t>
  </si>
  <si>
    <t>year</t>
  </si>
  <si>
    <t>item</t>
  </si>
  <si>
    <t>Total OPEX (MM$/yr)</t>
  </si>
  <si>
    <t>Installed Equipment Cost</t>
  </si>
  <si>
    <t>Unit Op</t>
  </si>
  <si>
    <t>OPEX, MM$</t>
  </si>
  <si>
    <t>Capital Costs (MM$)</t>
  </si>
  <si>
    <t>Manufacturing Costs (MM$ per year)</t>
  </si>
  <si>
    <t>Clerks &amp; Admin Asst.</t>
  </si>
  <si>
    <t>Purchased Equipment Cost</t>
  </si>
  <si>
    <t>Total Purchased Cost (MM$)</t>
  </si>
  <si>
    <t xml:space="preserve">Ratio Factor (TDC) = </t>
  </si>
  <si>
    <t xml:space="preserve">Ratio Factor (FCI) = </t>
  </si>
  <si>
    <t>Total Purcahsed Cost</t>
  </si>
  <si>
    <t>Full Author List</t>
  </si>
  <si>
    <t>Title</t>
  </si>
  <si>
    <t>Journal/Publisher</t>
  </si>
  <si>
    <t>Link</t>
  </si>
  <si>
    <t>Marrs, G.; Spink, T.; Gao, A.</t>
  </si>
  <si>
    <t>Process design and economics for biochemical conversion of softwood lignocellulosic biomass to isoparaffinic kerosene and lignin co-products</t>
  </si>
  <si>
    <t>NARA Report</t>
  </si>
  <si>
    <t>https://research.libraries.wsu.edu/xmlui/handle/2376/6422</t>
  </si>
  <si>
    <t>How to Depreciate Property. Publication #946</t>
  </si>
  <si>
    <t>Washington, DC</t>
  </si>
  <si>
    <t>Department of the Treasury Internal Revenue Service</t>
  </si>
  <si>
    <t>Jones, S.; Meyer, P.; Snowden-Swan, L.; Padmaperuma, A.; Tan, E.; Dutta, A.; Jacobson, J.; Cafferty, K.</t>
  </si>
  <si>
    <t>Process Design and Economics for the Conversion of Lignocellulosic Biomass to Hydrocarbon Fuels: Fast Pyrolysis and Hydrotreating Bio-oil Pathway</t>
  </si>
  <si>
    <t>PNNL-23053; NREL/TP-5100-61178</t>
  </si>
  <si>
    <t>http://www.nrel.gov/docs/fy14osti/61178.pdf</t>
  </si>
  <si>
    <t>US Average Annual Industrial Electricity Rate</t>
  </si>
  <si>
    <t>https://www.eia.gov/electricity/monthly/epm_table_grapher.php?t=epmt_5_3</t>
  </si>
  <si>
    <t>US Average Annual Industrial Natural Gas Rate</t>
  </si>
  <si>
    <t>https://www.eia.gov/dnav/ng/hist/n3035us3A.htm</t>
  </si>
  <si>
    <t>Peters, M.S.; Timmerhaus, K.D.; West, R.E.</t>
  </si>
  <si>
    <t>Plant Design and Economics for Chemical Engeers, 5th Ed.</t>
  </si>
  <si>
    <t>New York</t>
  </si>
  <si>
    <t>McGraw-Hill</t>
  </si>
  <si>
    <t>Wright, M.M.; Daugaard, D.E.; Satrio, J.A.; Brown, R.C.</t>
  </si>
  <si>
    <t>Techno-economic analysis of biomass fast pyrolysis to transportation fuels</t>
  </si>
  <si>
    <t>Fuel 89 (2010) S2–S10</t>
  </si>
  <si>
    <t>https://doi.org/10.1016/j.fuel.2010.07.029</t>
  </si>
  <si>
    <t>multiple</t>
  </si>
  <si>
    <t>Chemical Engineering Magazine Plant Cost Index</t>
  </si>
  <si>
    <t>Chemicla Engineering Magazine</t>
  </si>
  <si>
    <t>http://www.chemengonline.com/pci-home</t>
  </si>
  <si>
    <t>Bureau of Labor Statistics, United States Department of Labor</t>
  </si>
  <si>
    <t>Employment Cost Index Historical Listing – Volume III National Compensation Survey, Table 5</t>
  </si>
  <si>
    <t>https://www.bls.gov/web/eci/echistrynaics.pdf</t>
  </si>
  <si>
    <t>Humbird, D.; Davis, R.; Tao, L.; Kinchin, C.; Hsu, D.; Aden, A.; Schoen, P.;  Lukas, J.; Olthof, B.; Worley, M.
D. Sexton, and D. Dudgeon</t>
  </si>
  <si>
    <t>Process Design and Economics for Biochemical Conversion of Lignocellulosic Biomass to Ethanol: Dilute-Acid Pretreatment and Enzymatic Hydrolysis of Corn Stover</t>
  </si>
  <si>
    <t>NREL/TP-5100-47764</t>
  </si>
  <si>
    <t>http://www.nrel.gov/docs/fy11osti/47764.pdf</t>
  </si>
  <si>
    <t>Aspen Modeling of the NARA Conversion Processes</t>
  </si>
  <si>
    <t>https://research.libraries.wsu.edu/xmlui/bitstream/handle/2376/6470/ASPEN_modeling.pdf?sequence=1&amp;isAllowed=y</t>
  </si>
  <si>
    <t>Chen, S.; Spink, T.; Gao, A.</t>
  </si>
  <si>
    <t>Cost</t>
  </si>
  <si>
    <t>Target Nominal Financial Discount Rate</t>
  </si>
  <si>
    <t>Actual Nominal Financial Discount Rate</t>
  </si>
  <si>
    <t>purchased cost</t>
  </si>
  <si>
    <t>Feedstock Prep</t>
  </si>
  <si>
    <t>Total Purchased Equipment Cost</t>
  </si>
  <si>
    <t>Cost per Year</t>
  </si>
  <si>
    <t>kgPrHr</t>
  </si>
  <si>
    <t>OD kg/hr through process</t>
  </si>
  <si>
    <t>Yard Employees</t>
  </si>
  <si>
    <t>Production(BDST/yrl/yr)</t>
  </si>
  <si>
    <t>Production Rate (k BDST/year)</t>
  </si>
  <si>
    <t>Micronized Wood</t>
  </si>
  <si>
    <t>Concentrated Sugar</t>
  </si>
  <si>
    <t>SugarYield</t>
  </si>
  <si>
    <t>SugarProd</t>
  </si>
  <si>
    <t>Ammonia Addition Tank Agitator</t>
  </si>
  <si>
    <t>Ammonia Static Mixer</t>
  </si>
  <si>
    <t>Hydrolyzate Pump</t>
  </si>
  <si>
    <t>Ammonia Addition Tank</t>
  </si>
  <si>
    <t>Enzyme-Hydrolyzate Mixer</t>
  </si>
  <si>
    <t>Hydrolyzate Cooler</t>
  </si>
  <si>
    <t>Saccharification Transfer Pump</t>
  </si>
  <si>
    <t>Saccharification Tank</t>
  </si>
  <si>
    <t>Cellulase Storage Package</t>
  </si>
  <si>
    <t>Belt Filter Press, WET wt, not OD</t>
  </si>
  <si>
    <t>Sugar product pump</t>
  </si>
  <si>
    <t>Evaporator System</t>
  </si>
  <si>
    <t>3rd Evaporator Condenser</t>
  </si>
  <si>
    <t>Cost year</t>
  </si>
  <si>
    <t>Count</t>
  </si>
  <si>
    <t>NARA Purchased Cost</t>
  </si>
  <si>
    <t>NREL Area 300 OPEX</t>
  </si>
  <si>
    <t>NREL year</t>
  </si>
  <si>
    <t>NREL kW usage</t>
  </si>
  <si>
    <t>Belt Filter Press</t>
  </si>
  <si>
    <t>NREL Steam Use (kg/hr)</t>
  </si>
  <si>
    <t>NREL Steam Use (lb/hr)</t>
  </si>
  <si>
    <t>Concntrate to Syrup</t>
  </si>
  <si>
    <t>NARA (MM BTU/yr)</t>
  </si>
  <si>
    <t>NARA (MM BTU/hr)</t>
  </si>
  <si>
    <t>NARA cost</t>
  </si>
  <si>
    <t>Humbird et al. Equip</t>
  </si>
  <si>
    <t>NREL solids (%)</t>
  </si>
  <si>
    <t>NARA solids (%)</t>
  </si>
  <si>
    <t>NREL concen. solids (%)</t>
  </si>
  <si>
    <t>NARA kW</t>
  </si>
  <si>
    <t>NARA kWh/yr</t>
  </si>
  <si>
    <t>7 kW per belt filter press, per quote - updated formula after publication complete</t>
  </si>
  <si>
    <t>Total</t>
  </si>
  <si>
    <t>NARA Steam Use (lb/hr)</t>
  </si>
  <si>
    <t>http://www.engineeringtoolbox.com/saturated-steam-properties-d_273.html</t>
  </si>
  <si>
    <t>linear scaling from NREL value, sum of kW from area 300 with scale up for 8.4% starting solids instead of 12.7%</t>
  </si>
  <si>
    <t>Mani count</t>
  </si>
  <si>
    <t>Dryer</t>
  </si>
  <si>
    <t>pellet mills</t>
  </si>
  <si>
    <t>pellet cooler</t>
  </si>
  <si>
    <t>pellet shaker</t>
  </si>
  <si>
    <t>NARA count</t>
  </si>
  <si>
    <t>Mani (MT/h)</t>
  </si>
  <si>
    <t>Energy</t>
  </si>
  <si>
    <t>MMbtu/yr</t>
  </si>
  <si>
    <t>Drying - NG</t>
  </si>
  <si>
    <t>Drying - electricity</t>
  </si>
  <si>
    <t>Pelleting</t>
  </si>
  <si>
    <t>Screening</t>
  </si>
  <si>
    <t>Cooling</t>
  </si>
  <si>
    <t>kWh/yr</t>
  </si>
  <si>
    <t>Pirraglia (BDMT/hr)</t>
  </si>
  <si>
    <t>Pirraglia kWh/yr</t>
  </si>
  <si>
    <t>cost per in $ year</t>
  </si>
  <si>
    <t>$ year</t>
  </si>
  <si>
    <t>unit</t>
  </si>
  <si>
    <t>bags</t>
  </si>
  <si>
    <t>40-lb, 7% MC</t>
  </si>
  <si>
    <t>pallets</t>
  </si>
  <si>
    <t>wrapping</t>
  </si>
  <si>
    <t>dies</t>
  </si>
  <si>
    <t>cost per unit 2015$</t>
  </si>
  <si>
    <t>Cost, $/yr</t>
  </si>
  <si>
    <t>MT, 7% MC</t>
  </si>
  <si>
    <t>PelletYield</t>
  </si>
  <si>
    <t>Unit</t>
  </si>
  <si>
    <t>NARA WWT value</t>
  </si>
  <si>
    <t>NARA unit</t>
  </si>
  <si>
    <t>Cost (MM$/yr)</t>
  </si>
  <si>
    <t>WWT - pay outside vendor</t>
  </si>
  <si>
    <t>$/k gal</t>
  </si>
  <si>
    <t>k gal/yr</t>
  </si>
  <si>
    <t>WWT - BOD or TSS</t>
  </si>
  <si>
    <t>$/lb</t>
  </si>
  <si>
    <t>lb/yr</t>
  </si>
  <si>
    <t>g/L</t>
  </si>
  <si>
    <t>lb/L</t>
  </si>
  <si>
    <t>lb/gal</t>
  </si>
  <si>
    <t>COD Estimate</t>
  </si>
  <si>
    <t>NARA IBR</t>
  </si>
  <si>
    <t>NARA IBR unit</t>
  </si>
  <si>
    <t>Electrical Distribution</t>
  </si>
  <si>
    <t>MM$/yr</t>
  </si>
  <si>
    <t>Cooling Tower</t>
  </si>
  <si>
    <t>Mill Compressed Air</t>
  </si>
  <si>
    <t>Mill Data/Control</t>
  </si>
  <si>
    <t>Flare Gas System</t>
  </si>
  <si>
    <t>Process Water (Make up beyond 50% recycle)</t>
  </si>
  <si>
    <t>$/hour</t>
  </si>
  <si>
    <t>NARA IBR scale</t>
  </si>
  <si>
    <t>NARA Sugar Cost ($/yr)</t>
  </si>
  <si>
    <t>Saccharification</t>
  </si>
  <si>
    <t>Pellets</t>
  </si>
  <si>
    <t>WWT</t>
  </si>
  <si>
    <t>Utilities</t>
  </si>
  <si>
    <t>Plant Manager</t>
  </si>
  <si>
    <t>Plant Engineer</t>
  </si>
  <si>
    <t>Lab Manager</t>
  </si>
  <si>
    <t>Pellet Mill</t>
  </si>
  <si>
    <t>Qian and McDow 2013</t>
  </si>
  <si>
    <t>Cost (MM $/yr)</t>
  </si>
  <si>
    <t>Enzyme Purchase</t>
  </si>
  <si>
    <t>Enzyme Cost $/gal</t>
  </si>
  <si>
    <t>EnzCost</t>
  </si>
  <si>
    <t>Saccharifcation</t>
  </si>
  <si>
    <t>Enzymes</t>
  </si>
  <si>
    <t>*1.1 b/c sales price for 10% MC pellets; http://biomassmagazine.com/articles/3853/wood-pellets-an-expanding-market-opportunity</t>
  </si>
  <si>
    <t>Combined Revenue, $MM/yr</t>
  </si>
  <si>
    <t>Feedstock</t>
  </si>
  <si>
    <t>count</t>
  </si>
  <si>
    <t>flow rate/ capacity</t>
  </si>
  <si>
    <t>screen</t>
  </si>
  <si>
    <t>300 TPH</t>
  </si>
  <si>
    <t>feed bin</t>
  </si>
  <si>
    <t>40' diam x 80' tall</t>
  </si>
  <si>
    <t>dryer fan</t>
  </si>
  <si>
    <t>INCLUDED</t>
  </si>
  <si>
    <t>dryer burner</t>
  </si>
  <si>
    <t>rotary dryer</t>
  </si>
  <si>
    <t>150 BDT/day 50% to 5% MC</t>
  </si>
  <si>
    <t>dryer clylone</t>
  </si>
  <si>
    <t>dryer outfeed hopper</t>
  </si>
  <si>
    <t>OPEX - Pirraglia</t>
  </si>
  <si>
    <t>Units per Hour</t>
  </si>
  <si>
    <t>Units</t>
  </si>
  <si>
    <t>Units per Year</t>
  </si>
  <si>
    <t>Cost per Unit</t>
  </si>
  <si>
    <t>kWh/OD kg</t>
  </si>
  <si>
    <t>MM BTU/hr</t>
  </si>
  <si>
    <t>Total OPEX</t>
  </si>
  <si>
    <t>scaling factor</t>
  </si>
  <si>
    <t>Front End Loaders (tractor)</t>
  </si>
  <si>
    <t>liters</t>
  </si>
  <si>
    <t>FeedYrBFLoss</t>
  </si>
  <si>
    <t>ScreenLoss</t>
  </si>
  <si>
    <t>HogFuel</t>
  </si>
  <si>
    <t>Diesel Cost ($/gal)</t>
  </si>
  <si>
    <t>Diesel</t>
  </si>
  <si>
    <t>MiconYield</t>
  </si>
  <si>
    <t>Sceen Loss (%)</t>
  </si>
  <si>
    <t>3 Stage Milling</t>
  </si>
  <si>
    <t>sum of coarse, fine and amorphous milling</t>
  </si>
  <si>
    <t>Hog Fuel</t>
  </si>
  <si>
    <t>Wood Pellets</t>
  </si>
  <si>
    <t>FHR Prep</t>
  </si>
  <si>
    <t>WY scale</t>
  </si>
  <si>
    <t>Current Scale</t>
  </si>
  <si>
    <t>BDST/d</t>
  </si>
  <si>
    <t>Purchased Cost per Unit</t>
  </si>
  <si>
    <t>Feed Silo</t>
  </si>
  <si>
    <t>hammermill</t>
  </si>
  <si>
    <t>screen (1/8")</t>
  </si>
  <si>
    <t xml:space="preserve">Total Purchased Cost </t>
  </si>
  <si>
    <t>Power Use</t>
  </si>
  <si>
    <t>kWh/kg</t>
  </si>
  <si>
    <t>Additional Maintenance</t>
  </si>
  <si>
    <t xml:space="preserve">Cost per Year </t>
  </si>
  <si>
    <t>additional 4% maintenance to reach 10% for milling equipment, Mani et al. 2006</t>
  </si>
  <si>
    <t xml:space="preserve">fine mill - ACM </t>
  </si>
  <si>
    <t>1-1.5 MT/hr</t>
  </si>
  <si>
    <t>fine mill cyclone</t>
  </si>
  <si>
    <t>included</t>
  </si>
  <si>
    <t>Purchased Cost</t>
  </si>
  <si>
    <t>fine mill - ACM</t>
  </si>
  <si>
    <t>3.7-5.5 ST/h</t>
  </si>
  <si>
    <t>Total Purchased Cost</t>
  </si>
  <si>
    <t>3-stage milling</t>
  </si>
  <si>
    <t>FHR to Mill Gate</t>
  </si>
  <si>
    <t>FHR Cost to Mill Gate</t>
  </si>
  <si>
    <t>Feedstock: FHR</t>
  </si>
  <si>
    <t>media mill</t>
  </si>
  <si>
    <t>media mill (rod)</t>
  </si>
  <si>
    <t>media mill cyclone</t>
  </si>
  <si>
    <t>1.5% TCI, Peters et al. (mid of 1-2% range), use site specific number if possible</t>
  </si>
  <si>
    <t>Model spreadsheet provided by Wallace E. Tyner and Dawoon Jeong, Purdue University</t>
  </si>
  <si>
    <t>StartUp</t>
  </si>
  <si>
    <t>StartupFuel</t>
  </si>
  <si>
    <t>StartupVar</t>
  </si>
  <si>
    <t>StartupFixed</t>
  </si>
  <si>
    <t>ProdRamp</t>
  </si>
  <si>
    <t>Dep7yr</t>
  </si>
  <si>
    <t>NPV (Financial-Nominal)</t>
  </si>
  <si>
    <t>Total Capital Investment</t>
  </si>
  <si>
    <t>Sugar Sales</t>
  </si>
  <si>
    <t>Feedstock Cost</t>
  </si>
  <si>
    <t>Other Variable Cost</t>
  </si>
  <si>
    <t>Total Operating Cost</t>
  </si>
  <si>
    <t>(converted to nominal ters)</t>
  </si>
  <si>
    <t>Total Capital Investment (Nominal)</t>
  </si>
  <si>
    <t>Working Capital (Nominal)</t>
  </si>
  <si>
    <t>Loan Balance (Nominal)</t>
  </si>
  <si>
    <t>Loan Payment (Nominal)</t>
  </si>
  <si>
    <t>Equity Payment (Nominal)</t>
  </si>
  <si>
    <t>Interest (Nominal)</t>
  </si>
  <si>
    <t>Sugar Sales (Nominal)</t>
  </si>
  <si>
    <t>Feedstock Cost (Nominal)</t>
  </si>
  <si>
    <t>Other Variable Cost (Nominal)</t>
  </si>
  <si>
    <t>Fixed Operating Costs   (Nominal)</t>
  </si>
  <si>
    <t>Benefits</t>
  </si>
  <si>
    <t>Costs</t>
  </si>
  <si>
    <t>Net Revenue (Nominal)</t>
  </si>
  <si>
    <t>DDB Depreciation</t>
  </si>
  <si>
    <t>Straightline Depreciation</t>
  </si>
  <si>
    <t>Actual Depreciation</t>
  </si>
  <si>
    <t>Remaining Value</t>
  </si>
  <si>
    <t xml:space="preserve">Taxable Income </t>
  </si>
  <si>
    <t>AF/AT Income</t>
  </si>
  <si>
    <t>Co-Product Sales</t>
  </si>
  <si>
    <t>Co-Product Sales (Nominal)</t>
  </si>
  <si>
    <t>Use MSP button to set value to attain nominal financial discount rate</t>
  </si>
  <si>
    <t>Micronized Wood Yield (BDMT/BDMT)</t>
  </si>
  <si>
    <t>Sugar Yield (BDMT/BDMT)</t>
  </si>
  <si>
    <t>Sugar Produced (BDMT/yr)</t>
  </si>
  <si>
    <t>Wood Pellet Yield (BDMT/BDMT)</t>
  </si>
  <si>
    <t>k BDMT/yr through process</t>
  </si>
  <si>
    <t>BDMT/day Feedstock to mill gate</t>
  </si>
  <si>
    <t>k BDMT/yr Feedstock to mill gate</t>
  </si>
  <si>
    <t>Feedstock Cost ($/BDMT)</t>
  </si>
  <si>
    <t>Hog Fuel ($/BDMT)</t>
  </si>
  <si>
    <t>k BDMT/yr</t>
  </si>
  <si>
    <t>$/BDMT</t>
  </si>
  <si>
    <t>BDMT/yr</t>
  </si>
  <si>
    <t>Revenue $/BDMT</t>
  </si>
  <si>
    <t>Concentrated Sugar Production</t>
  </si>
  <si>
    <t>Sugar price ($/BDMT)</t>
  </si>
  <si>
    <t>Industry Quote</t>
  </si>
  <si>
    <t>BDMT/d</t>
  </si>
  <si>
    <t>8.3 BDT/hr</t>
  </si>
  <si>
    <t>Industry Quote, assumed 4 MT/hr</t>
  </si>
  <si>
    <t>NREL sugar production (MT/yr)</t>
  </si>
  <si>
    <t>NARA sugar production (MT/yr)</t>
  </si>
  <si>
    <t>scale  (BDMT/day)</t>
  </si>
  <si>
    <t>Estimate of NREL NG Use (MM Btu/hr)</t>
  </si>
  <si>
    <t>btu/lb steam</t>
  </si>
  <si>
    <t>NARA (MT/hr)</t>
  </si>
  <si>
    <t>BDMT/day</t>
  </si>
  <si>
    <t>FOB industry quote, assumed ~1.2 MT/hr</t>
  </si>
  <si>
    <t>Adapted from Qian and McDow 2013</t>
  </si>
  <si>
    <t>DefinedName</t>
  </si>
  <si>
    <t>Variable</t>
  </si>
  <si>
    <t>$ are MM</t>
  </si>
  <si>
    <t>Varialbe</t>
  </si>
  <si>
    <t>Boiler Chemicals</t>
  </si>
  <si>
    <t>Biomass Magazine</t>
  </si>
  <si>
    <t>Wood Pellets: An Expanding Market Opportunity</t>
  </si>
  <si>
    <t>Adrian Pirraglia, A.; Gonzalez, R.; Saloni, D.</t>
  </si>
  <si>
    <t>http://biomassmagazine.com/articles/3853/wood-pellets-an-expanding-market-opportunity</t>
  </si>
  <si>
    <t xml:space="preserve">Citation </t>
  </si>
  <si>
    <t>Marrs et al. 2016</t>
  </si>
  <si>
    <t>Jones et al. 2013</t>
  </si>
  <si>
    <t>EIA 2017a</t>
  </si>
  <si>
    <t>EIA 2017b</t>
  </si>
  <si>
    <t>Chen et al. 2016</t>
  </si>
  <si>
    <t>Peters et al. 2003</t>
  </si>
  <si>
    <t>Humbird et al. 2011</t>
  </si>
  <si>
    <t>Wright et al. 2010</t>
  </si>
  <si>
    <t>Techno-economical analysis of wood pellets production for U.S. manufacturers</t>
  </si>
  <si>
    <t>Pirraglia, A., Gonzalez, R., and Saloni, D.</t>
  </si>
  <si>
    <t>Pirraglia et al. 2010a</t>
  </si>
  <si>
    <t>Pirraglia et al. 2010b</t>
  </si>
  <si>
    <t>BioResources</t>
  </si>
  <si>
    <t>Vol. 5, No. 4, 2374-2390</t>
  </si>
  <si>
    <t xml:space="preserve">Mani, S., Sokhansanj, S., Bi, X., and Turhollow, A. </t>
  </si>
  <si>
    <t>Mani et al. 2006</t>
  </si>
  <si>
    <t>Economics of Producing Fuel Pellets from Biomass</t>
  </si>
  <si>
    <t>Vol. 22, No.3, 421-426</t>
  </si>
  <si>
    <t>Details</t>
  </si>
  <si>
    <t>Applied Engineering in Agriculture</t>
  </si>
  <si>
    <t>Qian, Y.; McDow, W.</t>
  </si>
  <si>
    <t>The Wood Pellet Value Chain: An economic analysis of the wood pellet supply chain from the Southeast United States to European Consumers</t>
  </si>
  <si>
    <t>US Endowment for Forestry and Communities</t>
  </si>
  <si>
    <t>Martinkus et al. 2017</t>
  </si>
  <si>
    <t>A comparison of methodologies for estimating delivered forest residue volume and cost to a wood-based biorefinery</t>
  </si>
  <si>
    <t>Biomass and Bioenergy</t>
  </si>
  <si>
    <t>https://doi.org/10.1016/j.biombioe.2017.08.023</t>
  </si>
  <si>
    <t>Jones et al. 2013 (90% up-time)</t>
  </si>
  <si>
    <t>EIA 2017a: 2011 -2015 average for WA</t>
  </si>
  <si>
    <t>EIA 2017b: 2011 -2015 average for WA</t>
  </si>
  <si>
    <t>EIA 2017b: conversion</t>
  </si>
  <si>
    <t>https://www.irs.gov/publications/p946/ar02.html</t>
  </si>
  <si>
    <t>IRS 2017</t>
  </si>
  <si>
    <t>Ratio Factor from Peters et al. 2003: updated for greenfield facitlity, factor for WWT removed</t>
  </si>
  <si>
    <t>sum of coarse, fine and amorphous milling, 10% delivery for FOB equipment per Peters et al. 2003</t>
  </si>
  <si>
    <t>BLS 2017</t>
  </si>
  <si>
    <t>OPERATING LABOR - adapted from Marrs et al. 2016 and Jones et al. 2013</t>
  </si>
  <si>
    <t>14.4 mmBTU/hr from quote</t>
  </si>
  <si>
    <t>Wang et al. 2018</t>
  </si>
  <si>
    <t>Wang, J., Gao, J., Brandt, K.L., Jiang, J., Liu, Y., Wolcott, M.P.</t>
  </si>
  <si>
    <t>Improvement of enzymatic digestibility of wood by a sequence of optimized milling procedures with final vibratory tube mills for the amorphization of cellulose</t>
  </si>
  <si>
    <t>Holzforschung</t>
  </si>
  <si>
    <t>CEPCI</t>
  </si>
  <si>
    <t>Plant Cost Indices - CEPCI</t>
  </si>
  <si>
    <t>industry quote</t>
  </si>
  <si>
    <t>Humbird et al. 2013</t>
  </si>
  <si>
    <t xml:space="preserve">DiGiacoma, G.; Taglieri, L. </t>
  </si>
  <si>
    <t>DiGiacoma and Taglieri 2009</t>
  </si>
  <si>
    <t xml:space="preserve">adapted from DiGiacoma and Taglieri 2009 based on 47% to 15% MC </t>
  </si>
  <si>
    <t>% of Pirraglia et al. 2010a kWh</t>
  </si>
  <si>
    <t>Mani et al. 2006 Pellet Mill (k$ each)</t>
  </si>
  <si>
    <t>doi:10.1016/j.energy.2008.08.010.</t>
  </si>
  <si>
    <t>Renewable energy benefits with conversion of woody residues to pellets</t>
  </si>
  <si>
    <t>Pirraglia et al. 2010a, updated to 2015$ using BLS 2017</t>
  </si>
  <si>
    <t>http://www.waterworld.com/articles/iww/print/volume-11/issue-1/feature-editorial/survey-examines-wastewater-treatment-costs.html</t>
  </si>
  <si>
    <t>Survey Examines Wastewater Treatment Costs</t>
  </si>
  <si>
    <t>Industrial Water World</t>
  </si>
  <si>
    <t>Industrial Water World 2010</t>
  </si>
  <si>
    <t>Assume COD cost = BOD cost, Industrial Water World 2010</t>
  </si>
  <si>
    <t>adapted from Humbird et al. 2011; NREL steam = 258.8 t/hr NARA East = 137.9/0.85=162.2 t/hr</t>
  </si>
  <si>
    <t>adapted from Humbird et al. 2011</t>
  </si>
  <si>
    <t>6.4 is MM assumed gal of ethanol</t>
  </si>
  <si>
    <r>
      <t>Martinkus, N., Latta, G.,</t>
    </r>
    <r>
      <rPr>
        <sz val="11"/>
        <color rgb="FF000000"/>
        <rFont val="Calibri"/>
        <family val="2"/>
        <scheme val="minor"/>
      </rPr>
      <t xml:space="preserve"> Morgan, T., and Wolcott, M.</t>
    </r>
  </si>
  <si>
    <r>
      <t>DOI: </t>
    </r>
    <r>
      <rPr>
        <sz val="11"/>
        <color theme="1"/>
        <rFont val="Calibri"/>
        <family val="2"/>
        <scheme val="minor"/>
      </rPr>
      <t>https://doi.org/10.1515/hf-2017-0161</t>
    </r>
  </si>
  <si>
    <t>0.20% reduction for pellet plant manager, maintenance supervisor, lab manager, admin</t>
  </si>
  <si>
    <t>updated to 2015$ using CPI from BLS; 1 pallet/ST, single use, cost from: http://www.uline.com/BL_8201/Recycled-Wood-Pallets?desc=Hardwood+Pallets, same ref as EPA doc</t>
  </si>
  <si>
    <t>match if  NPV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</si>
</sst>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&quot;$&quot;#,##0.00"/>
    <numFmt numFmtId="167" formatCode="[$-F400]h:mm:ss\ AM/PM"/>
    <numFmt numFmtId="168" formatCode="&quot;$&quot;#,##0.0"/>
    <numFmt numFmtId="169" formatCode="_(&quot;$&quot;* #,##0_);_(&quot;$&quot;* \(#,##0\);_(&quot;$&quot;* &quot;-&quot;??_);_(@_)"/>
    <numFmt numFmtId="170" formatCode="&quot;$&quot;#,##0.0000"/>
    <numFmt numFmtId="171" formatCode="0.0%"/>
    <numFmt numFmtId="172" formatCode="0.0000"/>
    <numFmt numFmtId="173" formatCode="&quot;$&quot;#,##0.0_);[Red]\(&quot;$&quot;#,##0.0\)"/>
    <numFmt numFmtId="174" formatCode="&quot;$&quot;#,##0.000000"/>
    <numFmt numFmtId="175" formatCode="_-&quot;$&quot;* #,##0.00_-;\-&quot;$&quot;* #,##0.00_-;_-&quot;$&quot;* &quot;-&quot;??_-;_-@_-"/>
    <numFmt numFmtId="176" formatCode="_-&quot;$&quot;* #,##0.0_-;\-&quot;$&quot;* #,##0.0_-;_-&quot;$&quot;* &quot;-&quot;??_-;_-@_-"/>
    <numFmt numFmtId="177" formatCode="General_)"/>
    <numFmt numFmtId="178" formatCode="0.000000"/>
    <numFmt numFmtId="179" formatCode="&quot;$&quot;#,##0.000"/>
    <numFmt numFmtId="180" formatCode="_-* #,##0.00_-;\-* #,##0.00_-;_-* &quot;-&quot;??_-;_-@_-"/>
    <numFmt numFmtId="181" formatCode="0.00000"/>
    <numFmt numFmtId="182" formatCode="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</font>
    <font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222222"/>
      <name val="Arial"/>
      <family val="2"/>
    </font>
    <font>
      <sz val="11"/>
      <color rgb="FF000000"/>
      <name val="Calibri"/>
      <family val="2"/>
      <scheme val="minor"/>
    </font>
    <font>
      <sz val="11"/>
      <color rgb="FF2A2A2A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44" fontId="1" fillId="0" borderId="0" applyFont="0" applyFill="0" applyBorder="0" applyAlignment="0" applyProtection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/>
    <xf numFmtId="167" fontId="1" fillId="0" borderId="0"/>
    <xf numFmtId="177" fontId="1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7" fontId="1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7" fontId="1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80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5" fillId="0" borderId="0"/>
    <xf numFmtId="0" fontId="12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26" applyNumberFormat="0" applyAlignment="0" applyProtection="0"/>
    <xf numFmtId="0" fontId="24" fillId="7" borderId="27" applyNumberFormat="0" applyAlignment="0" applyProtection="0"/>
    <xf numFmtId="0" fontId="25" fillId="7" borderId="26" applyNumberFormat="0" applyAlignment="0" applyProtection="0"/>
    <xf numFmtId="0" fontId="26" fillId="0" borderId="28" applyNumberFormat="0" applyFill="0" applyAlignment="0" applyProtection="0"/>
    <xf numFmtId="0" fontId="27" fillId="8" borderId="29" applyNumberFormat="0" applyAlignment="0" applyProtection="0"/>
    <xf numFmtId="0" fontId="8" fillId="0" borderId="0" applyNumberFormat="0" applyFill="0" applyBorder="0" applyAlignment="0" applyProtection="0"/>
    <xf numFmtId="0" fontId="1" fillId="9" borderId="30" applyNumberFormat="0" applyFont="0" applyAlignment="0" applyProtection="0"/>
    <xf numFmtId="0" fontId="28" fillId="0" borderId="0" applyNumberFormat="0" applyFill="0" applyBorder="0" applyAlignment="0" applyProtection="0"/>
    <xf numFmtId="0" fontId="5" fillId="0" borderId="31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>
      <alignment vertical="top"/>
      <protection locked="0"/>
    </xf>
    <xf numFmtId="167" fontId="4" fillId="0" borderId="0"/>
  </cellStyleXfs>
  <cellXfs count="46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8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0" fillId="0" borderId="0" xfId="0" applyNumberFormat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168" fontId="5" fillId="0" borderId="0" xfId="0" applyNumberFormat="1" applyFon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171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8" fontId="5" fillId="0" borderId="0" xfId="0" applyNumberFormat="1" applyFont="1" applyFill="1" applyAlignment="1">
      <alignment horizontal="center" vertical="center"/>
    </xf>
    <xf numFmtId="168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9" fontId="0" fillId="0" borderId="14" xfId="10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5" fontId="0" fillId="0" borderId="14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68" fontId="0" fillId="0" borderId="14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65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9" fontId="0" fillId="0" borderId="14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9" fontId="0" fillId="0" borderId="14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8" fontId="0" fillId="0" borderId="0" xfId="0" applyNumberFormat="1" applyAlignment="1">
      <alignment horizontal="left" vertical="center"/>
    </xf>
    <xf numFmtId="2" fontId="0" fillId="0" borderId="14" xfId="0" applyNumberForma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9" fontId="0" fillId="0" borderId="14" xfId="1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9" fontId="0" fillId="0" borderId="13" xfId="0" applyNumberForma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171" fontId="2" fillId="0" borderId="16" xfId="0" applyNumberFormat="1" applyFont="1" applyBorder="1" applyAlignment="1">
      <alignment horizontal="center" vertical="center"/>
    </xf>
    <xf numFmtId="171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74" fontId="0" fillId="2" borderId="2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165" fontId="0" fillId="0" borderId="1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68" fontId="0" fillId="0" borderId="4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0" fillId="0" borderId="2" xfId="0" applyNumberFormat="1" applyBorder="1" applyAlignment="1">
      <alignment vertical="center"/>
    </xf>
    <xf numFmtId="173" fontId="8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173" fontId="0" fillId="0" borderId="2" xfId="0" applyNumberFormat="1" applyBorder="1" applyAlignment="1">
      <alignment horizontal="center" vertical="center"/>
    </xf>
    <xf numFmtId="173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1" fontId="7" fillId="0" borderId="0" xfId="0" applyNumberFormat="1" applyFont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170" fontId="0" fillId="0" borderId="0" xfId="0" applyNumberFormat="1" applyFill="1" applyBorder="1" applyAlignment="1">
      <alignment horizontal="center" vertical="center"/>
    </xf>
    <xf numFmtId="171" fontId="5" fillId="0" borderId="22" xfId="0" applyNumberFormat="1" applyFont="1" applyBorder="1" applyAlignment="1">
      <alignment horizontal="center" vertical="center"/>
    </xf>
    <xf numFmtId="173" fontId="0" fillId="0" borderId="4" xfId="0" applyNumberForma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178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vertical="center"/>
    </xf>
    <xf numFmtId="178" fontId="0" fillId="0" borderId="0" xfId="0" applyNumberFormat="1" applyAlignment="1" applyProtection="1">
      <alignment vertical="center"/>
    </xf>
    <xf numFmtId="0" fontId="0" fillId="34" borderId="0" xfId="0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1" fontId="0" fillId="0" borderId="14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65" fontId="5" fillId="0" borderId="14" xfId="0" applyNumberFormat="1" applyFont="1" applyFill="1" applyBorder="1" applyAlignment="1" applyProtection="1">
      <alignment horizontal="center" vertical="center"/>
    </xf>
    <xf numFmtId="168" fontId="0" fillId="0" borderId="9" xfId="0" applyNumberForma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68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0" fillId="0" borderId="0" xfId="0" applyNumberFormat="1" applyAlignment="1" applyProtection="1">
      <alignment vertical="center"/>
    </xf>
    <xf numFmtId="165" fontId="0" fillId="0" borderId="14" xfId="0" applyNumberFormat="1" applyFill="1" applyBorder="1" applyAlignment="1" applyProtection="1">
      <alignment horizontal="center" vertical="center"/>
    </xf>
    <xf numFmtId="168" fontId="0" fillId="0" borderId="0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168" fontId="0" fillId="0" borderId="9" xfId="0" applyNumberForma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center" vertical="center"/>
    </xf>
    <xf numFmtId="166" fontId="0" fillId="0" borderId="0" xfId="0" applyNumberFormat="1" applyFill="1" applyAlignment="1" applyProtection="1">
      <alignment vertical="center"/>
    </xf>
    <xf numFmtId="1" fontId="0" fillId="0" borderId="0" xfId="0" applyNumberFormat="1" applyAlignment="1" applyProtection="1">
      <alignment horizontal="center" vertical="center"/>
    </xf>
    <xf numFmtId="170" fontId="5" fillId="0" borderId="0" xfId="0" applyNumberFormat="1" applyFont="1" applyFill="1" applyBorder="1" applyAlignment="1" applyProtection="1">
      <alignment horizontal="right" vertical="center"/>
    </xf>
    <xf numFmtId="166" fontId="5" fillId="0" borderId="0" xfId="0" quotePrefix="1" applyNumberFormat="1" applyFont="1" applyFill="1" applyBorder="1" applyAlignment="1" applyProtection="1">
      <alignment horizontal="left" vertical="center"/>
    </xf>
    <xf numFmtId="168" fontId="0" fillId="34" borderId="0" xfId="0" applyNumberFormat="1" applyFill="1" applyAlignment="1" applyProtection="1">
      <alignment horizontal="center" vertical="center"/>
    </xf>
    <xf numFmtId="0" fontId="0" fillId="0" borderId="0" xfId="0" quotePrefix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164" fontId="0" fillId="0" borderId="0" xfId="0" applyNumberFormat="1" applyFill="1" applyBorder="1" applyAlignment="1" applyProtection="1">
      <alignment horizontal="center" vertical="center"/>
    </xf>
    <xf numFmtId="171" fontId="0" fillId="0" borderId="0" xfId="0" applyNumberFormat="1" applyAlignment="1" applyProtection="1">
      <alignment horizontal="center" vertical="center"/>
    </xf>
    <xf numFmtId="9" fontId="0" fillId="0" borderId="0" xfId="0" applyNumberFormat="1" applyAlignment="1" applyProtection="1">
      <alignment horizontal="center" vertical="center"/>
    </xf>
    <xf numFmtId="171" fontId="5" fillId="0" borderId="17" xfId="0" applyNumberFormat="1" applyFont="1" applyFill="1" applyBorder="1" applyAlignment="1" applyProtection="1">
      <alignment horizontal="center" vertical="center"/>
    </xf>
    <xf numFmtId="171" fontId="0" fillId="0" borderId="0" xfId="0" applyNumberFormat="1" applyBorder="1" applyAlignment="1" applyProtection="1">
      <alignment horizontal="center" vertical="center"/>
    </xf>
    <xf numFmtId="171" fontId="5" fillId="0" borderId="5" xfId="0" applyNumberFormat="1" applyFont="1" applyFill="1" applyBorder="1" applyAlignment="1" applyProtection="1">
      <alignment horizontal="center" vertical="center"/>
    </xf>
    <xf numFmtId="171" fontId="1" fillId="0" borderId="0" xfId="1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8" xfId="0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horizontal="left" vertical="center"/>
    </xf>
    <xf numFmtId="168" fontId="0" fillId="34" borderId="0" xfId="0" applyNumberForma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168" fontId="0" fillId="0" borderId="0" xfId="1" applyNumberFormat="1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168" fontId="5" fillId="0" borderId="9" xfId="0" applyNumberFormat="1" applyFont="1" applyBorder="1" applyAlignment="1" applyProtection="1">
      <alignment horizontal="center" vertical="center"/>
    </xf>
    <xf numFmtId="9" fontId="0" fillId="0" borderId="9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" fontId="0" fillId="0" borderId="9" xfId="0" applyNumberForma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left" vertical="center"/>
    </xf>
    <xf numFmtId="168" fontId="0" fillId="0" borderId="0" xfId="0" applyNumberFormat="1" applyFill="1" applyAlignment="1" applyProtection="1">
      <alignment horizontal="center" vertical="center"/>
    </xf>
    <xf numFmtId="168" fontId="5" fillId="0" borderId="0" xfId="0" applyNumberFormat="1" applyFont="1" applyFill="1" applyAlignment="1" applyProtection="1">
      <alignment horizontal="center" vertical="center"/>
    </xf>
    <xf numFmtId="168" fontId="5" fillId="0" borderId="0" xfId="0" applyNumberFormat="1" applyFont="1" applyBorder="1" applyAlignment="1" applyProtection="1">
      <alignment vertical="center"/>
    </xf>
    <xf numFmtId="168" fontId="0" fillId="0" borderId="0" xfId="0" applyNumberFormat="1" applyAlignment="1" applyProtection="1">
      <alignment vertical="center"/>
    </xf>
    <xf numFmtId="9" fontId="0" fillId="0" borderId="0" xfId="10" applyFont="1" applyAlignment="1" applyProtection="1">
      <alignment vertical="center"/>
    </xf>
    <xf numFmtId="0" fontId="3" fillId="0" borderId="0" xfId="0" applyFont="1" applyAlignment="1" applyProtection="1"/>
    <xf numFmtId="0" fontId="0" fillId="34" borderId="0" xfId="0" applyFill="1" applyAlignment="1" applyProtection="1">
      <alignment horizontal="center"/>
    </xf>
    <xf numFmtId="0" fontId="0" fillId="0" borderId="0" xfId="0" applyAlignment="1" applyProtection="1"/>
    <xf numFmtId="0" fontId="0" fillId="0" borderId="0" xfId="0" applyFill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/>
    <xf numFmtId="1" fontId="0" fillId="0" borderId="14" xfId="0" applyNumberFormat="1" applyFill="1" applyBorder="1" applyAlignment="1" applyProtection="1">
      <alignment horizontal="center"/>
    </xf>
    <xf numFmtId="9" fontId="0" fillId="0" borderId="14" xfId="10" applyFont="1" applyFill="1" applyBorder="1" applyAlignment="1" applyProtection="1">
      <alignment horizontal="center"/>
    </xf>
    <xf numFmtId="1" fontId="0" fillId="0" borderId="14" xfId="0" applyNumberFormat="1" applyBorder="1" applyAlignment="1" applyProtection="1">
      <alignment horizontal="center"/>
    </xf>
    <xf numFmtId="1" fontId="0" fillId="0" borderId="0" xfId="0" applyNumberFormat="1" applyAlignment="1" applyProtection="1"/>
    <xf numFmtId="0" fontId="0" fillId="0" borderId="0" xfId="0" applyFont="1" applyFill="1" applyAlignment="1" applyProtection="1"/>
    <xf numFmtId="0" fontId="0" fillId="0" borderId="0" xfId="0" applyFill="1" applyAlignment="1" applyProtection="1"/>
    <xf numFmtId="0" fontId="0" fillId="0" borderId="14" xfId="0" applyFill="1" applyBorder="1" applyAlignment="1" applyProtection="1">
      <alignment horizontal="center"/>
    </xf>
    <xf numFmtId="166" fontId="0" fillId="0" borderId="0" xfId="0" applyNumberFormat="1" applyAlignment="1" applyProtection="1"/>
    <xf numFmtId="166" fontId="0" fillId="34" borderId="14" xfId="0" applyNumberFormat="1" applyFont="1" applyFill="1" applyBorder="1" applyAlignment="1" applyProtection="1">
      <alignment horizontal="center"/>
    </xf>
    <xf numFmtId="165" fontId="0" fillId="0" borderId="0" xfId="0" applyNumberFormat="1" applyAlignment="1" applyProtection="1"/>
    <xf numFmtId="179" fontId="0" fillId="34" borderId="14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/>
    <xf numFmtId="168" fontId="0" fillId="34" borderId="14" xfId="0" applyNumberFormat="1" applyFont="1" applyFill="1" applyBorder="1" applyAlignment="1" applyProtection="1">
      <alignment horizontal="center"/>
    </xf>
    <xf numFmtId="168" fontId="0" fillId="34" borderId="14" xfId="0" applyNumberFormat="1" applyFill="1" applyBorder="1" applyAlignment="1" applyProtection="1">
      <alignment horizontal="center"/>
    </xf>
    <xf numFmtId="164" fontId="0" fillId="0" borderId="0" xfId="0" applyNumberFormat="1" applyAlignment="1" applyProtection="1"/>
    <xf numFmtId="0" fontId="0" fillId="0" borderId="0" xfId="0" quotePrefix="1" applyAlignment="1" applyProtection="1"/>
    <xf numFmtId="0" fontId="0" fillId="0" borderId="0" xfId="0" applyBorder="1" applyAlignment="1" applyProtection="1">
      <alignment horizontal="left"/>
    </xf>
    <xf numFmtId="0" fontId="0" fillId="0" borderId="14" xfId="0" applyBorder="1" applyAlignment="1" applyProtection="1"/>
    <xf numFmtId="171" fontId="0" fillId="0" borderId="14" xfId="10" applyNumberFormat="1" applyFont="1" applyFill="1" applyBorder="1" applyAlignment="1" applyProtection="1">
      <alignment horizontal="center"/>
    </xf>
    <xf numFmtId="0" fontId="0" fillId="0" borderId="3" xfId="0" applyFill="1" applyBorder="1" applyAlignment="1" applyProtection="1"/>
    <xf numFmtId="0" fontId="0" fillId="0" borderId="14" xfId="0" applyFill="1" applyBorder="1" applyAlignment="1" applyProtection="1"/>
    <xf numFmtId="166" fontId="0" fillId="0" borderId="14" xfId="0" applyNumberFormat="1" applyFill="1" applyBorder="1" applyAlignment="1" applyProtection="1">
      <alignment horizontal="center"/>
    </xf>
    <xf numFmtId="0" fontId="35" fillId="0" borderId="9" xfId="0" applyFont="1" applyBorder="1" applyAlignment="1" applyProtection="1"/>
    <xf numFmtId="165" fontId="0" fillId="0" borderId="14" xfId="0" applyNumberFormat="1" applyBorder="1" applyAlignment="1" applyProtection="1">
      <alignment horizontal="center"/>
    </xf>
    <xf numFmtId="0" fontId="0" fillId="0" borderId="9" xfId="0" applyBorder="1" applyAlignment="1" applyProtection="1"/>
    <xf numFmtId="166" fontId="0" fillId="0" borderId="14" xfId="0" applyNumberFormat="1" applyBorder="1" applyAlignment="1" applyProtection="1">
      <alignment horizontal="center"/>
    </xf>
    <xf numFmtId="0" fontId="0" fillId="0" borderId="0" xfId="0" applyFill="1" applyBorder="1" applyAlignment="1" applyProtection="1"/>
    <xf numFmtId="6" fontId="2" fillId="0" borderId="0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16" xfId="0" applyBorder="1" applyAlignment="1" applyProtection="1"/>
    <xf numFmtId="2" fontId="0" fillId="0" borderId="9" xfId="0" applyNumberFormat="1" applyBorder="1" applyAlignment="1" applyProtection="1">
      <alignment horizontal="center"/>
    </xf>
    <xf numFmtId="0" fontId="2" fillId="0" borderId="0" xfId="0" applyFont="1" applyFill="1" applyBorder="1" applyAlignment="1" applyProtection="1"/>
    <xf numFmtId="1" fontId="0" fillId="0" borderId="9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1" xfId="0" applyBorder="1" applyAlignment="1" applyProtection="1"/>
    <xf numFmtId="0" fontId="0" fillId="0" borderId="8" xfId="0" applyBorder="1" applyAlignment="1" applyProtection="1"/>
    <xf numFmtId="182" fontId="0" fillId="0" borderId="9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 applyProtection="1">
      <alignment horizontal="center" vertical="center"/>
    </xf>
    <xf numFmtId="168" fontId="0" fillId="0" borderId="11" xfId="0" applyNumberFormat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right" vertical="center"/>
    </xf>
    <xf numFmtId="9" fontId="0" fillId="0" borderId="9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right" vertical="center"/>
    </xf>
    <xf numFmtId="9" fontId="0" fillId="0" borderId="9" xfId="1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vertical="center"/>
    </xf>
    <xf numFmtId="9" fontId="0" fillId="0" borderId="9" xfId="1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center" vertical="center"/>
    </xf>
    <xf numFmtId="9" fontId="2" fillId="0" borderId="9" xfId="0" applyNumberFormat="1" applyFont="1" applyBorder="1" applyAlignment="1" applyProtection="1">
      <alignment horizontal="center" vertical="center"/>
    </xf>
    <xf numFmtId="10" fontId="1" fillId="0" borderId="9" xfId="1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right" vertical="center"/>
    </xf>
    <xf numFmtId="171" fontId="2" fillId="0" borderId="9" xfId="0" applyNumberFormat="1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171" fontId="0" fillId="0" borderId="9" xfId="0" applyNumberForma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66" fontId="0" fillId="0" borderId="0" xfId="0" applyNumberFormat="1" applyAlignment="1" applyProtection="1">
      <alignment horizontal="center" vertical="center"/>
    </xf>
    <xf numFmtId="6" fontId="0" fillId="0" borderId="0" xfId="0" applyNumberForma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169" fontId="0" fillId="0" borderId="0" xfId="0" applyNumberForma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9" fontId="0" fillId="0" borderId="0" xfId="0" applyNumberForma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9" fontId="0" fillId="0" borderId="2" xfId="0" applyNumberFormat="1" applyBorder="1" applyAlignment="1" applyProtection="1">
      <alignment vertical="center"/>
    </xf>
    <xf numFmtId="9" fontId="0" fillId="0" borderId="0" xfId="0" applyNumberFormat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 wrapText="1"/>
    </xf>
    <xf numFmtId="169" fontId="0" fillId="0" borderId="0" xfId="0" applyNumberFormat="1" applyFill="1" applyAlignment="1" applyProtection="1">
      <alignment vertical="center"/>
    </xf>
    <xf numFmtId="44" fontId="0" fillId="0" borderId="0" xfId="0" applyNumberFormat="1" applyAlignment="1" applyProtection="1">
      <alignment vertical="center"/>
    </xf>
    <xf numFmtId="169" fontId="0" fillId="0" borderId="0" xfId="1" applyNumberFormat="1" applyFont="1" applyAlignment="1" applyProtection="1">
      <alignment vertical="center"/>
    </xf>
    <xf numFmtId="169" fontId="0" fillId="0" borderId="0" xfId="1" applyNumberFormat="1" applyFont="1" applyFill="1" applyAlignment="1" applyProtection="1">
      <alignment vertical="center"/>
    </xf>
    <xf numFmtId="6" fontId="0" fillId="0" borderId="0" xfId="0" applyNumberFormat="1" applyFill="1" applyAlignment="1" applyProtection="1">
      <alignment vertical="center"/>
    </xf>
    <xf numFmtId="169" fontId="0" fillId="0" borderId="2" xfId="0" applyNumberFormat="1" applyFill="1" applyBorder="1" applyAlignment="1" applyProtection="1">
      <alignment vertical="center"/>
    </xf>
    <xf numFmtId="171" fontId="0" fillId="0" borderId="0" xfId="0" applyNumberFormat="1" applyAlignment="1" applyProtection="1">
      <alignment vertical="center"/>
    </xf>
    <xf numFmtId="165" fontId="0" fillId="0" borderId="9" xfId="61" applyNumberFormat="1" applyFon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165" fontId="0" fillId="0" borderId="0" xfId="0" applyNumberFormat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165" fontId="5" fillId="0" borderId="19" xfId="0" applyNumberFormat="1" applyFont="1" applyBorder="1" applyAlignment="1" applyProtection="1">
      <alignment horizontal="center" vertical="center"/>
    </xf>
    <xf numFmtId="165" fontId="5" fillId="0" borderId="20" xfId="0" applyNumberFormat="1" applyFont="1" applyFill="1" applyBorder="1" applyAlignment="1" applyProtection="1">
      <alignment horizontal="center" vertical="center"/>
    </xf>
    <xf numFmtId="165" fontId="0" fillId="0" borderId="8" xfId="0" applyNumberFormat="1" applyFill="1" applyBorder="1" applyAlignment="1" applyProtection="1">
      <alignment vertical="center"/>
    </xf>
    <xf numFmtId="165" fontId="0" fillId="0" borderId="0" xfId="0" applyNumberFormat="1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right" vertical="center"/>
    </xf>
    <xf numFmtId="2" fontId="5" fillId="0" borderId="19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171" fontId="0" fillId="0" borderId="0" xfId="10" applyNumberFormat="1" applyFont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168" fontId="0" fillId="0" borderId="14" xfId="0" applyNumberFormat="1" applyBorder="1" applyAlignment="1" applyProtection="1">
      <alignment horizontal="center" vertical="center"/>
    </xf>
    <xf numFmtId="168" fontId="5" fillId="0" borderId="19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168" fontId="5" fillId="0" borderId="15" xfId="0" applyNumberFormat="1" applyFont="1" applyBorder="1" applyAlignment="1" applyProtection="1">
      <alignment vertical="center"/>
    </xf>
    <xf numFmtId="168" fontId="0" fillId="0" borderId="0" xfId="0" applyNumberFormat="1" applyFill="1" applyAlignment="1" applyProtection="1">
      <alignment vertical="center"/>
    </xf>
    <xf numFmtId="168" fontId="0" fillId="0" borderId="0" xfId="0" applyNumberFormat="1" applyAlignment="1" applyProtection="1">
      <alignment horizontal="center" vertical="center"/>
    </xf>
    <xf numFmtId="168" fontId="0" fillId="0" borderId="0" xfId="0" applyNumberFormat="1" applyFill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176" fontId="0" fillId="0" borderId="0" xfId="12" applyNumberFormat="1" applyFont="1" applyBorder="1" applyAlignment="1" applyProtection="1">
      <alignment horizontal="center" vertical="center"/>
    </xf>
    <xf numFmtId="175" fontId="0" fillId="0" borderId="0" xfId="12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171" fontId="0" fillId="0" borderId="0" xfId="1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171" fontId="0" fillId="0" borderId="0" xfId="10" applyNumberFormat="1" applyFont="1" applyBorder="1" applyAlignment="1" applyProtection="1">
      <alignment horizontal="center" vertical="center"/>
    </xf>
    <xf numFmtId="166" fontId="0" fillId="0" borderId="0" xfId="0" applyNumberFormat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168" fontId="5" fillId="0" borderId="0" xfId="0" applyNumberFormat="1" applyFont="1" applyBorder="1" applyAlignment="1" applyProtection="1">
      <alignment horizontal="center" vertical="center"/>
    </xf>
    <xf numFmtId="166" fontId="0" fillId="0" borderId="0" xfId="0" applyNumberFormat="1" applyFill="1" applyAlignment="1" applyProtection="1">
      <alignment horizontal="left" vertical="center"/>
    </xf>
    <xf numFmtId="3" fontId="1" fillId="0" borderId="0" xfId="11" applyNumberFormat="1" applyBorder="1" applyAlignment="1" applyProtection="1">
      <alignment horizontal="center" vertical="center"/>
    </xf>
    <xf numFmtId="166" fontId="0" fillId="0" borderId="0" xfId="12" applyNumberFormat="1" applyFont="1" applyBorder="1" applyAlignment="1" applyProtection="1">
      <alignment horizontal="center" vertical="center"/>
    </xf>
    <xf numFmtId="0" fontId="0" fillId="0" borderId="0" xfId="11" applyFont="1" applyBorder="1" applyAlignment="1" applyProtection="1">
      <alignment horizontal="center" vertical="center"/>
    </xf>
    <xf numFmtId="0" fontId="1" fillId="0" borderId="0" xfId="11" applyBorder="1" applyAlignment="1" applyProtection="1">
      <alignment horizontal="center" vertical="center"/>
    </xf>
    <xf numFmtId="176" fontId="1" fillId="0" borderId="0" xfId="12" applyNumberFormat="1" applyFont="1" applyBorder="1" applyAlignment="1" applyProtection="1">
      <alignment horizontal="right" vertical="center"/>
    </xf>
    <xf numFmtId="168" fontId="1" fillId="0" borderId="0" xfId="12" applyNumberFormat="1" applyFont="1" applyBorder="1" applyAlignment="1" applyProtection="1">
      <alignment horizontal="center" vertical="center"/>
    </xf>
    <xf numFmtId="0" fontId="1" fillId="0" borderId="10" xfId="11" applyFont="1" applyFill="1" applyBorder="1" applyAlignment="1" applyProtection="1">
      <alignment vertical="center"/>
    </xf>
    <xf numFmtId="9" fontId="0" fillId="0" borderId="11" xfId="10" applyFont="1" applyFill="1" applyBorder="1" applyAlignment="1" applyProtection="1">
      <alignment vertical="center"/>
    </xf>
    <xf numFmtId="169" fontId="0" fillId="0" borderId="12" xfId="1" applyNumberFormat="1" applyFont="1" applyFill="1" applyBorder="1" applyAlignment="1" applyProtection="1">
      <alignment vertical="center"/>
    </xf>
    <xf numFmtId="168" fontId="1" fillId="0" borderId="11" xfId="1" applyNumberFormat="1" applyFont="1" applyFill="1" applyBorder="1" applyAlignment="1" applyProtection="1">
      <alignment horizontal="center" vertical="center"/>
    </xf>
    <xf numFmtId="0" fontId="0" fillId="0" borderId="3" xfId="11" applyFont="1" applyFill="1" applyBorder="1" applyAlignment="1" applyProtection="1">
      <alignment vertical="center"/>
    </xf>
    <xf numFmtId="169" fontId="0" fillId="0" borderId="9" xfId="1" applyNumberFormat="1" applyFont="1" applyFill="1" applyBorder="1" applyAlignment="1" applyProtection="1">
      <alignment vertical="center"/>
    </xf>
    <xf numFmtId="169" fontId="1" fillId="0" borderId="0" xfId="1" applyNumberFormat="1" applyFont="1" applyFill="1" applyBorder="1" applyAlignment="1" applyProtection="1">
      <alignment vertical="center"/>
    </xf>
    <xf numFmtId="168" fontId="0" fillId="0" borderId="9" xfId="1" applyNumberFormat="1" applyFont="1" applyFill="1" applyBorder="1" applyAlignment="1" applyProtection="1">
      <alignment horizontal="center" vertical="center"/>
    </xf>
    <xf numFmtId="168" fontId="0" fillId="0" borderId="0" xfId="1" applyNumberFormat="1" applyFont="1" applyFill="1" applyBorder="1" applyAlignment="1" applyProtection="1">
      <alignment horizontal="center" vertical="center"/>
    </xf>
    <xf numFmtId="171" fontId="0" fillId="0" borderId="9" xfId="10" applyNumberFormat="1" applyFont="1" applyFill="1" applyBorder="1" applyAlignment="1" applyProtection="1">
      <alignment vertical="center"/>
    </xf>
    <xf numFmtId="169" fontId="0" fillId="0" borderId="0" xfId="1" applyNumberFormat="1" applyFont="1" applyFill="1" applyBorder="1" applyAlignment="1" applyProtection="1">
      <alignment vertical="center"/>
    </xf>
    <xf numFmtId="168" fontId="1" fillId="0" borderId="9" xfId="1" applyNumberFormat="1" applyFont="1" applyFill="1" applyBorder="1" applyAlignment="1" applyProtection="1">
      <alignment horizontal="center" vertical="center"/>
    </xf>
    <xf numFmtId="0" fontId="1" fillId="0" borderId="0" xfId="11" applyFont="1" applyFill="1" applyBorder="1" applyAlignment="1" applyProtection="1">
      <alignment vertical="center"/>
    </xf>
    <xf numFmtId="0" fontId="5" fillId="0" borderId="0" xfId="11" applyFont="1" applyFill="1" applyBorder="1" applyAlignment="1" applyProtection="1">
      <alignment horizontal="right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165" fontId="0" fillId="0" borderId="0" xfId="0" applyNumberForma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1" fontId="0" fillId="0" borderId="0" xfId="0" applyNumberForma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9" fontId="0" fillId="0" borderId="0" xfId="10" applyFont="1" applyFill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165" fontId="0" fillId="0" borderId="14" xfId="0" applyNumberFormat="1" applyBorder="1" applyAlignment="1" applyProtection="1">
      <alignment horizontal="center" vertical="center"/>
    </xf>
    <xf numFmtId="1" fontId="2" fillId="0" borderId="14" xfId="2" applyNumberFormat="1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165" fontId="5" fillId="0" borderId="0" xfId="0" applyNumberFormat="1" applyFont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vertical="center"/>
    </xf>
    <xf numFmtId="0" fontId="0" fillId="0" borderId="14" xfId="11" applyFont="1" applyBorder="1" applyAlignment="1" applyProtection="1">
      <alignment horizontal="center" vertical="center"/>
    </xf>
    <xf numFmtId="1" fontId="0" fillId="0" borderId="14" xfId="61" applyNumberFormat="1" applyFont="1" applyBorder="1" applyAlignment="1" applyProtection="1">
      <alignment horizontal="center" vertical="center"/>
    </xf>
    <xf numFmtId="179" fontId="0" fillId="0" borderId="14" xfId="0" applyNumberFormat="1" applyFill="1" applyBorder="1" applyAlignment="1" applyProtection="1">
      <alignment horizontal="center" vertical="center"/>
    </xf>
    <xf numFmtId="164" fontId="2" fillId="0" borderId="14" xfId="11" applyNumberFormat="1" applyFont="1" applyBorder="1" applyAlignment="1" applyProtection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</xf>
    <xf numFmtId="166" fontId="0" fillId="0" borderId="14" xfId="0" applyNumberFormat="1" applyFill="1" applyBorder="1" applyAlignment="1" applyProtection="1">
      <alignment horizontal="center" vertical="center"/>
    </xf>
    <xf numFmtId="168" fontId="0" fillId="0" borderId="0" xfId="0" applyNumberFormat="1" applyFont="1" applyFill="1" applyBorder="1" applyAlignment="1" applyProtection="1">
      <alignment horizontal="left" vertical="center"/>
    </xf>
    <xf numFmtId="1" fontId="1" fillId="0" borderId="14" xfId="11" applyNumberFormat="1" applyFill="1" applyBorder="1" applyAlignment="1" applyProtection="1">
      <alignment horizontal="center" vertical="center"/>
    </xf>
    <xf numFmtId="166" fontId="0" fillId="0" borderId="14" xfId="0" applyNumberFormat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64" fontId="0" fillId="0" borderId="14" xfId="0" applyNumberFormat="1" applyFont="1" applyBorder="1" applyAlignment="1" applyProtection="1">
      <alignment horizontal="center" vertical="center"/>
    </xf>
    <xf numFmtId="0" fontId="2" fillId="0" borderId="14" xfId="11" applyFont="1" applyBorder="1" applyAlignment="1" applyProtection="1">
      <alignment horizontal="center" vertical="center"/>
    </xf>
    <xf numFmtId="170" fontId="0" fillId="0" borderId="14" xfId="0" applyNumberForma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9" fontId="0" fillId="0" borderId="14" xfId="0" applyNumberForma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4" fontId="2" fillId="0" borderId="14" xfId="0" applyNumberFormat="1" applyFont="1" applyBorder="1" applyAlignment="1" applyProtection="1">
      <alignment horizontal="center" vertical="center"/>
    </xf>
    <xf numFmtId="164" fontId="0" fillId="0" borderId="14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167" fontId="2" fillId="0" borderId="3" xfId="0" applyNumberFormat="1" applyFont="1" applyFill="1" applyBorder="1" applyAlignment="1" applyProtection="1">
      <alignment horizontal="left" vertical="center"/>
    </xf>
    <xf numFmtId="1" fontId="0" fillId="0" borderId="16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165" fontId="0" fillId="0" borderId="16" xfId="1" applyNumberFormat="1" applyFont="1" applyBorder="1" applyAlignment="1" applyProtection="1">
      <alignment horizontal="center" vertical="center"/>
    </xf>
    <xf numFmtId="165" fontId="0" fillId="0" borderId="14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1" fontId="0" fillId="0" borderId="14" xfId="0" applyNumberFormat="1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165" fontId="0" fillId="0" borderId="14" xfId="1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165" fontId="2" fillId="0" borderId="14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vertical="center"/>
    </xf>
    <xf numFmtId="165" fontId="2" fillId="0" borderId="14" xfId="105" applyNumberFormat="1" applyFont="1" applyFill="1" applyBorder="1" applyAlignment="1" applyProtection="1">
      <alignment horizontal="center" vertical="center"/>
    </xf>
    <xf numFmtId="165" fontId="2" fillId="0" borderId="14" xfId="2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166" fontId="0" fillId="0" borderId="14" xfId="0" applyNumberFormat="1" applyFont="1" applyFill="1" applyBorder="1" applyAlignment="1" applyProtection="1">
      <alignment horizontal="center" vertical="center"/>
    </xf>
    <xf numFmtId="8" fontId="0" fillId="0" borderId="0" xfId="0" applyNumberFormat="1" applyFont="1" applyBorder="1" applyAlignment="1" applyProtection="1">
      <alignment horizontal="center" vertical="center"/>
    </xf>
    <xf numFmtId="165" fontId="0" fillId="0" borderId="13" xfId="0" applyNumberForma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164" fontId="0" fillId="0" borderId="3" xfId="61" applyNumberFormat="1" applyFont="1" applyFill="1" applyBorder="1" applyAlignment="1" applyProtection="1">
      <alignment horizontal="center" vertical="center"/>
    </xf>
    <xf numFmtId="164" fontId="0" fillId="0" borderId="14" xfId="0" applyNumberForma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8" fontId="5" fillId="0" borderId="0" xfId="0" applyNumberFormat="1" applyFont="1" applyAlignment="1" applyProtection="1">
      <alignment horizontal="left" vertical="center"/>
    </xf>
    <xf numFmtId="1" fontId="0" fillId="0" borderId="0" xfId="61" applyNumberFormat="1" applyFont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165" fontId="5" fillId="0" borderId="0" xfId="0" applyNumberFormat="1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9" fontId="0" fillId="0" borderId="14" xfId="0" applyNumberFormat="1" applyFill="1" applyBorder="1" applyAlignment="1" applyProtection="1">
      <alignment horizontal="center" vertical="center"/>
    </xf>
    <xf numFmtId="1" fontId="1" fillId="0" borderId="14" xfId="61" applyNumberFormat="1" applyFont="1" applyBorder="1" applyAlignment="1" applyProtection="1">
      <alignment horizontal="center" vertical="center"/>
    </xf>
    <xf numFmtId="165" fontId="0" fillId="0" borderId="9" xfId="0" applyNumberForma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vertical="center"/>
    </xf>
    <xf numFmtId="1" fontId="5" fillId="0" borderId="0" xfId="0" applyNumberFormat="1" applyFont="1" applyAlignment="1" applyProtection="1">
      <alignment horizontal="right" vertical="center"/>
    </xf>
    <xf numFmtId="168" fontId="0" fillId="0" borderId="0" xfId="0" applyNumberFormat="1" applyFont="1" applyFill="1" applyAlignment="1" applyProtection="1">
      <alignment horizontal="left" vertical="center"/>
    </xf>
    <xf numFmtId="168" fontId="0" fillId="0" borderId="14" xfId="0" applyNumberFormat="1" applyFill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68" fontId="0" fillId="0" borderId="13" xfId="0" applyNumberFormat="1" applyFont="1" applyBorder="1" applyAlignment="1" applyProtection="1">
      <alignment horizontal="center" vertical="center"/>
    </xf>
    <xf numFmtId="166" fontId="0" fillId="0" borderId="14" xfId="0" applyNumberFormat="1" applyFont="1" applyBorder="1" applyAlignment="1" applyProtection="1">
      <alignment horizontal="center" vertical="center"/>
    </xf>
    <xf numFmtId="165" fontId="0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81" fontId="0" fillId="0" borderId="0" xfId="0" applyNumberFormat="1" applyFont="1" applyAlignment="1" applyProtection="1">
      <alignment vertical="center"/>
    </xf>
    <xf numFmtId="0" fontId="0" fillId="0" borderId="14" xfId="0" applyFont="1" applyBorder="1" applyAlignment="1" applyProtection="1">
      <alignment vertical="center" wrapText="1"/>
    </xf>
    <xf numFmtId="0" fontId="0" fillId="0" borderId="14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right" vertical="center"/>
    </xf>
    <xf numFmtId="0" fontId="2" fillId="0" borderId="9" xfId="104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14" xfId="0" applyFont="1" applyFill="1" applyBorder="1" applyAlignment="1" applyProtection="1">
      <alignment vertical="center" wrapText="1"/>
    </xf>
    <xf numFmtId="0" fontId="0" fillId="0" borderId="9" xfId="0" applyFont="1" applyFill="1" applyBorder="1" applyAlignment="1" applyProtection="1">
      <alignment vertical="center"/>
    </xf>
    <xf numFmtId="0" fontId="2" fillId="0" borderId="14" xfId="104" applyFont="1" applyBorder="1" applyAlignment="1" applyProtection="1">
      <alignment vertical="center" wrapText="1"/>
    </xf>
    <xf numFmtId="0" fontId="36" fillId="0" borderId="14" xfId="0" applyFont="1" applyBorder="1" applyAlignment="1" applyProtection="1">
      <alignment vertical="center"/>
    </xf>
    <xf numFmtId="0" fontId="36" fillId="0" borderId="14" xfId="0" applyFont="1" applyBorder="1" applyAlignment="1" applyProtection="1">
      <alignment vertical="center" wrapText="1"/>
    </xf>
    <xf numFmtId="0" fontId="0" fillId="0" borderId="3" xfId="0" applyFont="1" applyFill="1" applyBorder="1" applyAlignment="1" applyProtection="1">
      <alignment vertical="center" wrapText="1"/>
    </xf>
    <xf numFmtId="0" fontId="0" fillId="0" borderId="9" xfId="0" applyFont="1" applyBorder="1" applyAlignment="1" applyProtection="1">
      <alignment vertical="center" wrapText="1"/>
    </xf>
    <xf numFmtId="0" fontId="37" fillId="0" borderId="9" xfId="0" applyFont="1" applyBorder="1" applyAlignment="1" applyProtection="1">
      <alignment vertical="center"/>
    </xf>
    <xf numFmtId="0" fontId="36" fillId="0" borderId="0" xfId="0" applyFont="1" applyAlignment="1" applyProtection="1">
      <alignment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</cellXfs>
  <cellStyles count="106">
    <cellStyle name="20% - Accent1" xfId="80" builtinId="30" customBuiltin="1"/>
    <cellStyle name="20% - Accent2" xfId="84" builtinId="34" customBuiltin="1"/>
    <cellStyle name="20% - Accent3" xfId="88" builtinId="38" customBuiltin="1"/>
    <cellStyle name="20% - Accent4" xfId="92" builtinId="42" customBuiltin="1"/>
    <cellStyle name="20% - Accent5" xfId="96" builtinId="46" customBuiltin="1"/>
    <cellStyle name="20% - Accent6" xfId="100" builtinId="50" customBuiltin="1"/>
    <cellStyle name="40% - Accent1" xfId="81" builtinId="31" customBuiltin="1"/>
    <cellStyle name="40% - Accent2" xfId="85" builtinId="35" customBuiltin="1"/>
    <cellStyle name="40% - Accent3" xfId="89" builtinId="39" customBuiltin="1"/>
    <cellStyle name="40% - Accent4" xfId="93" builtinId="43" customBuiltin="1"/>
    <cellStyle name="40% - Accent5" xfId="97" builtinId="47" customBuiltin="1"/>
    <cellStyle name="40% - Accent6" xfId="101" builtinId="51" customBuiltin="1"/>
    <cellStyle name="60% - Accent1" xfId="82" builtinId="32" customBuiltin="1"/>
    <cellStyle name="60% - Accent2" xfId="86" builtinId="36" customBuiltin="1"/>
    <cellStyle name="60% - Accent3" xfId="90" builtinId="40" customBuiltin="1"/>
    <cellStyle name="60% - Accent4" xfId="94" builtinId="44" customBuiltin="1"/>
    <cellStyle name="60% - Accent5" xfId="98" builtinId="48" customBuiltin="1"/>
    <cellStyle name="60% - Accent6" xfId="102" builtinId="52" customBuiltin="1"/>
    <cellStyle name="Accent1" xfId="79" builtinId="29" customBuiltin="1"/>
    <cellStyle name="Accent2" xfId="83" builtinId="33" customBuiltin="1"/>
    <cellStyle name="Accent3" xfId="87" builtinId="37" customBuiltin="1"/>
    <cellStyle name="Accent4" xfId="91" builtinId="41" customBuiltin="1"/>
    <cellStyle name="Accent5" xfId="95" builtinId="45" customBuiltin="1"/>
    <cellStyle name="Accent6" xfId="99" builtinId="49" customBuiltin="1"/>
    <cellStyle name="Bad" xfId="68" builtinId="27" customBuiltin="1"/>
    <cellStyle name="Calculation" xfId="72" builtinId="22" customBuiltin="1"/>
    <cellStyle name="Check Cell" xfId="74" builtinId="23" customBuiltin="1"/>
    <cellStyle name="Comma" xfId="61" builtinId="3"/>
    <cellStyle name="Comma 2" xfId="22" xr:uid="{00000000-0005-0000-0000-00001C000000}"/>
    <cellStyle name="Comma 2 2" xfId="23" xr:uid="{00000000-0005-0000-0000-00001D000000}"/>
    <cellStyle name="Comma 3" xfId="24" xr:uid="{00000000-0005-0000-0000-00001E000000}"/>
    <cellStyle name="Comma 4" xfId="56" xr:uid="{00000000-0005-0000-0000-00001F000000}"/>
    <cellStyle name="Comma 5" xfId="19" xr:uid="{00000000-0005-0000-0000-000020000000}"/>
    <cellStyle name="Currency" xfId="1" builtinId="4"/>
    <cellStyle name="Currency 2" xfId="17" xr:uid="{00000000-0005-0000-0000-000022000000}"/>
    <cellStyle name="Currency 2 2" xfId="12" xr:uid="{00000000-0005-0000-0000-000023000000}"/>
    <cellStyle name="Currency 3" xfId="20" xr:uid="{00000000-0005-0000-0000-000024000000}"/>
    <cellStyle name="Currency 4" xfId="57" xr:uid="{00000000-0005-0000-0000-000025000000}"/>
    <cellStyle name="Currency 5" xfId="58" xr:uid="{00000000-0005-0000-0000-000026000000}"/>
    <cellStyle name="Currency 6" xfId="14" xr:uid="{00000000-0005-0000-0000-000027000000}"/>
    <cellStyle name="Explanatory Text" xfId="77" builtinId="53" customBuiltin="1"/>
    <cellStyle name="Good" xfId="67" builtinId="26" customBuiltin="1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yperlink" xfId="104" builtinId="8"/>
    <cellStyle name="Hyperlink 2" xfId="16" xr:uid="{00000000-0005-0000-0000-00002F000000}"/>
    <cellStyle name="Input" xfId="70" builtinId="20" customBuiltin="1"/>
    <cellStyle name="Linked Cell" xfId="73" builtinId="24" customBuiltin="1"/>
    <cellStyle name="Neutral" xfId="69" builtinId="28" customBuiltin="1"/>
    <cellStyle name="Normal" xfId="0" builtinId="0"/>
    <cellStyle name="Normal 10" xfId="25" xr:uid="{00000000-0005-0000-0000-000034000000}"/>
    <cellStyle name="Normal 10 2" xfId="26" xr:uid="{00000000-0005-0000-0000-000035000000}"/>
    <cellStyle name="Normal 11" xfId="27" xr:uid="{00000000-0005-0000-0000-000036000000}"/>
    <cellStyle name="Normal 12" xfId="8" xr:uid="{00000000-0005-0000-0000-000037000000}"/>
    <cellStyle name="Normal 12 2" xfId="28" xr:uid="{00000000-0005-0000-0000-000038000000}"/>
    <cellStyle name="Normal 13" xfId="9" xr:uid="{00000000-0005-0000-0000-000039000000}"/>
    <cellStyle name="Normal 13 2" xfId="29" xr:uid="{00000000-0005-0000-0000-00003A000000}"/>
    <cellStyle name="Normal 14" xfId="30" xr:uid="{00000000-0005-0000-0000-00003B000000}"/>
    <cellStyle name="Normal 14 2" xfId="31" xr:uid="{00000000-0005-0000-0000-00003C000000}"/>
    <cellStyle name="Normal 15" xfId="32" xr:uid="{00000000-0005-0000-0000-00003D000000}"/>
    <cellStyle name="Normal 15 2" xfId="33" xr:uid="{00000000-0005-0000-0000-00003E000000}"/>
    <cellStyle name="Normal 16" xfId="34" xr:uid="{00000000-0005-0000-0000-00003F000000}"/>
    <cellStyle name="Normal 16 2" xfId="35" xr:uid="{00000000-0005-0000-0000-000040000000}"/>
    <cellStyle name="Normal 17" xfId="36" xr:uid="{00000000-0005-0000-0000-000041000000}"/>
    <cellStyle name="Normal 17 2" xfId="37" xr:uid="{00000000-0005-0000-0000-000042000000}"/>
    <cellStyle name="Normal 18" xfId="38" xr:uid="{00000000-0005-0000-0000-000043000000}"/>
    <cellStyle name="Normal 18 2" xfId="39" xr:uid="{00000000-0005-0000-0000-000044000000}"/>
    <cellStyle name="Normal 19" xfId="40" xr:uid="{00000000-0005-0000-0000-000045000000}"/>
    <cellStyle name="Normal 19 2" xfId="41" xr:uid="{00000000-0005-0000-0000-000046000000}"/>
    <cellStyle name="Normal 2" xfId="11" xr:uid="{00000000-0005-0000-0000-000047000000}"/>
    <cellStyle name="Normal 2 2" xfId="42" xr:uid="{00000000-0005-0000-0000-000048000000}"/>
    <cellStyle name="Normal 2 3" xfId="103" xr:uid="{00000000-0005-0000-0000-000049000000}"/>
    <cellStyle name="Normal 2_Sheet1" xfId="59" xr:uid="{00000000-0005-0000-0000-00004A000000}"/>
    <cellStyle name="Normal 20" xfId="43" xr:uid="{00000000-0005-0000-0000-00004B000000}"/>
    <cellStyle name="Normal 20 2" xfId="44" xr:uid="{00000000-0005-0000-0000-00004C000000}"/>
    <cellStyle name="Normal 20 2 2" xfId="45" xr:uid="{00000000-0005-0000-0000-00004D000000}"/>
    <cellStyle name="Normal 20 3" xfId="46" xr:uid="{00000000-0005-0000-0000-00004E000000}"/>
    <cellStyle name="Normal 21" xfId="47" xr:uid="{00000000-0005-0000-0000-00004F000000}"/>
    <cellStyle name="Normal 22" xfId="60" xr:uid="{00000000-0005-0000-0000-000050000000}"/>
    <cellStyle name="Normal 23" xfId="13" xr:uid="{00000000-0005-0000-0000-000051000000}"/>
    <cellStyle name="Normal 3" xfId="2" xr:uid="{00000000-0005-0000-0000-000052000000}"/>
    <cellStyle name="Normal 3 2" xfId="105" xr:uid="{00000000-0005-0000-0000-000053000000}"/>
    <cellStyle name="Normal 4" xfId="4" xr:uid="{00000000-0005-0000-0000-000054000000}"/>
    <cellStyle name="Normal 4 2" xfId="48" xr:uid="{00000000-0005-0000-0000-000055000000}"/>
    <cellStyle name="Normal 5" xfId="49" xr:uid="{00000000-0005-0000-0000-000056000000}"/>
    <cellStyle name="Normal 6" xfId="3" xr:uid="{00000000-0005-0000-0000-000057000000}"/>
    <cellStyle name="Normal 6 2" xfId="50" xr:uid="{00000000-0005-0000-0000-000058000000}"/>
    <cellStyle name="Normal 7" xfId="5" xr:uid="{00000000-0005-0000-0000-000059000000}"/>
    <cellStyle name="Normal 7 2" xfId="51" xr:uid="{00000000-0005-0000-0000-00005A000000}"/>
    <cellStyle name="Normal 8" xfId="6" xr:uid="{00000000-0005-0000-0000-00005B000000}"/>
    <cellStyle name="Normal 8 2" xfId="52" xr:uid="{00000000-0005-0000-0000-00005C000000}"/>
    <cellStyle name="Normal 8 2 2" xfId="53" xr:uid="{00000000-0005-0000-0000-00005D000000}"/>
    <cellStyle name="Normal 8 3" xfId="54" xr:uid="{00000000-0005-0000-0000-00005E000000}"/>
    <cellStyle name="Normal 9" xfId="7" xr:uid="{00000000-0005-0000-0000-00005F000000}"/>
    <cellStyle name="Normal 9 2" xfId="55" xr:uid="{00000000-0005-0000-0000-000060000000}"/>
    <cellStyle name="Note" xfId="76" builtinId="10" customBuiltin="1"/>
    <cellStyle name="Output" xfId="71" builtinId="21" customBuiltin="1"/>
    <cellStyle name="Percent" xfId="10" builtinId="5"/>
    <cellStyle name="Percent 2" xfId="18" xr:uid="{00000000-0005-0000-0000-000064000000}"/>
    <cellStyle name="Percent 3" xfId="21" xr:uid="{00000000-0005-0000-0000-000065000000}"/>
    <cellStyle name="Percent 4" xfId="15" xr:uid="{00000000-0005-0000-0000-000066000000}"/>
    <cellStyle name="Title" xfId="62" builtinId="15" customBuiltin="1"/>
    <cellStyle name="Total" xfId="78" builtinId="25" customBuiltin="1"/>
    <cellStyle name="Warning Text" xfId="75" builtinId="11" customBuilti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6"/>
  <sheetViews>
    <sheetView tabSelected="1" zoomScaleNormal="100" workbookViewId="0"/>
  </sheetViews>
  <sheetFormatPr defaultRowHeight="14.4" outlineLevelCol="2" x14ac:dyDescent="0.55000000000000004"/>
  <cols>
    <col min="1" max="1" width="39.3125" style="105" customWidth="1"/>
    <col min="2" max="2" width="17.68359375" style="105" customWidth="1"/>
    <col min="3" max="3" width="10.41796875" style="105" customWidth="1"/>
    <col min="4" max="4" width="38.68359375" style="105" customWidth="1"/>
    <col min="5" max="5" width="23.20703125" style="105" bestFit="1" customWidth="1"/>
    <col min="6" max="6" width="11.20703125" style="105" customWidth="1"/>
    <col min="7" max="7" width="20" style="105" customWidth="1"/>
    <col min="8" max="8" width="11.7890625" style="105" customWidth="1"/>
    <col min="9" max="9" width="30.5234375" style="105" bestFit="1" customWidth="1"/>
    <col min="10" max="10" width="8.83984375" style="105"/>
    <col min="11" max="11" width="5.3125" style="105" hidden="1" customWidth="1" outlineLevel="2"/>
    <col min="12" max="12" width="6" style="105" customWidth="1" collapsed="1"/>
    <col min="13" max="13" width="9.89453125" style="105" bestFit="1" customWidth="1"/>
    <col min="14" max="16384" width="8.83984375" style="105"/>
  </cols>
  <sheetData>
    <row r="1" spans="1:14" x14ac:dyDescent="0.55000000000000004">
      <c r="A1" s="105" t="s">
        <v>27</v>
      </c>
      <c r="B1" s="106">
        <v>43306</v>
      </c>
      <c r="E1" s="107"/>
      <c r="F1" s="107"/>
      <c r="G1" s="108"/>
    </row>
    <row r="2" spans="1:14" x14ac:dyDescent="0.55000000000000004">
      <c r="A2" s="105" t="s">
        <v>517</v>
      </c>
      <c r="D2" s="109"/>
      <c r="E2" s="110"/>
      <c r="G2" s="111"/>
    </row>
    <row r="3" spans="1:14" x14ac:dyDescent="0.55000000000000004">
      <c r="A3" s="107" t="s">
        <v>463</v>
      </c>
      <c r="E3" s="110"/>
      <c r="G3" s="111"/>
    </row>
    <row r="4" spans="1:14" x14ac:dyDescent="0.55000000000000004">
      <c r="A4" s="112" t="s">
        <v>156</v>
      </c>
      <c r="G4" s="111"/>
    </row>
    <row r="6" spans="1:14" x14ac:dyDescent="0.55000000000000004">
      <c r="A6" s="105" t="s">
        <v>34</v>
      </c>
      <c r="M6" s="113"/>
    </row>
    <row r="7" spans="1:14" x14ac:dyDescent="0.55000000000000004">
      <c r="A7" s="114" t="s">
        <v>35</v>
      </c>
      <c r="B7" s="115" t="s">
        <v>36</v>
      </c>
      <c r="C7" s="115" t="s">
        <v>64</v>
      </c>
      <c r="D7" s="115" t="s">
        <v>516</v>
      </c>
      <c r="E7" s="116" t="s">
        <v>37</v>
      </c>
      <c r="I7" s="117"/>
      <c r="J7" s="117"/>
    </row>
    <row r="8" spans="1:14" x14ac:dyDescent="0.55000000000000004">
      <c r="A8" s="118" t="s">
        <v>290</v>
      </c>
      <c r="B8" s="119">
        <f>SugarProd</f>
        <v>74333.190526134596</v>
      </c>
      <c r="C8" s="120" t="s">
        <v>515</v>
      </c>
      <c r="D8" s="121">
        <f>CBA!C20</f>
        <v>495.87171648855542</v>
      </c>
      <c r="E8" s="122">
        <f>B8*D8/1000000</f>
        <v>36.859726778265184</v>
      </c>
      <c r="F8" s="105" t="s">
        <v>503</v>
      </c>
      <c r="H8" s="123"/>
      <c r="I8" s="117"/>
      <c r="J8" s="124"/>
      <c r="M8" s="125"/>
      <c r="N8" s="126"/>
    </row>
    <row r="9" spans="1:14" s="123" customFormat="1" x14ac:dyDescent="0.55000000000000004">
      <c r="A9" s="118" t="s">
        <v>437</v>
      </c>
      <c r="B9" s="119">
        <f>PelletYield*FeedPerYr*1000</f>
        <v>154856.37296717547</v>
      </c>
      <c r="C9" s="120" t="s">
        <v>515</v>
      </c>
      <c r="D9" s="127">
        <f>250.38/0.907185</f>
        <v>275.99662692835528</v>
      </c>
      <c r="E9" s="122">
        <f>B9*D9/1000000*1.1</f>
        <v>47.013820257029749</v>
      </c>
      <c r="F9" s="123" t="s">
        <v>400</v>
      </c>
      <c r="G9" s="105"/>
      <c r="I9" s="117"/>
      <c r="J9" s="128"/>
    </row>
    <row r="10" spans="1:14" s="123" customFormat="1" x14ac:dyDescent="0.55000000000000004">
      <c r="A10" s="129" t="s">
        <v>436</v>
      </c>
      <c r="B10" s="119">
        <f>(FeedYrBFLoss-FeedPerYr)*1000</f>
        <v>22430.398351648364</v>
      </c>
      <c r="C10" s="120" t="s">
        <v>515</v>
      </c>
      <c r="D10" s="127">
        <f>HogFuel</f>
        <v>49.603994775045884</v>
      </c>
      <c r="E10" s="130">
        <f>B10*D10/1000000</f>
        <v>1.1126373626373631</v>
      </c>
      <c r="F10" s="105"/>
      <c r="G10" s="105"/>
      <c r="H10" s="105"/>
      <c r="I10" s="117"/>
      <c r="J10" s="124"/>
    </row>
    <row r="11" spans="1:14" x14ac:dyDescent="0.55000000000000004">
      <c r="D11" s="131" t="s">
        <v>401</v>
      </c>
      <c r="E11" s="132">
        <f>SUM(E8:E10)</f>
        <v>84.986184397932291</v>
      </c>
      <c r="I11" s="117"/>
      <c r="J11" s="124"/>
    </row>
    <row r="12" spans="1:14" x14ac:dyDescent="0.55000000000000004">
      <c r="D12" s="133"/>
      <c r="E12" s="107"/>
      <c r="I12" s="117"/>
      <c r="J12" s="124"/>
    </row>
    <row r="13" spans="1:14" x14ac:dyDescent="0.55000000000000004">
      <c r="A13" s="105" t="s">
        <v>461</v>
      </c>
      <c r="B13" s="134">
        <f>FeedYrBFLoss</f>
        <v>249.22664835164838</v>
      </c>
      <c r="C13" s="105" t="s">
        <v>513</v>
      </c>
      <c r="D13" s="135"/>
      <c r="E13" s="136"/>
      <c r="I13" s="117"/>
      <c r="J13" s="124"/>
    </row>
    <row r="14" spans="1:14" x14ac:dyDescent="0.55000000000000004">
      <c r="A14" s="105" t="s">
        <v>462</v>
      </c>
      <c r="B14" s="137">
        <f>FeedCost</f>
        <v>56.852685404277963</v>
      </c>
      <c r="C14" s="138" t="s">
        <v>514</v>
      </c>
      <c r="D14" s="139"/>
      <c r="E14" s="140"/>
      <c r="I14" s="117"/>
      <c r="J14" s="124"/>
    </row>
    <row r="15" spans="1:14" x14ac:dyDescent="0.55000000000000004">
      <c r="A15" s="105" t="s">
        <v>63</v>
      </c>
      <c r="B15" s="141">
        <f>InfRate</f>
        <v>0.02</v>
      </c>
      <c r="D15" s="139"/>
      <c r="E15" s="140"/>
      <c r="I15" s="117"/>
      <c r="J15" s="117"/>
    </row>
    <row r="16" spans="1:14" ht="14.7" thickBot="1" x14ac:dyDescent="0.6">
      <c r="A16" s="105" t="s">
        <v>62</v>
      </c>
      <c r="B16" s="142">
        <f>Equity</f>
        <v>0.3</v>
      </c>
      <c r="I16" s="117"/>
      <c r="J16" s="117"/>
    </row>
    <row r="17" spans="1:10" x14ac:dyDescent="0.55000000000000004">
      <c r="A17" s="105" t="s">
        <v>278</v>
      </c>
      <c r="B17" s="143">
        <f>NomDiscRate</f>
        <v>0.12200000000000011</v>
      </c>
      <c r="C17" s="461" t="s">
        <v>608</v>
      </c>
      <c r="I17" s="117"/>
      <c r="J17" s="144"/>
    </row>
    <row r="18" spans="1:10" ht="14.7" thickBot="1" x14ac:dyDescent="0.6">
      <c r="A18" s="123" t="s">
        <v>279</v>
      </c>
      <c r="B18" s="145">
        <f>CBA!X108</f>
        <v>0.12200000000000011</v>
      </c>
      <c r="C18" s="462"/>
    </row>
    <row r="19" spans="1:10" x14ac:dyDescent="0.55000000000000004">
      <c r="A19" s="105" t="s">
        <v>213</v>
      </c>
      <c r="B19" s="146">
        <f>RealDiscRate</f>
        <v>0.1</v>
      </c>
    </row>
    <row r="20" spans="1:10" x14ac:dyDescent="0.55000000000000004">
      <c r="A20" s="105" t="s">
        <v>214</v>
      </c>
      <c r="B20" s="146">
        <f>DCFROR!B28</f>
        <v>7.7247326543100625E-2</v>
      </c>
    </row>
    <row r="22" spans="1:10" x14ac:dyDescent="0.55000000000000004">
      <c r="A22" s="147" t="s">
        <v>228</v>
      </c>
      <c r="B22" s="147"/>
      <c r="D22" s="148" t="s">
        <v>229</v>
      </c>
      <c r="E22" s="149"/>
    </row>
    <row r="23" spans="1:10" x14ac:dyDescent="0.55000000000000004">
      <c r="A23" s="150" t="s">
        <v>438</v>
      </c>
      <c r="B23" s="124">
        <f>FHRPrep!F2</f>
        <v>6.3122725001667241</v>
      </c>
      <c r="D23" s="151" t="s">
        <v>402</v>
      </c>
      <c r="E23" s="152">
        <f>OPEX!B3</f>
        <v>14.169204233098878</v>
      </c>
    </row>
    <row r="24" spans="1:10" x14ac:dyDescent="0.55000000000000004">
      <c r="A24" s="129" t="s">
        <v>460</v>
      </c>
      <c r="B24" s="124">
        <f>Coarse!F2+Fine!F2+Amorphous!F2</f>
        <v>8.5764562938818365</v>
      </c>
      <c r="D24" s="129" t="s">
        <v>438</v>
      </c>
      <c r="E24" s="128">
        <f>FHRPrep!F3</f>
        <v>5.7469553310890555</v>
      </c>
    </row>
    <row r="25" spans="1:10" x14ac:dyDescent="0.55000000000000004">
      <c r="A25" s="153" t="s">
        <v>398</v>
      </c>
      <c r="B25" s="122">
        <f>CAPEX!C18</f>
        <v>5.6543163151998694</v>
      </c>
      <c r="D25" s="129" t="s">
        <v>460</v>
      </c>
      <c r="E25" s="128">
        <f>Coarse!F3+Fine!F3+Amorphous!F3</f>
        <v>13.989489418080002</v>
      </c>
    </row>
    <row r="26" spans="1:10" x14ac:dyDescent="0.55000000000000004">
      <c r="A26" s="154" t="s">
        <v>386</v>
      </c>
      <c r="B26" s="122">
        <f>CAPEX!C19</f>
        <v>2.8570850534726926</v>
      </c>
      <c r="D26" s="155" t="s">
        <v>385</v>
      </c>
      <c r="E26" s="156">
        <f>OPEX!B9</f>
        <v>4.2210672447273829</v>
      </c>
    </row>
    <row r="27" spans="1:10" x14ac:dyDescent="0.55000000000000004">
      <c r="A27" s="157" t="s">
        <v>106</v>
      </c>
      <c r="B27" s="158">
        <f>CAPEX!C23</f>
        <v>120.42774132496913</v>
      </c>
      <c r="D27" s="155" t="s">
        <v>386</v>
      </c>
      <c r="E27" s="156">
        <f>OPEX!B10</f>
        <v>9.2374866525539332</v>
      </c>
    </row>
    <row r="28" spans="1:10" x14ac:dyDescent="0.55000000000000004">
      <c r="A28" s="118" t="s">
        <v>100</v>
      </c>
      <c r="B28" s="159">
        <f>LoanInt</f>
        <v>0.08</v>
      </c>
      <c r="D28" s="155" t="s">
        <v>387</v>
      </c>
      <c r="E28" s="156">
        <f>OPEX!B11</f>
        <v>0.72774876461760007</v>
      </c>
    </row>
    <row r="29" spans="1:10" x14ac:dyDescent="0.55000000000000004">
      <c r="A29" s="118" t="s">
        <v>101</v>
      </c>
      <c r="B29" s="160">
        <f>LoanYrs</f>
        <v>10</v>
      </c>
      <c r="D29" s="155" t="s">
        <v>388</v>
      </c>
      <c r="E29" s="156">
        <f>OPEX!B12</f>
        <v>0.75532843589680809</v>
      </c>
    </row>
    <row r="30" spans="1:10" x14ac:dyDescent="0.55000000000000004">
      <c r="A30" s="118" t="s">
        <v>287</v>
      </c>
      <c r="B30" s="161">
        <f>B8</f>
        <v>74333.190526134596</v>
      </c>
      <c r="C30" s="117"/>
      <c r="D30" s="162" t="s">
        <v>399</v>
      </c>
      <c r="E30" s="156">
        <f>OPEX!B13</f>
        <v>3.2</v>
      </c>
      <c r="G30" s="126"/>
    </row>
    <row r="31" spans="1:10" x14ac:dyDescent="0.55000000000000004">
      <c r="C31" s="117"/>
      <c r="D31" s="118" t="s">
        <v>102</v>
      </c>
      <c r="E31" s="163">
        <f>OPEX!D21</f>
        <v>17.058999737906227</v>
      </c>
    </row>
    <row r="32" spans="1:10" x14ac:dyDescent="0.55000000000000004">
      <c r="C32" s="117"/>
      <c r="D32" s="157" t="s">
        <v>103</v>
      </c>
      <c r="E32" s="164">
        <f>SUM(E23:E31)</f>
        <v>69.106279817969892</v>
      </c>
    </row>
    <row r="33" spans="4:7" x14ac:dyDescent="0.55000000000000004">
      <c r="D33" s="117"/>
      <c r="E33" s="165"/>
      <c r="F33" s="166"/>
    </row>
    <row r="36" spans="4:7" x14ac:dyDescent="0.55000000000000004">
      <c r="G36" s="167"/>
    </row>
  </sheetData>
  <sheetProtection algorithmName="SHA-512" hashValue="eIetWd7Y532pNWG+juaCR8h6C6BQqNcuMOlxNwPyGEbgcE6Fa68h9atBklcpCR3IfGIyudM90JutP2bHsAv56Q==" saltValue="gg1UFMFWSiUko/Qyp95EUw==" spinCount="100000" sheet="1" objects="1" scenarios="1" selectLockedCells="1" selectUnlockedCells="1"/>
  <mergeCells count="1">
    <mergeCell ref="C17:C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K41"/>
  <sheetViews>
    <sheetView zoomScaleNormal="100" workbookViewId="0">
      <selection sqref="A1:XFD1048576"/>
    </sheetView>
  </sheetViews>
  <sheetFormatPr defaultRowHeight="14.4" x14ac:dyDescent="0.55000000000000004"/>
  <cols>
    <col min="1" max="1" width="27.734375" style="339" customWidth="1"/>
    <col min="2" max="2" width="21.734375" style="339" customWidth="1"/>
    <col min="3" max="3" width="19.5234375" style="339" bestFit="1" customWidth="1"/>
    <col min="4" max="4" width="21.83984375" style="339" bestFit="1" customWidth="1"/>
    <col min="5" max="5" width="23.83984375" style="339" bestFit="1" customWidth="1"/>
    <col min="6" max="6" width="17.7890625" style="339" bestFit="1" customWidth="1"/>
    <col min="7" max="7" width="23" style="339" customWidth="1"/>
    <col min="8" max="8" width="8.83984375" style="339"/>
    <col min="9" max="9" width="16" style="339" customWidth="1"/>
    <col min="10" max="11" width="8.83984375" style="339"/>
    <col min="12" max="12" width="11.41796875" style="339" customWidth="1"/>
    <col min="13" max="13" width="10.20703125" style="339" customWidth="1"/>
    <col min="14" max="14" width="11.1015625" style="339" customWidth="1"/>
    <col min="15" max="16384" width="8.83984375" style="339"/>
  </cols>
  <sheetData>
    <row r="1" spans="1:11" x14ac:dyDescent="0.55000000000000004">
      <c r="A1" s="294"/>
    </row>
    <row r="2" spans="1:11" x14ac:dyDescent="0.55000000000000004">
      <c r="A2" s="387"/>
      <c r="B2" s="387" t="s">
        <v>523</v>
      </c>
      <c r="C2" s="388">
        <f>910.376457988169/2000*0.907185*1000000</f>
        <v>412939.93351999857</v>
      </c>
      <c r="E2" s="131" t="s">
        <v>232</v>
      </c>
      <c r="F2" s="132">
        <f>F20/1000000</f>
        <v>5.6543163151998694</v>
      </c>
      <c r="G2" s="105"/>
      <c r="H2" s="105"/>
      <c r="I2" s="105" t="s">
        <v>320</v>
      </c>
      <c r="J2" s="105">
        <v>12.7</v>
      </c>
      <c r="K2" s="105" t="s">
        <v>587</v>
      </c>
    </row>
    <row r="3" spans="1:11" x14ac:dyDescent="0.55000000000000004">
      <c r="B3" s="387" t="s">
        <v>524</v>
      </c>
      <c r="C3" s="389">
        <f>SugarProd</f>
        <v>74333.190526134596</v>
      </c>
      <c r="E3" s="131" t="s">
        <v>220</v>
      </c>
      <c r="F3" s="132">
        <f>D41/1000000</f>
        <v>4.2210672447273829</v>
      </c>
      <c r="I3" s="105" t="s">
        <v>321</v>
      </c>
      <c r="J3" s="105">
        <v>8.4</v>
      </c>
      <c r="K3" s="105"/>
    </row>
    <row r="4" spans="1:11" x14ac:dyDescent="0.55000000000000004">
      <c r="I4" s="105" t="s">
        <v>322</v>
      </c>
      <c r="J4" s="105">
        <v>49</v>
      </c>
      <c r="K4" s="105" t="s">
        <v>587</v>
      </c>
    </row>
    <row r="5" spans="1:11" x14ac:dyDescent="0.55000000000000004">
      <c r="A5" s="113" t="s">
        <v>115</v>
      </c>
    </row>
    <row r="6" spans="1:11" x14ac:dyDescent="0.55000000000000004">
      <c r="A6" s="390" t="s">
        <v>105</v>
      </c>
      <c r="B6" s="373" t="s">
        <v>525</v>
      </c>
      <c r="C6" s="373" t="s">
        <v>307</v>
      </c>
      <c r="D6" s="373" t="s">
        <v>306</v>
      </c>
      <c r="E6" s="391" t="s">
        <v>231</v>
      </c>
      <c r="F6" s="373" t="s">
        <v>308</v>
      </c>
      <c r="G6" s="392" t="s">
        <v>116</v>
      </c>
    </row>
    <row r="7" spans="1:11" x14ac:dyDescent="0.55000000000000004">
      <c r="A7" s="393" t="s">
        <v>293</v>
      </c>
      <c r="B7" s="394">
        <f>2200*0.907185</f>
        <v>1995.807</v>
      </c>
      <c r="C7" s="395">
        <v>1</v>
      </c>
      <c r="D7" s="395">
        <v>2009</v>
      </c>
      <c r="E7" s="396">
        <v>24742.157232786649</v>
      </c>
      <c r="F7" s="397">
        <f>E7*(FeedPerYr*1000/DaysPrYr/B7)^0.7*CY2015_/CY2009_</f>
        <v>12555.582324159845</v>
      </c>
      <c r="G7" s="398" t="s">
        <v>602</v>
      </c>
    </row>
    <row r="8" spans="1:11" x14ac:dyDescent="0.55000000000000004">
      <c r="A8" s="393" t="s">
        <v>294</v>
      </c>
      <c r="B8" s="399">
        <f t="shared" ref="B8:B10" si="0">2200*0.907185</f>
        <v>1995.807</v>
      </c>
      <c r="C8" s="400">
        <v>1</v>
      </c>
      <c r="D8" s="400">
        <v>2009</v>
      </c>
      <c r="E8" s="401">
        <v>5413.6498719033525</v>
      </c>
      <c r="F8" s="397">
        <f>E8*(FeedPerYr*1000/DaysPrYr/B8)^0.7*CY2015_/CY2009_</f>
        <v>2747.1948384027173</v>
      </c>
      <c r="G8" s="398" t="s">
        <v>602</v>
      </c>
    </row>
    <row r="9" spans="1:11" x14ac:dyDescent="0.55000000000000004">
      <c r="A9" s="393" t="s">
        <v>295</v>
      </c>
      <c r="B9" s="399">
        <f t="shared" si="0"/>
        <v>1995.807</v>
      </c>
      <c r="C9" s="400">
        <v>1</v>
      </c>
      <c r="D9" s="400">
        <v>2009</v>
      </c>
      <c r="E9" s="401">
        <v>26194.906589218139</v>
      </c>
      <c r="F9" s="397">
        <f>E9*(FeedPerYr*1000/DaysPrYr/B9)^0.7*CY2015_/CY2009_</f>
        <v>13292.790238952142</v>
      </c>
      <c r="G9" s="398" t="s">
        <v>602</v>
      </c>
    </row>
    <row r="10" spans="1:11" x14ac:dyDescent="0.55000000000000004">
      <c r="A10" s="393" t="s">
        <v>296</v>
      </c>
      <c r="B10" s="399">
        <f t="shared" si="0"/>
        <v>1995.807</v>
      </c>
      <c r="C10" s="400">
        <v>1</v>
      </c>
      <c r="D10" s="400">
        <v>2009</v>
      </c>
      <c r="E10" s="401">
        <v>269115.4294377286</v>
      </c>
      <c r="F10" s="397">
        <f>E10*(FeedPerYr*1000/DaysPrYr/B10)^0.7*CY2015_/CY2009_</f>
        <v>136564.52415270961</v>
      </c>
      <c r="G10" s="398" t="s">
        <v>602</v>
      </c>
    </row>
    <row r="11" spans="1:11" x14ac:dyDescent="0.55000000000000004">
      <c r="A11" s="393" t="s">
        <v>297</v>
      </c>
      <c r="B11" s="399">
        <f>275.57970462*0.907185</f>
        <v>250.00177433569468</v>
      </c>
      <c r="C11" s="400">
        <v>3</v>
      </c>
      <c r="D11" s="400">
        <v>2009</v>
      </c>
      <c r="E11" s="401">
        <v>16253.253369623888</v>
      </c>
      <c r="F11" s="397">
        <f>(FeedPerYr*1000/DaysPrYr/(B11*C11))^0.7*E11*C11*CY2015_/CY2009_</f>
        <v>49090.65139140228</v>
      </c>
      <c r="G11" s="398" t="s">
        <v>602</v>
      </c>
    </row>
    <row r="12" spans="1:11" x14ac:dyDescent="0.55000000000000004">
      <c r="A12" s="393" t="s">
        <v>298</v>
      </c>
      <c r="B12" s="399">
        <f t="shared" ref="B12:B13" si="1">275.57970462*0.907185</f>
        <v>250.00177433569468</v>
      </c>
      <c r="C12" s="400">
        <v>3</v>
      </c>
      <c r="D12" s="400">
        <v>2010</v>
      </c>
      <c r="E12" s="401">
        <v>13334.848047823863</v>
      </c>
      <c r="F12" s="397">
        <f>(FeedPerYr*1000/DaysPrYr/(B12*C12))^0.7*E12*C12*CY2015_/CY2010_</f>
        <v>38162.773150119421</v>
      </c>
      <c r="G12" s="398" t="s">
        <v>602</v>
      </c>
    </row>
    <row r="13" spans="1:11" x14ac:dyDescent="0.55000000000000004">
      <c r="A13" s="393" t="s">
        <v>299</v>
      </c>
      <c r="B13" s="399">
        <f t="shared" si="1"/>
        <v>250.00177433569468</v>
      </c>
      <c r="C13" s="400">
        <v>3</v>
      </c>
      <c r="D13" s="400">
        <v>2009</v>
      </c>
      <c r="E13" s="401">
        <v>6782.2911745149258</v>
      </c>
      <c r="F13" s="397">
        <f>(FeedPerYr*1000/DaysPrYr/(B13*C13))^0.7*E13*C13*CY2015_/CY2009_</f>
        <v>20484.950557981803</v>
      </c>
      <c r="G13" s="398" t="s">
        <v>602</v>
      </c>
    </row>
    <row r="14" spans="1:11" x14ac:dyDescent="0.55000000000000004">
      <c r="A14" s="393" t="s">
        <v>300</v>
      </c>
      <c r="B14" s="399">
        <f t="shared" ref="B14" si="2">2200*0.907185</f>
        <v>1995.807</v>
      </c>
      <c r="C14" s="400">
        <v>1</v>
      </c>
      <c r="D14" s="400">
        <v>2009</v>
      </c>
      <c r="E14" s="401">
        <v>4391914.8697676966</v>
      </c>
      <c r="F14" s="397">
        <f>E14*(FeedPerYr*1000/DaysPrYr/B14)^0.7*CY2015_/CY2009_</f>
        <v>2228708.199905795</v>
      </c>
      <c r="G14" s="398" t="s">
        <v>602</v>
      </c>
    </row>
    <row r="15" spans="1:11" x14ac:dyDescent="0.55000000000000004">
      <c r="A15" s="393" t="s">
        <v>301</v>
      </c>
      <c r="B15" s="399">
        <f>FeedPerD</f>
        <v>758.68081689999508</v>
      </c>
      <c r="C15" s="400">
        <v>1</v>
      </c>
      <c r="D15" s="400">
        <v>2011</v>
      </c>
      <c r="E15" s="397">
        <v>317871</v>
      </c>
      <c r="F15" s="397">
        <f>E15*CY2015_/CY2011_</f>
        <v>302186.39713163732</v>
      </c>
      <c r="G15" s="398" t="s">
        <v>602</v>
      </c>
    </row>
    <row r="16" spans="1:11" x14ac:dyDescent="0.55000000000000004">
      <c r="A16" s="402" t="s">
        <v>302</v>
      </c>
      <c r="B16" s="399">
        <f>312</f>
        <v>312</v>
      </c>
      <c r="C16" s="399">
        <v>6</v>
      </c>
      <c r="D16" s="225">
        <v>2016</v>
      </c>
      <c r="E16" s="403">
        <v>38000</v>
      </c>
      <c r="F16" s="397">
        <f>E16*C16</f>
        <v>228000</v>
      </c>
      <c r="G16" s="398" t="s">
        <v>586</v>
      </c>
    </row>
    <row r="17" spans="1:8" x14ac:dyDescent="0.55000000000000004">
      <c r="A17" s="404" t="s">
        <v>303</v>
      </c>
      <c r="B17" s="399">
        <f t="shared" ref="B17:B19" si="3">2200*0.907185</f>
        <v>1995.807</v>
      </c>
      <c r="C17" s="399">
        <v>1</v>
      </c>
      <c r="D17" s="225">
        <v>2007</v>
      </c>
      <c r="E17" s="405">
        <v>24983.79712063327</v>
      </c>
      <c r="F17" s="397">
        <f>E17*($C$3/$C$2)^0.7*CY2015_/CY2007_</f>
        <v>7972.1364981584875</v>
      </c>
      <c r="G17" s="398" t="s">
        <v>602</v>
      </c>
    </row>
    <row r="18" spans="1:8" x14ac:dyDescent="0.55000000000000004">
      <c r="A18" s="404" t="s">
        <v>304</v>
      </c>
      <c r="B18" s="399">
        <f t="shared" si="3"/>
        <v>1995.807</v>
      </c>
      <c r="C18" s="399">
        <v>1</v>
      </c>
      <c r="D18" s="225">
        <v>2009</v>
      </c>
      <c r="E18" s="405">
        <v>7400000</v>
      </c>
      <c r="F18" s="397">
        <f>E18*($C$3/$C$2)^0.7*CY2015_/CY2009_</f>
        <v>2377118.1761094006</v>
      </c>
      <c r="G18" s="398" t="s">
        <v>602</v>
      </c>
    </row>
    <row r="19" spans="1:8" x14ac:dyDescent="0.55000000000000004">
      <c r="A19" s="404" t="s">
        <v>305</v>
      </c>
      <c r="B19" s="399">
        <f t="shared" si="3"/>
        <v>1995.807</v>
      </c>
      <c r="C19" s="399">
        <v>1</v>
      </c>
      <c r="D19" s="225">
        <v>2010</v>
      </c>
      <c r="E19" s="406">
        <v>780060.97199981648</v>
      </c>
      <c r="F19" s="397">
        <f>E19*($C$3/$C$2)^0.7*CY2015_/CY2010_</f>
        <v>237432.93890115083</v>
      </c>
      <c r="G19" s="398" t="s">
        <v>602</v>
      </c>
    </row>
    <row r="20" spans="1:8" x14ac:dyDescent="0.55000000000000004">
      <c r="E20" s="356" t="s">
        <v>282</v>
      </c>
      <c r="F20" s="357">
        <f>SUM(F7:F19)</f>
        <v>5654316.3151998697</v>
      </c>
    </row>
    <row r="21" spans="1:8" x14ac:dyDescent="0.55000000000000004">
      <c r="H21" s="407"/>
    </row>
    <row r="22" spans="1:8" x14ac:dyDescent="0.55000000000000004">
      <c r="A22" s="113" t="s">
        <v>217</v>
      </c>
      <c r="H22" s="131"/>
    </row>
    <row r="23" spans="1:8" x14ac:dyDescent="0.55000000000000004">
      <c r="A23" s="114" t="s">
        <v>309</v>
      </c>
      <c r="B23" s="115" t="s">
        <v>310</v>
      </c>
      <c r="C23" s="373" t="s">
        <v>318</v>
      </c>
      <c r="D23" s="392" t="s">
        <v>116</v>
      </c>
      <c r="E23" s="408"/>
    </row>
    <row r="24" spans="1:8" x14ac:dyDescent="0.55000000000000004">
      <c r="A24" s="409">
        <f>2.15566535044896*1000000</f>
        <v>2155665.35044896</v>
      </c>
      <c r="B24" s="120">
        <v>2007</v>
      </c>
      <c r="C24" s="410">
        <f>A24*FeedPerYr*1000/DaysPrYr/B7*1.15</f>
        <v>857553.32538269809</v>
      </c>
      <c r="D24" s="277" t="s">
        <v>577</v>
      </c>
      <c r="E24" s="411"/>
    </row>
    <row r="25" spans="1:8" x14ac:dyDescent="0.55000000000000004">
      <c r="A25" s="276"/>
      <c r="B25" s="278"/>
    </row>
    <row r="26" spans="1:8" x14ac:dyDescent="0.55000000000000004">
      <c r="A26" s="390"/>
      <c r="B26" s="412" t="s">
        <v>311</v>
      </c>
      <c r="C26" s="115" t="s">
        <v>323</v>
      </c>
      <c r="D26" s="392" t="s">
        <v>324</v>
      </c>
      <c r="E26" s="390" t="s">
        <v>283</v>
      </c>
      <c r="F26" s="413" t="s">
        <v>116</v>
      </c>
    </row>
    <row r="27" spans="1:8" x14ac:dyDescent="0.55000000000000004">
      <c r="A27" s="414" t="s">
        <v>319</v>
      </c>
      <c r="B27" s="119">
        <v>5053.6000000000004</v>
      </c>
      <c r="C27" s="399">
        <f>B27*FeedPerYr*1000/DaysPrYr/B19*(J4-J3)/(J4-J2)</f>
        <v>1955.2496930511197</v>
      </c>
      <c r="D27" s="399">
        <f>C27*DaysPrYr*HrsPrDay</f>
        <v>15415188.58001503</v>
      </c>
      <c r="E27" s="397">
        <f>D27*ElecCost</f>
        <v>651137.56561983482</v>
      </c>
      <c r="F27" s="105" t="s">
        <v>329</v>
      </c>
    </row>
    <row r="28" spans="1:8" x14ac:dyDescent="0.55000000000000004">
      <c r="A28" s="409" t="s">
        <v>312</v>
      </c>
      <c r="B28" s="415"/>
      <c r="C28" s="120">
        <f>7*C16</f>
        <v>42</v>
      </c>
      <c r="D28" s="400">
        <f>C28*DaysPrYr*HrsPrDay</f>
        <v>331128</v>
      </c>
      <c r="E28" s="397">
        <f>D28*ElecCost</f>
        <v>13986.84672</v>
      </c>
      <c r="F28" s="105" t="s">
        <v>325</v>
      </c>
    </row>
    <row r="29" spans="1:8" x14ac:dyDescent="0.55000000000000004">
      <c r="A29" s="276"/>
      <c r="B29" s="278"/>
      <c r="C29" s="416"/>
      <c r="D29" s="131" t="s">
        <v>326</v>
      </c>
      <c r="E29" s="357">
        <f>SUM(E27:E28)</f>
        <v>665124.41233983485</v>
      </c>
    </row>
    <row r="30" spans="1:8" x14ac:dyDescent="0.55000000000000004">
      <c r="A30" s="417"/>
      <c r="B30" s="105"/>
    </row>
    <row r="31" spans="1:8" x14ac:dyDescent="0.55000000000000004">
      <c r="A31" s="114" t="s">
        <v>313</v>
      </c>
      <c r="B31" s="115" t="s">
        <v>314</v>
      </c>
      <c r="C31" s="418" t="s">
        <v>327</v>
      </c>
      <c r="D31" s="373" t="s">
        <v>283</v>
      </c>
      <c r="E31" s="392" t="s">
        <v>116</v>
      </c>
    </row>
    <row r="32" spans="1:8" x14ac:dyDescent="0.55000000000000004">
      <c r="A32" s="371">
        <f>2638</f>
        <v>2638</v>
      </c>
      <c r="B32" s="119">
        <f>A32*2.20462</f>
        <v>5815.7875599999998</v>
      </c>
      <c r="C32" s="399">
        <f>B32*FeedPerYr*1000/DaysPrYr/B7</f>
        <v>2011.8263318112631</v>
      </c>
      <c r="D32" s="397">
        <f>C32*DaysPrYr*HrsPrDay/0.85*C34/1000000*NGMMbtuCost</f>
        <v>183414.76212984719</v>
      </c>
      <c r="E32" s="105" t="s">
        <v>548</v>
      </c>
    </row>
    <row r="33" spans="1:5" x14ac:dyDescent="0.55000000000000004">
      <c r="A33" s="105"/>
      <c r="B33" s="105"/>
    </row>
    <row r="34" spans="1:5" x14ac:dyDescent="0.55000000000000004">
      <c r="A34" s="105"/>
      <c r="B34" s="105"/>
      <c r="C34" s="419">
        <f>1194.5-48.1</f>
        <v>1146.4000000000001</v>
      </c>
      <c r="D34" s="420" t="s">
        <v>527</v>
      </c>
      <c r="E34" s="419" t="s">
        <v>328</v>
      </c>
    </row>
    <row r="35" spans="1:5" x14ac:dyDescent="0.55000000000000004">
      <c r="A35" s="105"/>
      <c r="B35" s="105"/>
    </row>
    <row r="36" spans="1:5" x14ac:dyDescent="0.55000000000000004">
      <c r="A36" s="107" t="s">
        <v>315</v>
      </c>
      <c r="B36" s="107"/>
    </row>
    <row r="37" spans="1:5" x14ac:dyDescent="0.55000000000000004">
      <c r="A37" s="223" t="s">
        <v>526</v>
      </c>
      <c r="B37" s="344" t="s">
        <v>317</v>
      </c>
      <c r="C37" s="418" t="s">
        <v>316</v>
      </c>
      <c r="D37" s="373" t="s">
        <v>283</v>
      </c>
      <c r="E37" s="392" t="s">
        <v>116</v>
      </c>
    </row>
    <row r="38" spans="1:5" x14ac:dyDescent="0.55000000000000004">
      <c r="A38" s="421">
        <v>206.68606200000002</v>
      </c>
      <c r="B38" s="422">
        <f>A38*C3/C2</f>
        <v>37.205494500808342</v>
      </c>
      <c r="C38" s="399">
        <f>B38*DaysPrYr*HrsPrDay</f>
        <v>293328.11864437297</v>
      </c>
      <c r="D38" s="397">
        <f>C38*NGMMbtuCost</f>
        <v>2514974.7448750031</v>
      </c>
      <c r="E38" s="398" t="s">
        <v>548</v>
      </c>
    </row>
    <row r="41" spans="1:5" x14ac:dyDescent="0.55000000000000004">
      <c r="C41" s="131" t="s">
        <v>219</v>
      </c>
      <c r="D41" s="357">
        <f>D38+C24+E29+D32</f>
        <v>4221067.2447273834</v>
      </c>
    </row>
  </sheetData>
  <sheetProtection algorithmName="SHA-512" hashValue="3ICkr5Y6XKGvGMZOeq3TOKBKJaEVzkAcuBjpWiHHcb84VTP6S/Jsh3S1uCNF3OcpJmCwbDamhhsCZIIhfZ9+LQ==" saltValue="lc2fc852IkbL9VlYinm97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L28"/>
  <sheetViews>
    <sheetView zoomScaleNormal="100" workbookViewId="0">
      <selection sqref="A1:XFD1048576"/>
    </sheetView>
  </sheetViews>
  <sheetFormatPr defaultRowHeight="14.4" x14ac:dyDescent="0.55000000000000004"/>
  <cols>
    <col min="1" max="1" width="17.68359375" style="105" bestFit="1" customWidth="1"/>
    <col min="2" max="2" width="25.05078125" style="105" bestFit="1" customWidth="1"/>
    <col min="3" max="3" width="17.68359375" style="105" bestFit="1" customWidth="1"/>
    <col min="4" max="4" width="29.68359375" style="105" bestFit="1" customWidth="1"/>
    <col min="5" max="5" width="16.7890625" style="105" customWidth="1"/>
    <col min="6" max="6" width="14.26171875" style="105" customWidth="1"/>
    <col min="7" max="7" width="14.5234375" style="105" customWidth="1"/>
    <col min="8" max="8" width="15.7890625" style="105" customWidth="1"/>
    <col min="9" max="9" width="11.20703125" style="105" customWidth="1"/>
    <col min="10" max="10" width="8.83984375" style="105"/>
    <col min="11" max="11" width="15.7890625" style="105" customWidth="1"/>
    <col min="12" max="13" width="8.83984375" style="105"/>
    <col min="14" max="14" width="12.7890625" style="105" customWidth="1"/>
    <col min="15" max="15" width="11.5234375" style="105" customWidth="1"/>
    <col min="16" max="16" width="6.3125" style="105" customWidth="1"/>
    <col min="17" max="17" width="13.20703125" style="105" customWidth="1"/>
    <col min="18" max="18" width="12.41796875" style="105" customWidth="1"/>
    <col min="19" max="16384" width="8.83984375" style="105"/>
  </cols>
  <sheetData>
    <row r="1" spans="1:12" x14ac:dyDescent="0.55000000000000004">
      <c r="A1" s="294"/>
      <c r="B1" s="125" t="s">
        <v>336</v>
      </c>
      <c r="C1" s="278">
        <v>6</v>
      </c>
    </row>
    <row r="2" spans="1:12" x14ac:dyDescent="0.55000000000000004">
      <c r="B2" s="125" t="s">
        <v>528</v>
      </c>
      <c r="C2" s="423">
        <f>PelletYield*FeedPerYr*1000/DaysPrYr/HrsPrDay</f>
        <v>19.641853496597598</v>
      </c>
      <c r="E2" s="131" t="s">
        <v>232</v>
      </c>
      <c r="F2" s="132">
        <f>F11/1000000</f>
        <v>2.8570850534726926</v>
      </c>
    </row>
    <row r="3" spans="1:12" x14ac:dyDescent="0.55000000000000004">
      <c r="B3" s="125" t="s">
        <v>345</v>
      </c>
      <c r="C3" s="423">
        <v>8.93</v>
      </c>
      <c r="E3" s="131" t="s">
        <v>220</v>
      </c>
      <c r="F3" s="132">
        <f>(E20+F27)/1000000</f>
        <v>9.2374866525539332</v>
      </c>
      <c r="K3" s="131"/>
      <c r="L3" s="424"/>
    </row>
    <row r="4" spans="1:12" x14ac:dyDescent="0.55000000000000004">
      <c r="B4" s="125" t="s">
        <v>346</v>
      </c>
      <c r="C4" s="425">
        <v>41430066.240000002</v>
      </c>
      <c r="E4" s="131"/>
      <c r="F4" s="132"/>
      <c r="K4" s="131"/>
      <c r="L4" s="424"/>
    </row>
    <row r="5" spans="1:12" x14ac:dyDescent="0.55000000000000004">
      <c r="A5" s="105" t="s">
        <v>115</v>
      </c>
    </row>
    <row r="6" spans="1:12" x14ac:dyDescent="0.55000000000000004">
      <c r="A6" s="223" t="s">
        <v>105</v>
      </c>
      <c r="B6" s="344" t="s">
        <v>330</v>
      </c>
      <c r="C6" s="344" t="s">
        <v>335</v>
      </c>
      <c r="D6" s="344" t="s">
        <v>592</v>
      </c>
      <c r="E6" s="344" t="s">
        <v>222</v>
      </c>
      <c r="F6" s="344" t="s">
        <v>280</v>
      </c>
      <c r="G6" s="349" t="s">
        <v>116</v>
      </c>
    </row>
    <row r="7" spans="1:12" x14ac:dyDescent="0.55000000000000004">
      <c r="A7" s="129" t="s">
        <v>331</v>
      </c>
      <c r="B7" s="230">
        <v>1</v>
      </c>
      <c r="C7" s="426">
        <f>ROUNDDOWN($C$2/$C$1*B7,0)</f>
        <v>3</v>
      </c>
      <c r="D7" s="230">
        <v>350000</v>
      </c>
      <c r="E7" s="120">
        <v>2004</v>
      </c>
      <c r="F7" s="352">
        <f>C7*D7*($C$2/(C7*$C$1))^0.6*CY2015_/CY2004_</f>
        <v>1386934.4919770351</v>
      </c>
      <c r="G7" s="277" t="s">
        <v>557</v>
      </c>
    </row>
    <row r="8" spans="1:12" x14ac:dyDescent="0.55000000000000004">
      <c r="A8" s="129" t="s">
        <v>332</v>
      </c>
      <c r="B8" s="230">
        <v>1</v>
      </c>
      <c r="C8" s="426">
        <f>ROUNDDOWN($C$2/$C$1*B8,0)</f>
        <v>3</v>
      </c>
      <c r="D8" s="230">
        <v>315000</v>
      </c>
      <c r="E8" s="120">
        <v>2004</v>
      </c>
      <c r="F8" s="352">
        <f>C8*D8*($C$2/(C8*$C$1))^0.6*CY2015_/CY2004_</f>
        <v>1248241.0427793318</v>
      </c>
      <c r="G8" s="277" t="s">
        <v>557</v>
      </c>
    </row>
    <row r="9" spans="1:12" x14ac:dyDescent="0.55000000000000004">
      <c r="A9" s="129" t="s">
        <v>333</v>
      </c>
      <c r="B9" s="230">
        <v>1</v>
      </c>
      <c r="C9" s="426">
        <f>ROUNDDOWN($C$2/$C$1*B9,0)</f>
        <v>3</v>
      </c>
      <c r="D9" s="230">
        <v>32000</v>
      </c>
      <c r="E9" s="120">
        <v>2004</v>
      </c>
      <c r="F9" s="352">
        <f>C9*D9*($C$2/(C9*$C$1))^0.6*CY2015_/CY2004_</f>
        <v>126805.43926647179</v>
      </c>
      <c r="G9" s="277" t="s">
        <v>557</v>
      </c>
    </row>
    <row r="10" spans="1:12" x14ac:dyDescent="0.55000000000000004">
      <c r="A10" s="129" t="s">
        <v>334</v>
      </c>
      <c r="B10" s="230">
        <v>1</v>
      </c>
      <c r="C10" s="426">
        <f>ROUNDDOWN($C$2/$C$1*B10,0)</f>
        <v>3</v>
      </c>
      <c r="D10" s="230">
        <v>24000</v>
      </c>
      <c r="E10" s="120">
        <v>2004</v>
      </c>
      <c r="F10" s="352">
        <f>C10*D10*($C$2/(C10*$C$1))^0.6*CY2015_/CY2004_</f>
        <v>95104.079449853831</v>
      </c>
      <c r="G10" s="277" t="s">
        <v>557</v>
      </c>
    </row>
    <row r="11" spans="1:12" x14ac:dyDescent="0.55000000000000004">
      <c r="A11" s="107"/>
      <c r="D11" s="153"/>
      <c r="E11" s="356" t="s">
        <v>282</v>
      </c>
      <c r="F11" s="427">
        <f>SUM(F7:F10)</f>
        <v>2857085.0534726926</v>
      </c>
    </row>
    <row r="12" spans="1:12" x14ac:dyDescent="0.55000000000000004">
      <c r="A12" s="107"/>
      <c r="B12" s="107"/>
      <c r="C12" s="107"/>
      <c r="D12" s="107"/>
      <c r="E12" s="356"/>
      <c r="F12" s="164"/>
    </row>
    <row r="13" spans="1:12" x14ac:dyDescent="0.55000000000000004">
      <c r="A13" s="107" t="s">
        <v>217</v>
      </c>
      <c r="B13" s="107"/>
      <c r="C13" s="107"/>
      <c r="D13" s="107"/>
      <c r="E13" s="107"/>
      <c r="F13" s="164"/>
      <c r="G13" s="384"/>
    </row>
    <row r="14" spans="1:12" x14ac:dyDescent="0.55000000000000004">
      <c r="A14" s="428" t="s">
        <v>337</v>
      </c>
      <c r="B14" s="344" t="s">
        <v>591</v>
      </c>
      <c r="C14" s="344" t="s">
        <v>338</v>
      </c>
      <c r="D14" s="344" t="s">
        <v>344</v>
      </c>
      <c r="E14" s="344" t="s">
        <v>277</v>
      </c>
      <c r="F14" s="349" t="s">
        <v>116</v>
      </c>
      <c r="G14" s="252"/>
      <c r="H14" s="384"/>
    </row>
    <row r="15" spans="1:12" x14ac:dyDescent="0.55000000000000004">
      <c r="A15" s="129" t="s">
        <v>339</v>
      </c>
      <c r="B15" s="429"/>
      <c r="C15" s="430">
        <v>308858.8501756012</v>
      </c>
      <c r="D15" s="361"/>
      <c r="E15" s="127">
        <f>C15*NGMMbtuCost</f>
        <v>2648134.1492682383</v>
      </c>
      <c r="F15" s="431" t="s">
        <v>590</v>
      </c>
      <c r="G15" s="117"/>
      <c r="H15" s="384"/>
    </row>
    <row r="16" spans="1:12" x14ac:dyDescent="0.55000000000000004">
      <c r="A16" s="129" t="s">
        <v>340</v>
      </c>
      <c r="B16" s="429"/>
      <c r="C16" s="429"/>
      <c r="D16" s="364">
        <f>0.0382*C2*DaysPrYr*HrsPrDay*1000</f>
        <v>5915513.4473461024</v>
      </c>
      <c r="E16" s="127">
        <f>D16*ElecCost</f>
        <v>249871.28801589936</v>
      </c>
      <c r="F16" s="432"/>
      <c r="G16" s="366"/>
      <c r="H16" s="384"/>
    </row>
    <row r="17" spans="1:7" x14ac:dyDescent="0.55000000000000004">
      <c r="A17" s="129" t="s">
        <v>341</v>
      </c>
      <c r="B17" s="429">
        <v>0.13</v>
      </c>
      <c r="C17" s="429"/>
      <c r="D17" s="119">
        <f>$C$4*B17*$C$2/$C$3</f>
        <v>11846498.083679041</v>
      </c>
      <c r="E17" s="352">
        <f>D17*ElecCost</f>
        <v>500396.07905460271</v>
      </c>
      <c r="F17" s="233" t="s">
        <v>552</v>
      </c>
      <c r="G17" s="366"/>
    </row>
    <row r="18" spans="1:7" x14ac:dyDescent="0.55000000000000004">
      <c r="A18" s="129" t="s">
        <v>342</v>
      </c>
      <c r="B18" s="429">
        <v>0.05</v>
      </c>
      <c r="C18" s="429"/>
      <c r="D18" s="119">
        <f>$C$4*B18*$C$2/$C$3</f>
        <v>4556345.4167996319</v>
      </c>
      <c r="E18" s="352">
        <f>D18*ElecCost</f>
        <v>192460.03040561645</v>
      </c>
      <c r="F18" s="233" t="s">
        <v>552</v>
      </c>
    </row>
    <row r="19" spans="1:7" x14ac:dyDescent="0.55000000000000004">
      <c r="A19" s="129" t="s">
        <v>343</v>
      </c>
      <c r="B19" s="429">
        <v>0.01</v>
      </c>
      <c r="C19" s="429"/>
      <c r="D19" s="119">
        <f>$C$4*B19*$C$2/$C$3</f>
        <v>911269.08335992636</v>
      </c>
      <c r="E19" s="352">
        <f>D19*ElecCost</f>
        <v>38492.006081123291</v>
      </c>
      <c r="F19" s="233" t="s">
        <v>552</v>
      </c>
    </row>
    <row r="20" spans="1:7" x14ac:dyDescent="0.55000000000000004">
      <c r="D20" s="433" t="s">
        <v>326</v>
      </c>
      <c r="E20" s="357">
        <f>SUM(E15:E19)</f>
        <v>3629353.5528254802</v>
      </c>
    </row>
    <row r="22" spans="1:7" x14ac:dyDescent="0.55000000000000004">
      <c r="A22" s="223" t="s">
        <v>223</v>
      </c>
      <c r="B22" s="344" t="s">
        <v>347</v>
      </c>
      <c r="C22" s="344" t="s">
        <v>348</v>
      </c>
      <c r="D22" s="344" t="s">
        <v>349</v>
      </c>
      <c r="E22" s="344" t="s">
        <v>355</v>
      </c>
      <c r="F22" s="344" t="s">
        <v>356</v>
      </c>
      <c r="G22" s="349" t="s">
        <v>116</v>
      </c>
    </row>
    <row r="23" spans="1:7" x14ac:dyDescent="0.55000000000000004">
      <c r="A23" s="129" t="s">
        <v>350</v>
      </c>
      <c r="B23" s="292">
        <v>0.2</v>
      </c>
      <c r="C23" s="230">
        <v>2009</v>
      </c>
      <c r="D23" s="230" t="s">
        <v>351</v>
      </c>
      <c r="E23" s="292">
        <f>B23*1.11</f>
        <v>0.22200000000000003</v>
      </c>
      <c r="F23" s="352">
        <f>E23*$C$2*DaysPrYr*HrsPrDay*2000/40*1.07/Inputs!B30</f>
        <v>2027402.5052565283</v>
      </c>
      <c r="G23" s="434" t="s">
        <v>595</v>
      </c>
    </row>
    <row r="24" spans="1:7" x14ac:dyDescent="0.55000000000000004">
      <c r="A24" s="129" t="s">
        <v>352</v>
      </c>
      <c r="B24" s="435">
        <v>13.98</v>
      </c>
      <c r="C24" s="230">
        <v>2016</v>
      </c>
      <c r="D24" s="230" t="s">
        <v>357</v>
      </c>
      <c r="E24" s="292">
        <f>B24*0.99</f>
        <v>13.840200000000001</v>
      </c>
      <c r="F24" s="352">
        <f>E24*$C$2*DaysPrYr*HrsPrDay*1.07</f>
        <v>2293270.1952601238</v>
      </c>
      <c r="G24" s="434" t="s">
        <v>607</v>
      </c>
    </row>
    <row r="25" spans="1:7" x14ac:dyDescent="0.55000000000000004">
      <c r="A25" s="129" t="s">
        <v>353</v>
      </c>
      <c r="B25" s="435">
        <v>4</v>
      </c>
      <c r="C25" s="230">
        <v>2009</v>
      </c>
      <c r="D25" s="230" t="s">
        <v>357</v>
      </c>
      <c r="E25" s="292">
        <f>B25*1.11</f>
        <v>4.4400000000000004</v>
      </c>
      <c r="F25" s="352">
        <f>E25*$C$2*DaysPrYr*HrsPrDay*1.07</f>
        <v>735691.65669245715</v>
      </c>
      <c r="G25" s="434" t="s">
        <v>595</v>
      </c>
    </row>
    <row r="26" spans="1:7" x14ac:dyDescent="0.55000000000000004">
      <c r="A26" s="129" t="s">
        <v>354</v>
      </c>
      <c r="B26" s="435">
        <v>3</v>
      </c>
      <c r="C26" s="230">
        <v>2009</v>
      </c>
      <c r="D26" s="230" t="s">
        <v>357</v>
      </c>
      <c r="E26" s="292">
        <f>B26*1.11</f>
        <v>3.33</v>
      </c>
      <c r="F26" s="352">
        <f>E26*$C$2*DaysPrYr*HrsPrDay*1.07</f>
        <v>551768.74251934292</v>
      </c>
      <c r="G26" s="434" t="s">
        <v>595</v>
      </c>
    </row>
    <row r="27" spans="1:7" x14ac:dyDescent="0.55000000000000004">
      <c r="E27" s="131" t="s">
        <v>326</v>
      </c>
      <c r="F27" s="357">
        <f>SUM(F23:F26)</f>
        <v>5608133.099728453</v>
      </c>
    </row>
    <row r="28" spans="1:7" x14ac:dyDescent="0.55000000000000004">
      <c r="E28" s="131"/>
      <c r="F28" s="357"/>
    </row>
  </sheetData>
  <sheetProtection algorithmName="SHA-512" hashValue="u7RMSNtfFu0MRUzaTEAaXE9eyDnZXRZR/GBIkKBU7ikwxDixzG2SkzxdO5urOfJdW0OpS22k8U5Z2J+4zjJYYQ==" saltValue="j+IlION7LgKsNuk1TBUCq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H12"/>
  <sheetViews>
    <sheetView zoomScaleNormal="100" workbookViewId="0">
      <selection sqref="A1:XFD1048576"/>
    </sheetView>
  </sheetViews>
  <sheetFormatPr defaultRowHeight="14.4" x14ac:dyDescent="0.55000000000000004"/>
  <cols>
    <col min="1" max="1" width="28.41796875" style="339" bestFit="1" customWidth="1"/>
    <col min="2" max="2" width="13.578125" style="339" customWidth="1"/>
    <col min="3" max="3" width="19.47265625" style="339" customWidth="1"/>
    <col min="4" max="4" width="16.26171875" style="339" customWidth="1"/>
    <col min="5" max="5" width="27.83984375" style="339" bestFit="1" customWidth="1"/>
    <col min="6" max="6" width="22.41796875" style="339" bestFit="1" customWidth="1"/>
    <col min="7" max="16384" width="8.83984375" style="339"/>
  </cols>
  <sheetData>
    <row r="1" spans="1:8" x14ac:dyDescent="0.55000000000000004">
      <c r="A1" s="294"/>
    </row>
    <row r="2" spans="1:8" x14ac:dyDescent="0.55000000000000004">
      <c r="A2" s="387"/>
      <c r="E2" s="131"/>
      <c r="F2" s="132"/>
    </row>
    <row r="3" spans="1:8" x14ac:dyDescent="0.55000000000000004">
      <c r="A3" s="387"/>
      <c r="B3" s="436"/>
      <c r="E3" s="131" t="s">
        <v>224</v>
      </c>
      <c r="F3" s="132">
        <f>F8/1000000</f>
        <v>0.72774876461760007</v>
      </c>
    </row>
    <row r="4" spans="1:8" x14ac:dyDescent="0.55000000000000004">
      <c r="A4" s="437" t="s">
        <v>217</v>
      </c>
    </row>
    <row r="5" spans="1:8" x14ac:dyDescent="0.55000000000000004">
      <c r="A5" s="438" t="s">
        <v>1</v>
      </c>
      <c r="B5" s="374" t="s">
        <v>277</v>
      </c>
      <c r="C5" s="374" t="s">
        <v>359</v>
      </c>
      <c r="D5" s="374" t="s">
        <v>360</v>
      </c>
      <c r="E5" s="374" t="s">
        <v>361</v>
      </c>
      <c r="F5" s="439" t="s">
        <v>362</v>
      </c>
      <c r="G5" s="376" t="s">
        <v>218</v>
      </c>
    </row>
    <row r="6" spans="1:8" x14ac:dyDescent="0.55000000000000004">
      <c r="A6" s="404" t="s">
        <v>363</v>
      </c>
      <c r="B6" s="440">
        <v>2.06</v>
      </c>
      <c r="C6" s="400" t="s">
        <v>364</v>
      </c>
      <c r="D6" s="399">
        <v>112981.08096000001</v>
      </c>
      <c r="E6" s="399" t="s">
        <v>365</v>
      </c>
      <c r="F6" s="441">
        <f>B6*D6</f>
        <v>232741.02677760003</v>
      </c>
      <c r="G6" s="404" t="s">
        <v>599</v>
      </c>
    </row>
    <row r="7" spans="1:8" x14ac:dyDescent="0.55000000000000004">
      <c r="A7" s="404" t="s">
        <v>366</v>
      </c>
      <c r="B7" s="440">
        <v>0.21</v>
      </c>
      <c r="C7" s="400" t="s">
        <v>367</v>
      </c>
      <c r="D7" s="399">
        <f>D6*1000*A12</f>
        <v>2357179.7040000004</v>
      </c>
      <c r="E7" s="400" t="s">
        <v>368</v>
      </c>
      <c r="F7" s="397">
        <f>D7*B7</f>
        <v>495007.73784000007</v>
      </c>
      <c r="G7" s="398" t="s">
        <v>600</v>
      </c>
    </row>
    <row r="8" spans="1:8" x14ac:dyDescent="0.55000000000000004">
      <c r="E8" s="131" t="s">
        <v>326</v>
      </c>
      <c r="F8" s="357">
        <f>SUM(F6:F7)</f>
        <v>727748.76461760013</v>
      </c>
    </row>
    <row r="9" spans="1:8" x14ac:dyDescent="0.55000000000000004">
      <c r="A9" s="387" t="s">
        <v>372</v>
      </c>
      <c r="G9" s="442"/>
      <c r="H9" s="442"/>
    </row>
    <row r="10" spans="1:8" x14ac:dyDescent="0.55000000000000004">
      <c r="A10" s="339">
        <v>2.5</v>
      </c>
      <c r="B10" s="339" t="s">
        <v>369</v>
      </c>
      <c r="E10" s="443"/>
      <c r="G10" s="442"/>
      <c r="H10" s="442"/>
    </row>
    <row r="11" spans="1:8" x14ac:dyDescent="0.55000000000000004">
      <c r="A11" s="444">
        <f>A10*0.00220462</f>
        <v>5.5115500000000005E-3</v>
      </c>
      <c r="B11" s="339" t="s">
        <v>370</v>
      </c>
    </row>
    <row r="12" spans="1:8" x14ac:dyDescent="0.55000000000000004">
      <c r="A12" s="444">
        <f>A11/0.264172</f>
        <v>2.0863490453189588E-2</v>
      </c>
      <c r="B12" s="339" t="s">
        <v>371</v>
      </c>
    </row>
  </sheetData>
  <sheetProtection algorithmName="SHA-512" hashValue="E7Ei+PdzxlEBy5u1oH9MZpEy+UfqrlPPx3+4lbPHQiL0JX8hyPGLcteDuDkNze7dj2IWIeUXfz98fPFUTYz1cw==" saltValue="Pgl70ju7VdO0+2c63px3j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H15"/>
  <sheetViews>
    <sheetView zoomScaleNormal="100" workbookViewId="0">
      <selection sqref="A1:XFD1048576"/>
    </sheetView>
  </sheetViews>
  <sheetFormatPr defaultRowHeight="14.4" x14ac:dyDescent="0.55000000000000004"/>
  <cols>
    <col min="1" max="1" width="36.9453125" style="1" bestFit="1" customWidth="1"/>
    <col min="2" max="2" width="9.1015625" style="1" bestFit="1" customWidth="1"/>
    <col min="3" max="3" width="19.62890625" style="1" bestFit="1" customWidth="1"/>
    <col min="4" max="4" width="18.9453125" style="1" bestFit="1" customWidth="1"/>
    <col min="5" max="5" width="17.734375" style="1" customWidth="1"/>
    <col min="6" max="6" width="20.26171875" style="1" customWidth="1"/>
    <col min="7" max="7" width="17.20703125" style="1" bestFit="1" customWidth="1"/>
    <col min="8" max="16384" width="8.83984375" style="1"/>
  </cols>
  <sheetData>
    <row r="1" spans="1:8" x14ac:dyDescent="0.55000000000000004">
      <c r="A1" s="23"/>
    </row>
    <row r="2" spans="1:8" x14ac:dyDescent="0.55000000000000004">
      <c r="A2" s="11" t="s">
        <v>383</v>
      </c>
      <c r="B2" s="26">
        <f>2200*0.907185</f>
        <v>1995.807</v>
      </c>
      <c r="C2" s="1" t="s">
        <v>529</v>
      </c>
      <c r="E2" s="14"/>
      <c r="F2" s="15"/>
    </row>
    <row r="3" spans="1:8" x14ac:dyDescent="0.55000000000000004">
      <c r="C3" s="26"/>
      <c r="E3" s="14" t="s">
        <v>224</v>
      </c>
      <c r="F3" s="21">
        <f>D14/1000000</f>
        <v>0.75532843589680809</v>
      </c>
      <c r="G3" s="59"/>
    </row>
    <row r="4" spans="1:8" x14ac:dyDescent="0.55000000000000004">
      <c r="A4" s="2" t="s">
        <v>115</v>
      </c>
      <c r="G4" s="59"/>
    </row>
    <row r="6" spans="1:8" x14ac:dyDescent="0.55000000000000004">
      <c r="A6" s="58" t="s">
        <v>1</v>
      </c>
      <c r="B6" s="47" t="s">
        <v>373</v>
      </c>
      <c r="C6" s="47" t="s">
        <v>374</v>
      </c>
      <c r="D6" s="4" t="s">
        <v>384</v>
      </c>
      <c r="E6" s="5" t="s">
        <v>116</v>
      </c>
      <c r="F6" s="24"/>
      <c r="G6" s="32"/>
      <c r="H6" s="32"/>
    </row>
    <row r="7" spans="1:8" x14ac:dyDescent="0.55000000000000004">
      <c r="A7" s="7" t="s">
        <v>375</v>
      </c>
      <c r="B7" s="8">
        <v>0.1</v>
      </c>
      <c r="C7" s="8" t="s">
        <v>376</v>
      </c>
      <c r="D7" s="29">
        <f>B7*FeedPerD/$B$2*1000000</f>
        <v>38013.736643873635</v>
      </c>
      <c r="E7" s="40" t="s">
        <v>542</v>
      </c>
      <c r="F7" s="24"/>
      <c r="G7" s="44"/>
      <c r="H7" s="36"/>
    </row>
    <row r="8" spans="1:8" x14ac:dyDescent="0.55000000000000004">
      <c r="A8" s="7" t="s">
        <v>377</v>
      </c>
      <c r="B8" s="8">
        <v>0.7</v>
      </c>
      <c r="C8" s="8" t="s">
        <v>376</v>
      </c>
      <c r="D8" s="29">
        <f t="shared" ref="D8:D12" si="0">B8*FeedPerD/$B$2*1000000</f>
        <v>266096.15650711546</v>
      </c>
      <c r="E8" s="40" t="s">
        <v>542</v>
      </c>
      <c r="F8" s="24"/>
      <c r="G8" s="6"/>
      <c r="H8" s="6"/>
    </row>
    <row r="9" spans="1:8" x14ac:dyDescent="0.55000000000000004">
      <c r="A9" s="7" t="s">
        <v>378</v>
      </c>
      <c r="B9" s="60">
        <v>0.214</v>
      </c>
      <c r="C9" s="8" t="s">
        <v>376</v>
      </c>
      <c r="D9" s="29">
        <f t="shared" si="0"/>
        <v>81349.396417889569</v>
      </c>
      <c r="E9" s="40" t="s">
        <v>542</v>
      </c>
      <c r="F9" s="43"/>
      <c r="G9" s="61"/>
    </row>
    <row r="10" spans="1:8" x14ac:dyDescent="0.55000000000000004">
      <c r="A10" s="7" t="s">
        <v>379</v>
      </c>
      <c r="B10" s="8">
        <v>0.5</v>
      </c>
      <c r="C10" s="8" t="s">
        <v>376</v>
      </c>
      <c r="D10" s="29">
        <f t="shared" si="0"/>
        <v>190068.68321936819</v>
      </c>
      <c r="E10" s="40" t="s">
        <v>542</v>
      </c>
    </row>
    <row r="11" spans="1:8" x14ac:dyDescent="0.55000000000000004">
      <c r="A11" s="7" t="s">
        <v>380</v>
      </c>
      <c r="B11" s="8">
        <v>0.02</v>
      </c>
      <c r="C11" s="8" t="s">
        <v>376</v>
      </c>
      <c r="D11" s="29">
        <f t="shared" si="0"/>
        <v>7602.747328774728</v>
      </c>
      <c r="E11" s="40" t="s">
        <v>542</v>
      </c>
    </row>
    <row r="12" spans="1:8" x14ac:dyDescent="0.55000000000000004">
      <c r="A12" s="7" t="s">
        <v>381</v>
      </c>
      <c r="B12" s="60">
        <v>0.437</v>
      </c>
      <c r="C12" s="8" t="s">
        <v>376</v>
      </c>
      <c r="D12" s="29">
        <f t="shared" si="0"/>
        <v>166120.02913372777</v>
      </c>
      <c r="E12" s="40" t="s">
        <v>542</v>
      </c>
    </row>
    <row r="13" spans="1:8" x14ac:dyDescent="0.55000000000000004">
      <c r="A13" s="13" t="s">
        <v>536</v>
      </c>
      <c r="B13" s="8">
        <v>1.23</v>
      </c>
      <c r="C13" s="20" t="s">
        <v>382</v>
      </c>
      <c r="D13" s="29">
        <f>B13*162.2/258.8*DaysPrYr*HrsPrDay</f>
        <v>6077.6866460587316</v>
      </c>
      <c r="E13" s="1" t="s">
        <v>601</v>
      </c>
      <c r="F13" s="37"/>
      <c r="G13" s="37"/>
      <c r="H13" s="37"/>
    </row>
    <row r="14" spans="1:8" x14ac:dyDescent="0.55000000000000004">
      <c r="A14" s="6"/>
      <c r="B14" s="62"/>
      <c r="C14" s="45" t="s">
        <v>32</v>
      </c>
      <c r="D14" s="39">
        <f>SUM(D7:D13)</f>
        <v>755328.43589680805</v>
      </c>
      <c r="F14" s="39"/>
      <c r="G14" s="39"/>
      <c r="H14" s="36"/>
    </row>
    <row r="15" spans="1:8" x14ac:dyDescent="0.55000000000000004">
      <c r="B15" s="38"/>
      <c r="C15" s="38"/>
      <c r="D15" s="38"/>
      <c r="E15" s="38"/>
      <c r="G15" s="46"/>
    </row>
  </sheetData>
  <sheetProtection algorithmName="SHA-512" hashValue="+BLxhWnZtEcklGQZjh2aVt1+u2CVvZvaLyI9YHDyNXGnGb9MXgjENxyDdOQ1fdl6NQMEkIEiKP9en6Lnf389Ig==" saltValue="1kA39UtB97dJRQMlexJmp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3:G24"/>
  <sheetViews>
    <sheetView zoomScaleNormal="100" workbookViewId="0">
      <selection sqref="A1:XFD1048576"/>
    </sheetView>
  </sheetViews>
  <sheetFormatPr defaultRowHeight="14.4" x14ac:dyDescent="0.55000000000000004"/>
  <cols>
    <col min="1" max="1" width="28" style="339" bestFit="1" customWidth="1"/>
    <col min="2" max="2" width="42.68359375" style="339" bestFit="1" customWidth="1"/>
    <col min="3" max="3" width="8.83984375" style="339"/>
    <col min="4" max="4" width="42.578125" style="339" customWidth="1"/>
    <col min="5" max="5" width="15.05078125" style="339" customWidth="1"/>
    <col min="6" max="6" width="20.3671875" style="339" bestFit="1" customWidth="1"/>
    <col min="7" max="16384" width="8.83984375" style="339"/>
  </cols>
  <sheetData>
    <row r="3" spans="1:7" x14ac:dyDescent="0.55000000000000004">
      <c r="A3" s="390" t="s">
        <v>541</v>
      </c>
      <c r="B3" s="373" t="s">
        <v>236</v>
      </c>
      <c r="C3" s="373" t="s">
        <v>16</v>
      </c>
      <c r="D3" s="373" t="s">
        <v>237</v>
      </c>
      <c r="E3" s="373" t="s">
        <v>560</v>
      </c>
      <c r="F3" s="373" t="s">
        <v>238</v>
      </c>
      <c r="G3" s="392" t="s">
        <v>239</v>
      </c>
    </row>
    <row r="4" spans="1:7" ht="28.8" x14ac:dyDescent="0.55000000000000004">
      <c r="A4" s="404" t="s">
        <v>577</v>
      </c>
      <c r="B4" s="445" t="s">
        <v>267</v>
      </c>
      <c r="C4" s="415">
        <v>2017</v>
      </c>
      <c r="D4" s="445" t="s">
        <v>268</v>
      </c>
      <c r="E4" s="415" t="s">
        <v>245</v>
      </c>
      <c r="F4" s="415"/>
      <c r="G4" s="398" t="s">
        <v>269</v>
      </c>
    </row>
    <row r="5" spans="1:7" x14ac:dyDescent="0.55000000000000004">
      <c r="A5" s="233" t="s">
        <v>584</v>
      </c>
      <c r="B5" s="446"/>
      <c r="C5" s="447" t="s">
        <v>263</v>
      </c>
      <c r="D5" s="446" t="s">
        <v>264</v>
      </c>
      <c r="E5" s="446"/>
      <c r="F5" s="446" t="s">
        <v>265</v>
      </c>
      <c r="G5" s="448" t="s">
        <v>266</v>
      </c>
    </row>
    <row r="6" spans="1:7" x14ac:dyDescent="0.55000000000000004">
      <c r="A6" s="404" t="s">
        <v>546</v>
      </c>
      <c r="B6" s="415" t="s">
        <v>276</v>
      </c>
      <c r="C6" s="415">
        <v>2016</v>
      </c>
      <c r="D6" s="445" t="s">
        <v>274</v>
      </c>
      <c r="E6" s="415"/>
      <c r="F6" s="445" t="s">
        <v>242</v>
      </c>
      <c r="G6" s="398" t="s">
        <v>275</v>
      </c>
    </row>
    <row r="7" spans="1:7" ht="28.8" x14ac:dyDescent="0.55000000000000004">
      <c r="A7" s="404" t="s">
        <v>589</v>
      </c>
      <c r="B7" s="415" t="s">
        <v>588</v>
      </c>
      <c r="C7" s="415">
        <v>2009</v>
      </c>
      <c r="D7" s="449" t="s">
        <v>594</v>
      </c>
      <c r="E7" s="415"/>
      <c r="F7" s="445" t="s">
        <v>337</v>
      </c>
      <c r="G7" s="398" t="s">
        <v>593</v>
      </c>
    </row>
    <row r="8" spans="1:7" x14ac:dyDescent="0.55000000000000004">
      <c r="A8" s="404" t="s">
        <v>544</v>
      </c>
      <c r="B8" s="415"/>
      <c r="C8" s="415">
        <v>2017</v>
      </c>
      <c r="D8" s="415" t="s">
        <v>251</v>
      </c>
      <c r="E8" s="415"/>
      <c r="F8" s="415"/>
      <c r="G8" s="398" t="s">
        <v>252</v>
      </c>
    </row>
    <row r="9" spans="1:7" x14ac:dyDescent="0.55000000000000004">
      <c r="A9" s="404" t="s">
        <v>545</v>
      </c>
      <c r="B9" s="415"/>
      <c r="C9" s="415">
        <v>2017</v>
      </c>
      <c r="D9" s="415" t="s">
        <v>253</v>
      </c>
      <c r="E9" s="415"/>
      <c r="F9" s="415"/>
      <c r="G9" s="398" t="s">
        <v>254</v>
      </c>
    </row>
    <row r="10" spans="1:7" ht="57.6" x14ac:dyDescent="0.55000000000000004">
      <c r="A10" s="404" t="s">
        <v>548</v>
      </c>
      <c r="B10" s="445" t="s">
        <v>270</v>
      </c>
      <c r="C10" s="415">
        <v>2011</v>
      </c>
      <c r="D10" s="445" t="s">
        <v>271</v>
      </c>
      <c r="E10" s="415"/>
      <c r="F10" s="415" t="s">
        <v>272</v>
      </c>
      <c r="G10" s="398" t="s">
        <v>273</v>
      </c>
    </row>
    <row r="11" spans="1:7" x14ac:dyDescent="0.55000000000000004">
      <c r="A11" s="404" t="s">
        <v>574</v>
      </c>
      <c r="B11" s="415" t="s">
        <v>246</v>
      </c>
      <c r="C11" s="415">
        <v>2016</v>
      </c>
      <c r="D11" s="415" t="s">
        <v>244</v>
      </c>
      <c r="E11" s="415" t="s">
        <v>245</v>
      </c>
      <c r="F11" s="415"/>
      <c r="G11" s="398" t="s">
        <v>573</v>
      </c>
    </row>
    <row r="12" spans="1:7" ht="43.2" x14ac:dyDescent="0.55000000000000004">
      <c r="A12" s="404" t="s">
        <v>543</v>
      </c>
      <c r="B12" s="450" t="s">
        <v>247</v>
      </c>
      <c r="C12" s="415">
        <v>2013</v>
      </c>
      <c r="D12" s="445" t="s">
        <v>248</v>
      </c>
      <c r="E12" s="415"/>
      <c r="F12" s="445" t="s">
        <v>249</v>
      </c>
      <c r="G12" s="398" t="s">
        <v>250</v>
      </c>
    </row>
    <row r="13" spans="1:7" ht="28.8" x14ac:dyDescent="0.55000000000000004">
      <c r="A13" s="233" t="s">
        <v>557</v>
      </c>
      <c r="B13" s="445" t="s">
        <v>556</v>
      </c>
      <c r="C13" s="415">
        <v>2006</v>
      </c>
      <c r="D13" s="445" t="s">
        <v>558</v>
      </c>
      <c r="E13" s="445" t="s">
        <v>559</v>
      </c>
      <c r="F13" s="445" t="s">
        <v>561</v>
      </c>
      <c r="G13" s="398"/>
    </row>
    <row r="14" spans="1:7" s="449" customFormat="1" ht="43.2" x14ac:dyDescent="0.55000000000000004">
      <c r="A14" s="451" t="s">
        <v>542</v>
      </c>
      <c r="B14" s="445" t="s">
        <v>240</v>
      </c>
      <c r="C14" s="445">
        <v>2016</v>
      </c>
      <c r="D14" s="445" t="s">
        <v>241</v>
      </c>
      <c r="E14" s="445"/>
      <c r="F14" s="445" t="s">
        <v>242</v>
      </c>
      <c r="G14" s="398" t="s">
        <v>243</v>
      </c>
    </row>
    <row r="15" spans="1:7" ht="43.2" x14ac:dyDescent="0.55000000000000004">
      <c r="A15" s="233" t="s">
        <v>565</v>
      </c>
      <c r="B15" s="452" t="s">
        <v>604</v>
      </c>
      <c r="C15" s="446">
        <v>2017</v>
      </c>
      <c r="D15" s="452" t="s">
        <v>566</v>
      </c>
      <c r="E15" s="446"/>
      <c r="F15" s="446" t="s">
        <v>567</v>
      </c>
      <c r="G15" s="453" t="s">
        <v>568</v>
      </c>
    </row>
    <row r="16" spans="1:7" x14ac:dyDescent="0.55000000000000004">
      <c r="A16" s="404" t="s">
        <v>547</v>
      </c>
      <c r="B16" s="454" t="s">
        <v>255</v>
      </c>
      <c r="C16" s="415">
        <v>2003</v>
      </c>
      <c r="D16" s="415" t="s">
        <v>256</v>
      </c>
      <c r="E16" s="415" t="s">
        <v>257</v>
      </c>
      <c r="F16" s="415" t="s">
        <v>258</v>
      </c>
      <c r="G16" s="398"/>
    </row>
    <row r="17" spans="1:7" ht="28.8" x14ac:dyDescent="0.55000000000000004">
      <c r="A17" s="233" t="s">
        <v>552</v>
      </c>
      <c r="B17" s="415" t="s">
        <v>551</v>
      </c>
      <c r="C17" s="415">
        <v>2010</v>
      </c>
      <c r="D17" s="445" t="s">
        <v>550</v>
      </c>
      <c r="E17" s="445" t="s">
        <v>555</v>
      </c>
      <c r="F17" s="415" t="s">
        <v>554</v>
      </c>
      <c r="G17" s="398"/>
    </row>
    <row r="18" spans="1:7" x14ac:dyDescent="0.55000000000000004">
      <c r="A18" s="404" t="s">
        <v>553</v>
      </c>
      <c r="B18" s="455" t="s">
        <v>539</v>
      </c>
      <c r="C18" s="415">
        <v>2010</v>
      </c>
      <c r="D18" s="456" t="s">
        <v>538</v>
      </c>
      <c r="E18" s="415"/>
      <c r="F18" s="415" t="s">
        <v>537</v>
      </c>
      <c r="G18" s="398" t="s">
        <v>540</v>
      </c>
    </row>
    <row r="19" spans="1:7" ht="43.2" x14ac:dyDescent="0.55000000000000004">
      <c r="A19" s="457" t="s">
        <v>393</v>
      </c>
      <c r="B19" s="445" t="s">
        <v>562</v>
      </c>
      <c r="C19" s="445">
        <v>2013</v>
      </c>
      <c r="D19" s="445" t="s">
        <v>563</v>
      </c>
      <c r="E19" s="445" t="s">
        <v>564</v>
      </c>
      <c r="F19" s="445"/>
      <c r="G19" s="458"/>
    </row>
    <row r="20" spans="1:7" ht="57.6" x14ac:dyDescent="0.55000000000000004">
      <c r="A20" s="404" t="s">
        <v>580</v>
      </c>
      <c r="B20" s="445" t="s">
        <v>581</v>
      </c>
      <c r="C20" s="446">
        <v>2018</v>
      </c>
      <c r="D20" s="445" t="s">
        <v>582</v>
      </c>
      <c r="E20" s="415"/>
      <c r="F20" s="415" t="s">
        <v>583</v>
      </c>
      <c r="G20" s="459" t="s">
        <v>605</v>
      </c>
    </row>
    <row r="21" spans="1:7" x14ac:dyDescent="0.55000000000000004">
      <c r="A21" s="404" t="s">
        <v>599</v>
      </c>
      <c r="B21" s="445" t="s">
        <v>598</v>
      </c>
      <c r="C21" s="446">
        <v>2010</v>
      </c>
      <c r="D21" s="460" t="s">
        <v>597</v>
      </c>
      <c r="E21" s="415"/>
      <c r="F21" s="415"/>
      <c r="G21" s="339" t="s">
        <v>596</v>
      </c>
    </row>
    <row r="22" spans="1:7" ht="28.8" x14ac:dyDescent="0.55000000000000004">
      <c r="A22" s="404" t="s">
        <v>549</v>
      </c>
      <c r="B22" s="415" t="s">
        <v>259</v>
      </c>
      <c r="C22" s="415">
        <v>2010</v>
      </c>
      <c r="D22" s="445" t="s">
        <v>260</v>
      </c>
      <c r="E22" s="415"/>
      <c r="F22" s="415" t="s">
        <v>261</v>
      </c>
      <c r="G22" s="453" t="s">
        <v>262</v>
      </c>
    </row>
    <row r="24" spans="1:7" s="449" customFormat="1" x14ac:dyDescent="0.55000000000000004"/>
  </sheetData>
  <sheetProtection algorithmName="SHA-512" hashValue="HaMCZLITpuUbrEBXap8pFVMKR+WRbwO2Xf+wIaRvBa4dApUr16lRO//Mi2BsQBBdxZ0rb76IfOiXqP9oSridyA==" saltValue="tgfYavh3LKmUMExNFSt8BQ==" spinCount="100000" sheet="1" objects="1" scenarios="1" selectLockedCells="1" selectUnlockedCell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R40"/>
  <sheetViews>
    <sheetView zoomScaleNormal="100" workbookViewId="0"/>
  </sheetViews>
  <sheetFormatPr defaultRowHeight="14.4" x14ac:dyDescent="0.55000000000000004"/>
  <cols>
    <col min="1" max="8" width="8.83984375" style="28"/>
    <col min="9" max="9" width="10.47265625" style="28" customWidth="1"/>
    <col min="10" max="11" width="8.83984375" style="28"/>
    <col min="12" max="12" width="17.1015625" style="28" customWidth="1"/>
    <col min="13" max="14" width="8.83984375" style="28"/>
    <col min="15" max="15" width="12.20703125" style="28" bestFit="1" customWidth="1"/>
    <col min="16" max="17" width="8.83984375" style="28"/>
    <col min="18" max="18" width="12.20703125" style="28" bestFit="1" customWidth="1"/>
    <col min="19" max="16384" width="8.83984375" style="28"/>
  </cols>
  <sheetData>
    <row r="1" spans="1:18" x14ac:dyDescent="0.55000000000000004">
      <c r="A1" s="63"/>
      <c r="B1" s="63"/>
      <c r="C1" s="63"/>
    </row>
    <row r="2" spans="1:18" x14ac:dyDescent="0.55000000000000004">
      <c r="A2" s="50" t="s">
        <v>585</v>
      </c>
      <c r="B2" s="53"/>
    </row>
    <row r="3" spans="1:18" x14ac:dyDescent="0.55000000000000004">
      <c r="A3" s="64" t="s">
        <v>5</v>
      </c>
      <c r="B3" s="53" t="s">
        <v>6</v>
      </c>
      <c r="I3" s="28" t="s">
        <v>118</v>
      </c>
    </row>
    <row r="4" spans="1:18" x14ac:dyDescent="0.55000000000000004">
      <c r="A4" s="53"/>
      <c r="B4" s="53" t="s">
        <v>7</v>
      </c>
    </row>
    <row r="5" spans="1:18" x14ac:dyDescent="0.55000000000000004">
      <c r="A5" s="53"/>
      <c r="B5" s="53" t="s">
        <v>8</v>
      </c>
      <c r="I5" s="28" t="s">
        <v>143</v>
      </c>
    </row>
    <row r="6" spans="1:18" x14ac:dyDescent="0.55000000000000004">
      <c r="A6" s="53"/>
      <c r="B6" s="53" t="s">
        <v>9</v>
      </c>
      <c r="I6" s="28" t="s">
        <v>119</v>
      </c>
      <c r="J6" s="52" t="s">
        <v>16</v>
      </c>
      <c r="K6" s="52" t="s">
        <v>121</v>
      </c>
      <c r="L6" s="52" t="s">
        <v>122</v>
      </c>
      <c r="M6" s="52" t="s">
        <v>123</v>
      </c>
      <c r="N6" s="52" t="s">
        <v>124</v>
      </c>
      <c r="O6" s="52" t="s">
        <v>120</v>
      </c>
    </row>
    <row r="7" spans="1:18" x14ac:dyDescent="0.55000000000000004">
      <c r="A7" s="53"/>
      <c r="B7" s="53" t="s">
        <v>10</v>
      </c>
      <c r="I7" s="28" t="s">
        <v>144</v>
      </c>
      <c r="J7" s="52">
        <v>2011</v>
      </c>
      <c r="K7" s="52">
        <v>113.3</v>
      </c>
      <c r="L7" s="52">
        <v>114.3</v>
      </c>
      <c r="M7" s="52">
        <v>114.6</v>
      </c>
      <c r="N7" s="52">
        <v>115</v>
      </c>
      <c r="O7" s="65">
        <f>AVERAGE(K7:N7)</f>
        <v>114.3</v>
      </c>
    </row>
    <row r="8" spans="1:18" x14ac:dyDescent="0.55000000000000004">
      <c r="A8" s="53"/>
      <c r="B8" s="53" t="s">
        <v>11</v>
      </c>
      <c r="J8" s="52">
        <v>2012</v>
      </c>
      <c r="K8" s="52">
        <v>115.7</v>
      </c>
      <c r="L8" s="52">
        <v>116.4</v>
      </c>
      <c r="M8" s="52">
        <v>116.8</v>
      </c>
      <c r="N8" s="52">
        <v>117.1</v>
      </c>
      <c r="O8" s="65">
        <f t="shared" ref="O8:O12" si="0">AVERAGE(K8:N8)</f>
        <v>116.5</v>
      </c>
    </row>
    <row r="9" spans="1:18" x14ac:dyDescent="0.55000000000000004">
      <c r="A9" s="53"/>
      <c r="B9" s="53" t="s">
        <v>12</v>
      </c>
      <c r="J9" s="52">
        <v>2013</v>
      </c>
      <c r="K9" s="52">
        <v>117.9</v>
      </c>
      <c r="L9" s="52">
        <v>118.6</v>
      </c>
      <c r="M9" s="52">
        <v>119</v>
      </c>
      <c r="N9" s="52">
        <v>119.4</v>
      </c>
      <c r="O9" s="65">
        <f t="shared" si="0"/>
        <v>118.72499999999999</v>
      </c>
    </row>
    <row r="10" spans="1:18" x14ac:dyDescent="0.55000000000000004">
      <c r="A10" s="53"/>
      <c r="B10" s="66" t="s">
        <v>13</v>
      </c>
      <c r="J10" s="52">
        <v>2014</v>
      </c>
      <c r="K10" s="52">
        <v>119.9</v>
      </c>
      <c r="L10" s="52">
        <v>121</v>
      </c>
      <c r="M10" s="52">
        <v>121.7</v>
      </c>
      <c r="N10" s="52">
        <v>122.2</v>
      </c>
      <c r="O10" s="65">
        <f t="shared" si="0"/>
        <v>121.2</v>
      </c>
    </row>
    <row r="11" spans="1:18" x14ac:dyDescent="0.55000000000000004">
      <c r="A11" s="53"/>
      <c r="B11" s="66" t="s">
        <v>14</v>
      </c>
      <c r="J11" s="52">
        <v>2015</v>
      </c>
      <c r="K11" s="52">
        <v>123.2</v>
      </c>
      <c r="L11" s="52">
        <v>123.3</v>
      </c>
      <c r="M11" s="52">
        <v>124</v>
      </c>
      <c r="N11" s="52">
        <v>124.5</v>
      </c>
      <c r="O11" s="65">
        <f t="shared" si="0"/>
        <v>123.75</v>
      </c>
    </row>
    <row r="12" spans="1:18" x14ac:dyDescent="0.55000000000000004">
      <c r="A12" s="53"/>
      <c r="B12" s="53"/>
      <c r="C12" s="64"/>
      <c r="J12" s="52">
        <v>2016</v>
      </c>
      <c r="K12" s="52">
        <v>125.4</v>
      </c>
      <c r="L12" s="52">
        <v>126.2</v>
      </c>
      <c r="M12" s="52">
        <v>126.8</v>
      </c>
      <c r="N12" s="52">
        <v>127.2</v>
      </c>
      <c r="O12" s="65">
        <f t="shared" si="0"/>
        <v>126.4</v>
      </c>
    </row>
    <row r="13" spans="1:18" x14ac:dyDescent="0.55000000000000004">
      <c r="A13" s="53"/>
      <c r="B13" s="53"/>
      <c r="D13" s="50"/>
      <c r="M13" s="52"/>
      <c r="N13" s="52"/>
      <c r="O13" s="52"/>
      <c r="P13" s="52"/>
      <c r="Q13" s="52"/>
      <c r="R13" s="65"/>
    </row>
    <row r="14" spans="1:18" x14ac:dyDescent="0.55000000000000004">
      <c r="A14" s="50" t="s">
        <v>15</v>
      </c>
      <c r="B14" s="50" t="s">
        <v>16</v>
      </c>
      <c r="C14" s="3" t="s">
        <v>168</v>
      </c>
      <c r="D14" s="67" t="s">
        <v>186</v>
      </c>
      <c r="M14" s="52"/>
      <c r="N14" s="52"/>
      <c r="O14" s="52"/>
      <c r="P14" s="52"/>
      <c r="Q14" s="52"/>
      <c r="R14" s="65"/>
    </row>
    <row r="15" spans="1:18" x14ac:dyDescent="0.55000000000000004">
      <c r="A15" s="68" t="s">
        <v>17</v>
      </c>
      <c r="B15" s="53">
        <v>1990</v>
      </c>
      <c r="C15" s="28" t="s">
        <v>187</v>
      </c>
      <c r="D15" s="54">
        <v>357.6</v>
      </c>
      <c r="M15" s="52"/>
      <c r="N15" s="52"/>
      <c r="O15" s="52"/>
      <c r="P15" s="52"/>
      <c r="Q15" s="52"/>
      <c r="R15" s="65"/>
    </row>
    <row r="16" spans="1:18" x14ac:dyDescent="0.55000000000000004">
      <c r="A16" s="68" t="s">
        <v>17</v>
      </c>
      <c r="B16" s="53">
        <v>1991</v>
      </c>
      <c r="C16" s="28" t="s">
        <v>188</v>
      </c>
      <c r="D16" s="54">
        <v>361.3</v>
      </c>
      <c r="M16" s="52"/>
      <c r="N16" s="52"/>
      <c r="O16" s="52"/>
      <c r="P16" s="52"/>
      <c r="Q16" s="52"/>
      <c r="R16" s="65"/>
    </row>
    <row r="17" spans="1:18" x14ac:dyDescent="0.55000000000000004">
      <c r="A17" s="68" t="s">
        <v>17</v>
      </c>
      <c r="B17" s="53">
        <v>1992</v>
      </c>
      <c r="C17" s="28" t="s">
        <v>189</v>
      </c>
      <c r="D17" s="54">
        <v>358.2</v>
      </c>
    </row>
    <row r="18" spans="1:18" x14ac:dyDescent="0.55000000000000004">
      <c r="A18" s="68" t="s">
        <v>17</v>
      </c>
      <c r="B18" s="53">
        <v>1993</v>
      </c>
      <c r="C18" s="28" t="s">
        <v>190</v>
      </c>
      <c r="D18" s="54">
        <v>359.2</v>
      </c>
    </row>
    <row r="19" spans="1:18" x14ac:dyDescent="0.55000000000000004">
      <c r="A19" s="68" t="s">
        <v>17</v>
      </c>
      <c r="B19" s="53">
        <v>1994</v>
      </c>
      <c r="C19" s="28" t="s">
        <v>191</v>
      </c>
      <c r="D19" s="54">
        <v>368.1</v>
      </c>
    </row>
    <row r="20" spans="1:18" x14ac:dyDescent="0.55000000000000004">
      <c r="A20" s="68" t="s">
        <v>17</v>
      </c>
      <c r="B20" s="53">
        <v>1995</v>
      </c>
      <c r="C20" s="28" t="s">
        <v>192</v>
      </c>
      <c r="D20" s="54">
        <v>381.1</v>
      </c>
      <c r="M20" s="52"/>
      <c r="N20" s="52"/>
      <c r="O20" s="52"/>
      <c r="P20" s="52"/>
      <c r="Q20" s="52"/>
      <c r="R20" s="52"/>
    </row>
    <row r="21" spans="1:18" x14ac:dyDescent="0.55000000000000004">
      <c r="A21" s="68" t="s">
        <v>17</v>
      </c>
      <c r="B21" s="53">
        <v>1996</v>
      </c>
      <c r="C21" s="28" t="s">
        <v>193</v>
      </c>
      <c r="D21" s="54">
        <v>381.7</v>
      </c>
      <c r="M21" s="52"/>
      <c r="N21" s="52"/>
      <c r="O21" s="52"/>
      <c r="P21" s="52"/>
      <c r="Q21" s="52"/>
      <c r="R21" s="65"/>
    </row>
    <row r="22" spans="1:18" x14ac:dyDescent="0.55000000000000004">
      <c r="A22" s="68" t="s">
        <v>18</v>
      </c>
      <c r="B22" s="53">
        <v>1997</v>
      </c>
      <c r="C22" s="28" t="s">
        <v>194</v>
      </c>
      <c r="D22" s="54">
        <v>386.5</v>
      </c>
      <c r="M22" s="52"/>
      <c r="N22" s="52"/>
      <c r="O22" s="52"/>
      <c r="P22" s="52"/>
      <c r="Q22" s="52"/>
      <c r="R22" s="65"/>
    </row>
    <row r="23" spans="1:18" x14ac:dyDescent="0.55000000000000004">
      <c r="A23" s="68" t="s">
        <v>18</v>
      </c>
      <c r="B23" s="53">
        <v>1998</v>
      </c>
      <c r="C23" s="28" t="s">
        <v>195</v>
      </c>
      <c r="D23" s="54">
        <v>389.5</v>
      </c>
      <c r="M23" s="52"/>
      <c r="N23" s="52"/>
      <c r="O23" s="52"/>
      <c r="P23" s="52"/>
      <c r="Q23" s="52"/>
      <c r="R23" s="65"/>
    </row>
    <row r="24" spans="1:18" x14ac:dyDescent="0.55000000000000004">
      <c r="A24" s="68" t="s">
        <v>19</v>
      </c>
      <c r="B24" s="53">
        <v>1999</v>
      </c>
      <c r="C24" s="28" t="s">
        <v>196</v>
      </c>
      <c r="D24" s="54">
        <v>390.6</v>
      </c>
      <c r="M24" s="52"/>
      <c r="N24" s="52"/>
      <c r="O24" s="52"/>
      <c r="P24" s="52"/>
      <c r="Q24" s="52"/>
      <c r="R24" s="65"/>
    </row>
    <row r="25" spans="1:18" x14ac:dyDescent="0.55000000000000004">
      <c r="A25" s="68" t="s">
        <v>20</v>
      </c>
      <c r="B25" s="53">
        <v>2000</v>
      </c>
      <c r="C25" s="28" t="s">
        <v>197</v>
      </c>
      <c r="D25" s="54">
        <v>394.1</v>
      </c>
      <c r="M25" s="52"/>
      <c r="N25" s="52"/>
      <c r="O25" s="52"/>
      <c r="P25" s="52"/>
      <c r="Q25" s="52"/>
      <c r="R25" s="65"/>
    </row>
    <row r="26" spans="1:18" x14ac:dyDescent="0.55000000000000004">
      <c r="A26" s="68" t="s">
        <v>21</v>
      </c>
      <c r="B26" s="53">
        <v>2001</v>
      </c>
      <c r="C26" s="28" t="s">
        <v>198</v>
      </c>
      <c r="D26" s="54">
        <v>394.3</v>
      </c>
    </row>
    <row r="27" spans="1:18" x14ac:dyDescent="0.55000000000000004">
      <c r="A27" s="68" t="s">
        <v>21</v>
      </c>
      <c r="B27" s="53">
        <v>2002</v>
      </c>
      <c r="C27" s="28" t="s">
        <v>199</v>
      </c>
      <c r="D27" s="54">
        <v>395.6</v>
      </c>
    </row>
    <row r="28" spans="1:18" x14ac:dyDescent="0.55000000000000004">
      <c r="A28" s="68" t="s">
        <v>22</v>
      </c>
      <c r="B28" s="53">
        <v>2003</v>
      </c>
      <c r="C28" s="28" t="s">
        <v>200</v>
      </c>
      <c r="D28" s="54">
        <v>402</v>
      </c>
    </row>
    <row r="29" spans="1:18" x14ac:dyDescent="0.55000000000000004">
      <c r="A29" s="68" t="s">
        <v>22</v>
      </c>
      <c r="B29" s="53">
        <v>2004</v>
      </c>
      <c r="C29" s="28" t="s">
        <v>201</v>
      </c>
      <c r="D29" s="54">
        <v>444.2</v>
      </c>
    </row>
    <row r="30" spans="1:18" x14ac:dyDescent="0.55000000000000004">
      <c r="A30" s="68" t="s">
        <v>22</v>
      </c>
      <c r="B30" s="53">
        <v>2005</v>
      </c>
      <c r="C30" s="28" t="s">
        <v>202</v>
      </c>
      <c r="D30" s="54">
        <v>468.2</v>
      </c>
    </row>
    <row r="31" spans="1:18" x14ac:dyDescent="0.55000000000000004">
      <c r="A31" s="69" t="s">
        <v>23</v>
      </c>
      <c r="B31" s="53">
        <v>2006</v>
      </c>
      <c r="C31" s="28" t="s">
        <v>203</v>
      </c>
      <c r="D31" s="54">
        <v>499.6</v>
      </c>
    </row>
    <row r="32" spans="1:18" x14ac:dyDescent="0.55000000000000004">
      <c r="A32" s="69" t="s">
        <v>23</v>
      </c>
      <c r="B32" s="53">
        <v>2007</v>
      </c>
      <c r="C32" s="28" t="s">
        <v>204</v>
      </c>
      <c r="D32" s="54">
        <v>525.4</v>
      </c>
    </row>
    <row r="33" spans="1:4" x14ac:dyDescent="0.55000000000000004">
      <c r="A33" s="69" t="s">
        <v>23</v>
      </c>
      <c r="B33" s="53">
        <v>2008</v>
      </c>
      <c r="C33" s="28" t="s">
        <v>205</v>
      </c>
      <c r="D33" s="54">
        <v>575.4</v>
      </c>
    </row>
    <row r="34" spans="1:4" x14ac:dyDescent="0.55000000000000004">
      <c r="A34" s="69" t="s">
        <v>23</v>
      </c>
      <c r="B34" s="53">
        <v>2009</v>
      </c>
      <c r="C34" s="28" t="s">
        <v>206</v>
      </c>
      <c r="D34" s="54">
        <v>521.9</v>
      </c>
    </row>
    <row r="35" spans="1:4" x14ac:dyDescent="0.55000000000000004">
      <c r="A35" s="69" t="s">
        <v>23</v>
      </c>
      <c r="B35" s="53">
        <v>2010</v>
      </c>
      <c r="C35" s="28" t="s">
        <v>207</v>
      </c>
      <c r="D35" s="54">
        <v>550.79999999999995</v>
      </c>
    </row>
    <row r="36" spans="1:4" x14ac:dyDescent="0.55000000000000004">
      <c r="A36" s="69" t="s">
        <v>23</v>
      </c>
      <c r="B36" s="53">
        <v>2011</v>
      </c>
      <c r="C36" s="28" t="s">
        <v>208</v>
      </c>
      <c r="D36" s="70">
        <v>585.70000000000005</v>
      </c>
    </row>
    <row r="37" spans="1:4" x14ac:dyDescent="0.55000000000000004">
      <c r="A37" s="69" t="s">
        <v>23</v>
      </c>
      <c r="B37" s="53">
        <v>2012</v>
      </c>
      <c r="C37" s="28" t="s">
        <v>209</v>
      </c>
      <c r="D37" s="70">
        <v>584.6</v>
      </c>
    </row>
    <row r="38" spans="1:4" x14ac:dyDescent="0.55000000000000004">
      <c r="A38" s="69" t="s">
        <v>24</v>
      </c>
      <c r="B38" s="53">
        <v>2013</v>
      </c>
      <c r="C38" s="28" t="s">
        <v>210</v>
      </c>
      <c r="D38" s="70">
        <v>567.29999999999995</v>
      </c>
    </row>
    <row r="39" spans="1:4" x14ac:dyDescent="0.55000000000000004">
      <c r="A39" s="69" t="s">
        <v>24</v>
      </c>
      <c r="B39" s="53">
        <v>2014</v>
      </c>
      <c r="C39" s="28" t="s">
        <v>211</v>
      </c>
      <c r="D39" s="70">
        <v>576.1</v>
      </c>
    </row>
    <row r="40" spans="1:4" x14ac:dyDescent="0.55000000000000004">
      <c r="A40" s="69" t="s">
        <v>24</v>
      </c>
      <c r="B40" s="53">
        <v>2015</v>
      </c>
      <c r="C40" s="71" t="s">
        <v>215</v>
      </c>
      <c r="D40" s="70">
        <v>556.79999999999995</v>
      </c>
    </row>
  </sheetData>
  <sheetProtection algorithmName="SHA-512" hashValue="dduFQ2AVYSpnDIHwBB7H6EiZD9FQGZqp8syZLjiWAzDFnuv7Avm9gj5ABkMQ1G33IZbGePG4InLBVSRDUXy3Mw==" saltValue="zMxHpaIxEc1nB9/kfhBQqg==" spinCount="100000" sheet="1" objects="1" scenarios="1" selectLockedCells="1" selectUnlockedCell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73"/>
  <sheetViews>
    <sheetView zoomScaleNormal="100" workbookViewId="0">
      <selection sqref="A1:XFD1048576"/>
    </sheetView>
  </sheetViews>
  <sheetFormatPr defaultRowHeight="14.4" x14ac:dyDescent="0.55000000000000004"/>
  <cols>
    <col min="1" max="1" width="42.41796875" style="1" customWidth="1"/>
    <col min="2" max="2" width="13.7890625" style="1" bestFit="1" customWidth="1"/>
    <col min="3" max="3" width="21" style="1" customWidth="1"/>
    <col min="4" max="16384" width="8.83984375" style="1"/>
  </cols>
  <sheetData>
    <row r="1" spans="1:5" x14ac:dyDescent="0.55000000000000004">
      <c r="A1" s="23"/>
    </row>
    <row r="3" spans="1:5" x14ac:dyDescent="0.55000000000000004">
      <c r="A3" s="1" t="s">
        <v>38</v>
      </c>
    </row>
    <row r="4" spans="1:5" x14ac:dyDescent="0.55000000000000004">
      <c r="A4" s="1" t="s">
        <v>289</v>
      </c>
    </row>
    <row r="5" spans="1:5" x14ac:dyDescent="0.55000000000000004">
      <c r="A5" s="31" t="s">
        <v>39</v>
      </c>
      <c r="B5" s="4"/>
      <c r="C5" s="19"/>
    </row>
    <row r="6" spans="1:5" x14ac:dyDescent="0.55000000000000004">
      <c r="A6" s="33" t="s">
        <v>40</v>
      </c>
      <c r="B6" s="41">
        <f>CAPEX!C22</f>
        <v>106.60648536137515</v>
      </c>
      <c r="C6" s="30"/>
      <c r="E6" s="2"/>
    </row>
    <row r="7" spans="1:5" x14ac:dyDescent="0.55000000000000004">
      <c r="A7" s="13" t="s">
        <v>41</v>
      </c>
      <c r="B7" s="41">
        <f>B6</f>
        <v>106.60648536137515</v>
      </c>
      <c r="C7" s="30"/>
    </row>
    <row r="8" spans="1:5" x14ac:dyDescent="0.55000000000000004">
      <c r="A8" s="33" t="s">
        <v>42</v>
      </c>
      <c r="B8" s="56">
        <f>Equity</f>
        <v>0.3</v>
      </c>
      <c r="C8" s="30"/>
    </row>
    <row r="9" spans="1:5" x14ac:dyDescent="0.55000000000000004">
      <c r="A9" s="13" t="s">
        <v>43</v>
      </c>
      <c r="B9" s="25">
        <f>LoanInt</f>
        <v>0.08</v>
      </c>
      <c r="C9" s="30"/>
    </row>
    <row r="10" spans="1:5" x14ac:dyDescent="0.55000000000000004">
      <c r="A10" s="13" t="s">
        <v>44</v>
      </c>
      <c r="B10" s="27">
        <f>LoanYrs</f>
        <v>10</v>
      </c>
      <c r="C10" s="30"/>
    </row>
    <row r="11" spans="1:5" x14ac:dyDescent="0.55000000000000004">
      <c r="A11" s="13" t="s">
        <v>141</v>
      </c>
      <c r="B11" s="41">
        <f>-PMT(B9,B10,B6*(1-B8))</f>
        <v>11.121257003638595</v>
      </c>
      <c r="C11" s="30"/>
    </row>
    <row r="12" spans="1:5" x14ac:dyDescent="0.55000000000000004">
      <c r="A12" s="33" t="s">
        <v>145</v>
      </c>
      <c r="B12" s="72">
        <f>CBA!J9</f>
        <v>0.2</v>
      </c>
      <c r="C12" s="57"/>
    </row>
    <row r="13" spans="1:5" x14ac:dyDescent="0.55000000000000004">
      <c r="A13" s="33" t="s">
        <v>45</v>
      </c>
      <c r="B13" s="8"/>
      <c r="C13" s="30"/>
    </row>
    <row r="14" spans="1:5" x14ac:dyDescent="0.55000000000000004">
      <c r="A14" s="13" t="s">
        <v>41</v>
      </c>
      <c r="B14" s="8">
        <v>0</v>
      </c>
      <c r="C14" s="30" t="s">
        <v>59</v>
      </c>
    </row>
    <row r="15" spans="1:5" x14ac:dyDescent="0.55000000000000004">
      <c r="A15" s="33" t="s">
        <v>46</v>
      </c>
      <c r="B15" s="8"/>
      <c r="C15" s="30"/>
    </row>
    <row r="16" spans="1:5" x14ac:dyDescent="0.55000000000000004">
      <c r="A16" s="13" t="s">
        <v>41</v>
      </c>
      <c r="B16" s="8">
        <v>7</v>
      </c>
      <c r="C16" s="30" t="s">
        <v>60</v>
      </c>
    </row>
    <row r="17" spans="1:4" x14ac:dyDescent="0.55000000000000004">
      <c r="A17" s="13" t="s">
        <v>47</v>
      </c>
      <c r="B17" s="8">
        <v>20</v>
      </c>
      <c r="C17" s="30" t="s">
        <v>60</v>
      </c>
    </row>
    <row r="18" spans="1:4" x14ac:dyDescent="0.55000000000000004">
      <c r="A18" s="33" t="s">
        <v>48</v>
      </c>
      <c r="B18" s="8">
        <v>3</v>
      </c>
      <c r="C18" s="30"/>
    </row>
    <row r="19" spans="1:4" x14ac:dyDescent="0.55000000000000004">
      <c r="A19" s="13" t="s">
        <v>49</v>
      </c>
      <c r="B19" s="49">
        <f>SpendYr1</f>
        <v>0.08</v>
      </c>
      <c r="C19" s="30"/>
    </row>
    <row r="20" spans="1:4" x14ac:dyDescent="0.55000000000000004">
      <c r="A20" s="13" t="s">
        <v>50</v>
      </c>
      <c r="B20" s="49">
        <f>SpendYr2</f>
        <v>0.6</v>
      </c>
      <c r="C20" s="30"/>
    </row>
    <row r="21" spans="1:4" x14ac:dyDescent="0.55000000000000004">
      <c r="A21" s="13" t="s">
        <v>51</v>
      </c>
      <c r="B21" s="49">
        <f>SpendYr3</f>
        <v>0.32000000000000006</v>
      </c>
      <c r="C21" s="30"/>
    </row>
    <row r="22" spans="1:4" x14ac:dyDescent="0.55000000000000004">
      <c r="A22" s="33" t="s">
        <v>212</v>
      </c>
      <c r="B22" s="55">
        <v>20</v>
      </c>
      <c r="C22" s="30"/>
    </row>
    <row r="23" spans="1:4" x14ac:dyDescent="0.55000000000000004">
      <c r="A23" s="73" t="s">
        <v>52</v>
      </c>
      <c r="B23" s="74">
        <f>StartUp</f>
        <v>0.75</v>
      </c>
      <c r="C23" s="57"/>
      <c r="D23" s="9"/>
    </row>
    <row r="24" spans="1:4" x14ac:dyDescent="0.55000000000000004">
      <c r="A24" s="57" t="s">
        <v>125</v>
      </c>
      <c r="B24" s="56">
        <f>StartupFuel</f>
        <v>0.5</v>
      </c>
      <c r="C24" s="57"/>
      <c r="D24" s="9"/>
    </row>
    <row r="25" spans="1:4" x14ac:dyDescent="0.55000000000000004">
      <c r="A25" s="57" t="s">
        <v>53</v>
      </c>
      <c r="B25" s="56">
        <f>StartupVar</f>
        <v>0.75</v>
      </c>
      <c r="C25" s="57"/>
      <c r="D25" s="9"/>
    </row>
    <row r="26" spans="1:4" x14ac:dyDescent="0.55000000000000004">
      <c r="A26" s="9" t="s">
        <v>54</v>
      </c>
      <c r="B26" s="56">
        <f>CBA!C16</f>
        <v>1</v>
      </c>
      <c r="C26" s="57"/>
      <c r="D26" s="9"/>
    </row>
    <row r="27" spans="1:4" x14ac:dyDescent="0.55000000000000004">
      <c r="A27" s="75" t="s">
        <v>216</v>
      </c>
      <c r="B27" s="76">
        <f>ProdRamp</f>
        <v>0.5</v>
      </c>
      <c r="C27" s="57"/>
      <c r="D27" s="9"/>
    </row>
    <row r="28" spans="1:4" x14ac:dyDescent="0.55000000000000004">
      <c r="A28" s="77" t="s">
        <v>55</v>
      </c>
      <c r="B28" s="78">
        <f>B61</f>
        <v>7.7247326543100625E-2</v>
      </c>
      <c r="C28" s="48"/>
    </row>
    <row r="29" spans="1:4" x14ac:dyDescent="0.55000000000000004">
      <c r="A29" s="34" t="s">
        <v>56</v>
      </c>
      <c r="B29" s="79">
        <f>InTaxRate</f>
        <v>0.16900000000000001</v>
      </c>
      <c r="C29" s="48"/>
    </row>
    <row r="30" spans="1:4" x14ac:dyDescent="0.55000000000000004">
      <c r="A30" s="34" t="s">
        <v>288</v>
      </c>
      <c r="B30" s="80">
        <f>FeedPerYr</f>
        <v>226.79625000000001</v>
      </c>
      <c r="C30" s="48"/>
    </row>
    <row r="31" spans="1:4" ht="14.7" thickBot="1" x14ac:dyDescent="0.6">
      <c r="A31" s="34" t="s">
        <v>57</v>
      </c>
      <c r="B31" s="51">
        <f>CostYr</f>
        <v>2015</v>
      </c>
      <c r="C31" s="48"/>
    </row>
    <row r="32" spans="1:4" ht="14.7" thickBot="1" x14ac:dyDescent="0.6">
      <c r="A32" s="34" t="s">
        <v>58</v>
      </c>
      <c r="B32" s="81">
        <f>E60</f>
        <v>-6.3948846218409017E-14</v>
      </c>
      <c r="C32" s="2" t="s">
        <v>61</v>
      </c>
    </row>
    <row r="34" spans="1:49" x14ac:dyDescent="0.55000000000000004">
      <c r="A34" s="3" t="s">
        <v>65</v>
      </c>
    </row>
    <row r="35" spans="1:49" x14ac:dyDescent="0.55000000000000004">
      <c r="A35" s="82" t="s">
        <v>16</v>
      </c>
      <c r="B35" s="82" t="s">
        <v>66</v>
      </c>
      <c r="C35" s="83">
        <v>-2</v>
      </c>
      <c r="D35" s="83">
        <v>-1</v>
      </c>
      <c r="E35" s="83">
        <v>0</v>
      </c>
      <c r="F35" s="83">
        <v>1</v>
      </c>
      <c r="G35" s="83">
        <v>2</v>
      </c>
      <c r="H35" s="83">
        <v>3</v>
      </c>
      <c r="I35" s="83">
        <v>4</v>
      </c>
      <c r="J35" s="83">
        <v>5</v>
      </c>
      <c r="K35" s="83">
        <v>6</v>
      </c>
      <c r="L35" s="83">
        <v>7</v>
      </c>
      <c r="M35" s="83">
        <v>8</v>
      </c>
      <c r="N35" s="83">
        <v>9</v>
      </c>
      <c r="O35" s="83">
        <v>10</v>
      </c>
      <c r="P35" s="83">
        <v>11</v>
      </c>
      <c r="Q35" s="83">
        <v>12</v>
      </c>
      <c r="R35" s="83">
        <v>13</v>
      </c>
      <c r="S35" s="83">
        <v>14</v>
      </c>
      <c r="T35" s="83">
        <v>15</v>
      </c>
      <c r="U35" s="83">
        <v>16</v>
      </c>
      <c r="V35" s="83">
        <v>17</v>
      </c>
      <c r="W35" s="83">
        <v>18</v>
      </c>
      <c r="X35" s="83">
        <v>19</v>
      </c>
      <c r="Y35" s="83">
        <v>20</v>
      </c>
    </row>
    <row r="36" spans="1:49" x14ac:dyDescent="0.55000000000000004">
      <c r="A36" s="1" t="s">
        <v>40</v>
      </c>
      <c r="C36" s="42">
        <f>B6*B8*B19</f>
        <v>2.5585556486730034</v>
      </c>
      <c r="D36" s="42">
        <f>B6*B8*B20</f>
        <v>19.189167365047528</v>
      </c>
      <c r="E36" s="42">
        <f>B6*B8*B21</f>
        <v>10.234222594692016</v>
      </c>
    </row>
    <row r="37" spans="1:49" x14ac:dyDescent="0.55000000000000004">
      <c r="A37" s="1" t="s">
        <v>67</v>
      </c>
      <c r="C37" s="42">
        <f>CAPEX!B1</f>
        <v>1.8064161198745368</v>
      </c>
      <c r="D37" s="42"/>
      <c r="E37" s="42"/>
      <c r="Y37" s="84">
        <f>-C37</f>
        <v>-1.8064161198745368</v>
      </c>
    </row>
    <row r="38" spans="1:49" x14ac:dyDescent="0.55000000000000004">
      <c r="A38" s="1" t="s">
        <v>68</v>
      </c>
      <c r="C38" s="42"/>
      <c r="D38" s="42"/>
      <c r="E38" s="42">
        <f>B12*OPEX!E3</f>
        <v>13.821255963593979</v>
      </c>
      <c r="Y38" s="84">
        <f>-E38</f>
        <v>-13.821255963593979</v>
      </c>
    </row>
    <row r="39" spans="1:49" x14ac:dyDescent="0.55000000000000004">
      <c r="A39" s="85" t="s">
        <v>69</v>
      </c>
      <c r="B39" s="86"/>
      <c r="C39" s="87"/>
      <c r="D39" s="87"/>
      <c r="E39" s="87"/>
      <c r="F39" s="87">
        <f>B11</f>
        <v>11.121257003638595</v>
      </c>
      <c r="G39" s="87">
        <f>IF($B$10&gt;F35,$B$11,0)</f>
        <v>11.121257003638595</v>
      </c>
      <c r="H39" s="87">
        <f t="shared" ref="H39:W39" si="0">IF($B$10&gt;G35,$B$11,0)</f>
        <v>11.121257003638595</v>
      </c>
      <c r="I39" s="87">
        <f t="shared" si="0"/>
        <v>11.121257003638595</v>
      </c>
      <c r="J39" s="87">
        <f t="shared" si="0"/>
        <v>11.121257003638595</v>
      </c>
      <c r="K39" s="87">
        <f t="shared" si="0"/>
        <v>11.121257003638595</v>
      </c>
      <c r="L39" s="87">
        <f t="shared" si="0"/>
        <v>11.121257003638595</v>
      </c>
      <c r="M39" s="87">
        <f t="shared" si="0"/>
        <v>11.121257003638595</v>
      </c>
      <c r="N39" s="87">
        <f t="shared" si="0"/>
        <v>11.121257003638595</v>
      </c>
      <c r="O39" s="87">
        <f t="shared" si="0"/>
        <v>11.121257003638595</v>
      </c>
      <c r="P39" s="87">
        <f t="shared" si="0"/>
        <v>0</v>
      </c>
      <c r="Q39" s="87">
        <f t="shared" si="0"/>
        <v>0</v>
      </c>
      <c r="R39" s="87">
        <f t="shared" si="0"/>
        <v>0</v>
      </c>
      <c r="S39" s="87">
        <f t="shared" si="0"/>
        <v>0</v>
      </c>
      <c r="T39" s="87">
        <f t="shared" si="0"/>
        <v>0</v>
      </c>
      <c r="U39" s="87">
        <f t="shared" si="0"/>
        <v>0</v>
      </c>
      <c r="V39" s="87">
        <f t="shared" si="0"/>
        <v>0</v>
      </c>
      <c r="W39" s="87">
        <f t="shared" si="0"/>
        <v>0</v>
      </c>
      <c r="X39" s="87">
        <f>IF($B$10&gt;$W$35,$B$11,0)</f>
        <v>0</v>
      </c>
      <c r="Y39" s="87">
        <f>IF($B$10&gt;$W$35,$B$11,0)</f>
        <v>0</v>
      </c>
    </row>
    <row r="40" spans="1:49" x14ac:dyDescent="0.55000000000000004">
      <c r="A40" s="6" t="s">
        <v>70</v>
      </c>
      <c r="B40" s="9"/>
      <c r="C40" s="39">
        <f>$B$9*C41</f>
        <v>0.47759705441896066</v>
      </c>
      <c r="D40" s="39">
        <f>$B$9*D41</f>
        <v>4.0595749625611655</v>
      </c>
      <c r="E40" s="39">
        <f>$B$9*E41</f>
        <v>5.9699631802370083</v>
      </c>
      <c r="F40" s="39">
        <f>B6*(1-B8)*B9</f>
        <v>5.9699631802370083</v>
      </c>
      <c r="G40" s="39">
        <f>F41*$B$9</f>
        <v>5.5578596743648818</v>
      </c>
      <c r="H40" s="39">
        <f>G41*$B$9</f>
        <v>5.1127878880229849</v>
      </c>
      <c r="I40" s="39">
        <f>H41*$B$9</f>
        <v>4.632110358773736</v>
      </c>
      <c r="J40" s="39">
        <f>I41*$B$9</f>
        <v>4.112978627184547</v>
      </c>
      <c r="K40" s="39">
        <f>J41*$B$9</f>
        <v>3.5523163570682228</v>
      </c>
      <c r="L40" s="39">
        <f t="shared" ref="L40:X40" si="1">K41*$B$9</f>
        <v>2.9468011053425927</v>
      </c>
      <c r="M40" s="39">
        <f t="shared" si="1"/>
        <v>2.2928446334789125</v>
      </c>
      <c r="N40" s="39">
        <f t="shared" si="1"/>
        <v>1.5865716438661377</v>
      </c>
      <c r="O40" s="39">
        <f t="shared" si="1"/>
        <v>0.82379681508434122</v>
      </c>
      <c r="P40" s="39">
        <f t="shared" si="1"/>
        <v>8.6153306710912145E-16</v>
      </c>
      <c r="Q40" s="39">
        <f t="shared" si="1"/>
        <v>9.3045571247785127E-16</v>
      </c>
      <c r="R40" s="39">
        <f t="shared" si="1"/>
        <v>1.0048921694760795E-15</v>
      </c>
      <c r="S40" s="39">
        <f t="shared" si="1"/>
        <v>1.0852835430341658E-15</v>
      </c>
      <c r="T40" s="39">
        <f t="shared" si="1"/>
        <v>1.172106226476899E-15</v>
      </c>
      <c r="U40" s="39">
        <f t="shared" si="1"/>
        <v>1.2658747245950512E-15</v>
      </c>
      <c r="V40" s="39">
        <f t="shared" si="1"/>
        <v>1.3671447025626552E-15</v>
      </c>
      <c r="W40" s="39">
        <f t="shared" si="1"/>
        <v>1.4765162787676678E-15</v>
      </c>
      <c r="X40" s="39">
        <f t="shared" si="1"/>
        <v>1.5946375810690809E-15</v>
      </c>
      <c r="Y40" s="39">
        <f>X41*$B$9</f>
        <v>1.7222085875546074E-15</v>
      </c>
    </row>
    <row r="41" spans="1:49" x14ac:dyDescent="0.55000000000000004">
      <c r="A41" s="18" t="s">
        <v>71</v>
      </c>
      <c r="B41" s="18"/>
      <c r="C41" s="88">
        <f>B6*(1-B8)*B19</f>
        <v>5.9699631802370083</v>
      </c>
      <c r="D41" s="88">
        <f>C41+B6*(1-B8)*B20</f>
        <v>50.744687032014568</v>
      </c>
      <c r="E41" s="88">
        <f>D41+B6*(1-B8)*B21</f>
        <v>74.624539752962605</v>
      </c>
      <c r="F41" s="88">
        <f>B6*(1-B8)-F39+F40</f>
        <v>69.473245929561017</v>
      </c>
      <c r="G41" s="88">
        <f>F41-G39+G40</f>
        <v>63.909848600287305</v>
      </c>
      <c r="H41" s="88">
        <f t="shared" ref="H41:X41" si="2">G41-H39+H40</f>
        <v>57.901379484671693</v>
      </c>
      <c r="I41" s="88">
        <f t="shared" si="2"/>
        <v>51.412232839806833</v>
      </c>
      <c r="J41" s="88">
        <f t="shared" si="2"/>
        <v>44.403954463352783</v>
      </c>
      <c r="K41" s="88">
        <f t="shared" si="2"/>
        <v>36.835013816782407</v>
      </c>
      <c r="L41" s="88">
        <f t="shared" si="2"/>
        <v>28.660557918486404</v>
      </c>
      <c r="M41" s="88">
        <f t="shared" si="2"/>
        <v>19.832145548326721</v>
      </c>
      <c r="N41" s="88">
        <f t="shared" si="2"/>
        <v>10.297460188554265</v>
      </c>
      <c r="O41" s="88">
        <f t="shared" si="2"/>
        <v>1.0769163338864018E-14</v>
      </c>
      <c r="P41" s="88">
        <f t="shared" si="2"/>
        <v>1.163069640597314E-14</v>
      </c>
      <c r="Q41" s="88">
        <f t="shared" si="2"/>
        <v>1.2561152118450993E-14</v>
      </c>
      <c r="R41" s="88">
        <f t="shared" si="2"/>
        <v>1.3566044287927072E-14</v>
      </c>
      <c r="S41" s="88">
        <f t="shared" si="2"/>
        <v>1.4651327830961238E-14</v>
      </c>
      <c r="T41" s="88">
        <f t="shared" si="2"/>
        <v>1.5823434057438139E-14</v>
      </c>
      <c r="U41" s="88">
        <f t="shared" si="2"/>
        <v>1.7089308782033189E-14</v>
      </c>
      <c r="V41" s="88">
        <f t="shared" si="2"/>
        <v>1.8456453484595846E-14</v>
      </c>
      <c r="W41" s="88">
        <f t="shared" si="2"/>
        <v>1.9932969763363512E-14</v>
      </c>
      <c r="X41" s="88">
        <f t="shared" si="2"/>
        <v>2.1527607344432593E-14</v>
      </c>
      <c r="Y41" s="88">
        <f>X41-Y39+Y40</f>
        <v>2.3249815931987199E-14</v>
      </c>
    </row>
    <row r="42" spans="1:49" x14ac:dyDescent="0.55000000000000004">
      <c r="A42" s="89" t="s">
        <v>112</v>
      </c>
      <c r="B42" s="90">
        <f>AVERAGE(F42:Y42)</f>
        <v>83.392693440471049</v>
      </c>
      <c r="C42" s="91"/>
      <c r="D42" s="91"/>
      <c r="E42" s="91"/>
      <c r="F42" s="91">
        <f>G42*B27*B23+G42*(1-B23)</f>
        <v>53.11636524870768</v>
      </c>
      <c r="G42" s="90">
        <f>SUMMARY!$E$11</f>
        <v>84.986184397932291</v>
      </c>
      <c r="H42" s="90">
        <f>SUMMARY!$E$11</f>
        <v>84.986184397932291</v>
      </c>
      <c r="I42" s="90">
        <f>SUMMARY!$E$11</f>
        <v>84.986184397932291</v>
      </c>
      <c r="J42" s="90">
        <f>SUMMARY!$E$11</f>
        <v>84.986184397932291</v>
      </c>
      <c r="K42" s="90">
        <f>SUMMARY!$E$11</f>
        <v>84.986184397932291</v>
      </c>
      <c r="L42" s="90">
        <f>SUMMARY!$E$11</f>
        <v>84.986184397932291</v>
      </c>
      <c r="M42" s="90">
        <f>SUMMARY!$E$11</f>
        <v>84.986184397932291</v>
      </c>
      <c r="N42" s="90">
        <f>SUMMARY!$E$11</f>
        <v>84.986184397932291</v>
      </c>
      <c r="O42" s="90">
        <f>SUMMARY!$E$11</f>
        <v>84.986184397932291</v>
      </c>
      <c r="P42" s="90">
        <f>SUMMARY!$E$11</f>
        <v>84.986184397932291</v>
      </c>
      <c r="Q42" s="90">
        <f>SUMMARY!$E$11</f>
        <v>84.986184397932291</v>
      </c>
      <c r="R42" s="90">
        <f>SUMMARY!$E$11</f>
        <v>84.986184397932291</v>
      </c>
      <c r="S42" s="90">
        <f>SUMMARY!$E$11</f>
        <v>84.986184397932291</v>
      </c>
      <c r="T42" s="90">
        <f>SUMMARY!$E$11</f>
        <v>84.986184397932291</v>
      </c>
      <c r="U42" s="90">
        <f>SUMMARY!$E$11</f>
        <v>84.986184397932291</v>
      </c>
      <c r="V42" s="90">
        <f>SUMMARY!$E$11</f>
        <v>84.986184397932291</v>
      </c>
      <c r="W42" s="90">
        <f>SUMMARY!$E$11</f>
        <v>84.986184397932291</v>
      </c>
      <c r="X42" s="90">
        <f>SUMMARY!$E$11</f>
        <v>84.986184397932291</v>
      </c>
      <c r="Y42" s="90">
        <f>SUMMARY!$E$11</f>
        <v>84.986184397932291</v>
      </c>
    </row>
    <row r="43" spans="1:49" x14ac:dyDescent="0.55000000000000004">
      <c r="A43" s="1" t="s">
        <v>72</v>
      </c>
    </row>
    <row r="44" spans="1:49" x14ac:dyDescent="0.55000000000000004">
      <c r="A44" s="1" t="s">
        <v>73</v>
      </c>
      <c r="F44" s="12">
        <f>G44*B24*B23+G44*(1-B23)</f>
        <v>8.855752645686799</v>
      </c>
      <c r="G44" s="42">
        <f>OPEX!B3</f>
        <v>14.169204233098878</v>
      </c>
      <c r="H44" s="42">
        <f>G44</f>
        <v>14.169204233098878</v>
      </c>
      <c r="I44" s="42">
        <f t="shared" ref="I44:X44" si="3">H44</f>
        <v>14.169204233098878</v>
      </c>
      <c r="J44" s="42">
        <f t="shared" si="3"/>
        <v>14.169204233098878</v>
      </c>
      <c r="K44" s="42">
        <f t="shared" si="3"/>
        <v>14.169204233098878</v>
      </c>
      <c r="L44" s="42">
        <f t="shared" si="3"/>
        <v>14.169204233098878</v>
      </c>
      <c r="M44" s="42">
        <f t="shared" si="3"/>
        <v>14.169204233098878</v>
      </c>
      <c r="N44" s="42">
        <f t="shared" si="3"/>
        <v>14.169204233098878</v>
      </c>
      <c r="O44" s="42">
        <f t="shared" si="3"/>
        <v>14.169204233098878</v>
      </c>
      <c r="P44" s="42">
        <f t="shared" si="3"/>
        <v>14.169204233098878</v>
      </c>
      <c r="Q44" s="42">
        <f t="shared" si="3"/>
        <v>14.169204233098878</v>
      </c>
      <c r="R44" s="42">
        <f t="shared" si="3"/>
        <v>14.169204233098878</v>
      </c>
      <c r="S44" s="42">
        <f t="shared" si="3"/>
        <v>14.169204233098878</v>
      </c>
      <c r="T44" s="42">
        <f t="shared" si="3"/>
        <v>14.169204233098878</v>
      </c>
      <c r="U44" s="42">
        <f t="shared" si="3"/>
        <v>14.169204233098878</v>
      </c>
      <c r="V44" s="42">
        <f t="shared" si="3"/>
        <v>14.169204233098878</v>
      </c>
      <c r="W44" s="42">
        <f t="shared" si="3"/>
        <v>14.169204233098878</v>
      </c>
      <c r="X44" s="42">
        <f t="shared" si="3"/>
        <v>14.169204233098878</v>
      </c>
      <c r="Y44" s="42">
        <f>X44</f>
        <v>14.169204233098878</v>
      </c>
      <c r="Z44" s="22" t="s">
        <v>113</v>
      </c>
      <c r="AA44" s="22" t="s">
        <v>113</v>
      </c>
      <c r="AB44" s="22" t="s">
        <v>113</v>
      </c>
      <c r="AC44" s="22" t="s">
        <v>113</v>
      </c>
      <c r="AD44" s="22" t="s">
        <v>113</v>
      </c>
      <c r="AE44" s="22" t="s">
        <v>113</v>
      </c>
      <c r="AF44" s="22" t="s">
        <v>113</v>
      </c>
      <c r="AG44" s="22" t="s">
        <v>113</v>
      </c>
      <c r="AH44" s="22" t="s">
        <v>113</v>
      </c>
      <c r="AI44" s="22" t="s">
        <v>113</v>
      </c>
      <c r="AJ44" s="22" t="s">
        <v>113</v>
      </c>
      <c r="AK44" s="22" t="s">
        <v>113</v>
      </c>
      <c r="AL44" s="22" t="s">
        <v>113</v>
      </c>
      <c r="AM44" s="22" t="s">
        <v>113</v>
      </c>
      <c r="AN44" s="22" t="s">
        <v>113</v>
      </c>
      <c r="AO44" s="22" t="s">
        <v>113</v>
      </c>
      <c r="AP44" s="22" t="s">
        <v>113</v>
      </c>
      <c r="AQ44" s="22" t="s">
        <v>113</v>
      </c>
      <c r="AR44" s="22" t="s">
        <v>113</v>
      </c>
      <c r="AS44" s="22" t="s">
        <v>113</v>
      </c>
      <c r="AT44" s="22" t="s">
        <v>113</v>
      </c>
      <c r="AU44" s="22" t="s">
        <v>113</v>
      </c>
      <c r="AV44" s="22" t="s">
        <v>113</v>
      </c>
      <c r="AW44" s="22" t="s">
        <v>113</v>
      </c>
    </row>
    <row r="45" spans="1:49" x14ac:dyDescent="0.55000000000000004">
      <c r="A45" s="1" t="s">
        <v>74</v>
      </c>
      <c r="F45" s="22">
        <f>(OPEX!B14)*B23*B25+(OPEX!B14)*(1-B23)</f>
        <v>30.775936625658886</v>
      </c>
      <c r="G45" s="42">
        <f>OPEX!B14</f>
        <v>37.878075846964784</v>
      </c>
      <c r="H45" s="42">
        <f t="shared" ref="H45:X46" si="4">G45</f>
        <v>37.878075846964784</v>
      </c>
      <c r="I45" s="42">
        <f t="shared" si="4"/>
        <v>37.878075846964784</v>
      </c>
      <c r="J45" s="42">
        <f t="shared" si="4"/>
        <v>37.878075846964784</v>
      </c>
      <c r="K45" s="42">
        <f t="shared" si="4"/>
        <v>37.878075846964784</v>
      </c>
      <c r="L45" s="42">
        <f t="shared" si="4"/>
        <v>37.878075846964784</v>
      </c>
      <c r="M45" s="42">
        <f t="shared" si="4"/>
        <v>37.878075846964784</v>
      </c>
      <c r="N45" s="42">
        <f t="shared" si="4"/>
        <v>37.878075846964784</v>
      </c>
      <c r="O45" s="42">
        <f t="shared" si="4"/>
        <v>37.878075846964784</v>
      </c>
      <c r="P45" s="42">
        <f t="shared" si="4"/>
        <v>37.878075846964784</v>
      </c>
      <c r="Q45" s="42">
        <f t="shared" si="4"/>
        <v>37.878075846964784</v>
      </c>
      <c r="R45" s="42">
        <f t="shared" si="4"/>
        <v>37.878075846964784</v>
      </c>
      <c r="S45" s="42">
        <f t="shared" si="4"/>
        <v>37.878075846964784</v>
      </c>
      <c r="T45" s="42">
        <f t="shared" si="4"/>
        <v>37.878075846964784</v>
      </c>
      <c r="U45" s="42">
        <f t="shared" si="4"/>
        <v>37.878075846964784</v>
      </c>
      <c r="V45" s="42">
        <f t="shared" si="4"/>
        <v>37.878075846964784</v>
      </c>
      <c r="W45" s="42">
        <f t="shared" si="4"/>
        <v>37.878075846964784</v>
      </c>
      <c r="X45" s="42">
        <f t="shared" si="4"/>
        <v>37.878075846964784</v>
      </c>
      <c r="Y45" s="42">
        <f>X45</f>
        <v>37.878075846964784</v>
      </c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</row>
    <row r="46" spans="1:49" x14ac:dyDescent="0.55000000000000004">
      <c r="A46" s="1" t="s">
        <v>75</v>
      </c>
      <c r="F46" s="22">
        <f>OPEX!D21</f>
        <v>17.058999737906227</v>
      </c>
      <c r="G46" s="42">
        <f>F46</f>
        <v>17.058999737906227</v>
      </c>
      <c r="H46" s="42">
        <f t="shared" si="4"/>
        <v>17.058999737906227</v>
      </c>
      <c r="I46" s="42">
        <f t="shared" si="4"/>
        <v>17.058999737906227</v>
      </c>
      <c r="J46" s="42">
        <f t="shared" si="4"/>
        <v>17.058999737906227</v>
      </c>
      <c r="K46" s="42">
        <f t="shared" si="4"/>
        <v>17.058999737906227</v>
      </c>
      <c r="L46" s="42">
        <f t="shared" si="4"/>
        <v>17.058999737906227</v>
      </c>
      <c r="M46" s="42">
        <f t="shared" si="4"/>
        <v>17.058999737906227</v>
      </c>
      <c r="N46" s="42">
        <f t="shared" si="4"/>
        <v>17.058999737906227</v>
      </c>
      <c r="O46" s="42">
        <f t="shared" si="4"/>
        <v>17.058999737906227</v>
      </c>
      <c r="P46" s="42">
        <f t="shared" si="4"/>
        <v>17.058999737906227</v>
      </c>
      <c r="Q46" s="42">
        <f t="shared" si="4"/>
        <v>17.058999737906227</v>
      </c>
      <c r="R46" s="42">
        <f t="shared" si="4"/>
        <v>17.058999737906227</v>
      </c>
      <c r="S46" s="42">
        <f t="shared" si="4"/>
        <v>17.058999737906227</v>
      </c>
      <c r="T46" s="42">
        <f t="shared" si="4"/>
        <v>17.058999737906227</v>
      </c>
      <c r="U46" s="42">
        <f t="shared" si="4"/>
        <v>17.058999737906227</v>
      </c>
      <c r="V46" s="42">
        <f t="shared" si="4"/>
        <v>17.058999737906227</v>
      </c>
      <c r="W46" s="42">
        <f t="shared" si="4"/>
        <v>17.058999737906227</v>
      </c>
      <c r="X46" s="42">
        <f t="shared" si="4"/>
        <v>17.058999737906227</v>
      </c>
      <c r="Y46" s="42">
        <f>X46</f>
        <v>17.058999737906227</v>
      </c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</row>
    <row r="47" spans="1:49" x14ac:dyDescent="0.55000000000000004">
      <c r="A47" s="18" t="s">
        <v>76</v>
      </c>
      <c r="B47" s="92">
        <f>AVERAGE(F47:Y47)</f>
        <v>68.485500277533959</v>
      </c>
      <c r="C47" s="18"/>
      <c r="D47" s="18"/>
      <c r="E47" s="18"/>
      <c r="F47" s="93">
        <f>SUM(F44:F46)</f>
        <v>56.690689009251912</v>
      </c>
      <c r="G47" s="92">
        <f t="shared" ref="G47:Y47" si="5">SUM(G44:G46)</f>
        <v>69.106279817969892</v>
      </c>
      <c r="H47" s="92">
        <f t="shared" si="5"/>
        <v>69.106279817969892</v>
      </c>
      <c r="I47" s="92">
        <f t="shared" si="5"/>
        <v>69.106279817969892</v>
      </c>
      <c r="J47" s="92">
        <f t="shared" si="5"/>
        <v>69.106279817969892</v>
      </c>
      <c r="K47" s="92">
        <f t="shared" si="5"/>
        <v>69.106279817969892</v>
      </c>
      <c r="L47" s="92">
        <f t="shared" si="5"/>
        <v>69.106279817969892</v>
      </c>
      <c r="M47" s="92">
        <f t="shared" si="5"/>
        <v>69.106279817969892</v>
      </c>
      <c r="N47" s="92">
        <f t="shared" si="5"/>
        <v>69.106279817969892</v>
      </c>
      <c r="O47" s="92">
        <f t="shared" si="5"/>
        <v>69.106279817969892</v>
      </c>
      <c r="P47" s="92">
        <f t="shared" si="5"/>
        <v>69.106279817969892</v>
      </c>
      <c r="Q47" s="92">
        <f t="shared" si="5"/>
        <v>69.106279817969892</v>
      </c>
      <c r="R47" s="92">
        <f t="shared" si="5"/>
        <v>69.106279817969892</v>
      </c>
      <c r="S47" s="92">
        <f t="shared" si="5"/>
        <v>69.106279817969892</v>
      </c>
      <c r="T47" s="92">
        <f t="shared" si="5"/>
        <v>69.106279817969892</v>
      </c>
      <c r="U47" s="92">
        <f t="shared" si="5"/>
        <v>69.106279817969892</v>
      </c>
      <c r="V47" s="92">
        <f t="shared" si="5"/>
        <v>69.106279817969892</v>
      </c>
      <c r="W47" s="92">
        <f t="shared" si="5"/>
        <v>69.106279817969892</v>
      </c>
      <c r="X47" s="92">
        <f t="shared" si="5"/>
        <v>69.106279817969892</v>
      </c>
      <c r="Y47" s="92">
        <f t="shared" si="5"/>
        <v>69.106279817969892</v>
      </c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</row>
    <row r="48" spans="1:49" x14ac:dyDescent="0.55000000000000004">
      <c r="A48" s="6" t="s">
        <v>77</v>
      </c>
    </row>
    <row r="49" spans="1:25" x14ac:dyDescent="0.55000000000000004">
      <c r="A49" s="9" t="s">
        <v>78</v>
      </c>
      <c r="F49" s="17">
        <v>0.1429</v>
      </c>
      <c r="G49" s="17">
        <v>0.24490000000000001</v>
      </c>
      <c r="H49" s="17">
        <v>0.1749</v>
      </c>
      <c r="I49" s="17">
        <v>0.1249</v>
      </c>
      <c r="J49" s="17">
        <v>8.9300000000000004E-2</v>
      </c>
      <c r="K49" s="17">
        <v>8.9200000000000002E-2</v>
      </c>
      <c r="L49" s="17">
        <v>8.9300000000000004E-2</v>
      </c>
      <c r="M49" s="17">
        <v>4.4600000000000001E-2</v>
      </c>
    </row>
    <row r="50" spans="1:25" x14ac:dyDescent="0.55000000000000004">
      <c r="A50" s="6" t="s">
        <v>79</v>
      </c>
      <c r="F50" s="35">
        <f>F49*$B$7</f>
        <v>15.234066758140509</v>
      </c>
      <c r="G50" s="42">
        <f t="shared" ref="G50:M50" si="6">G49*$B$7</f>
        <v>26.107928265000776</v>
      </c>
      <c r="H50" s="42">
        <f t="shared" si="6"/>
        <v>18.645474289704513</v>
      </c>
      <c r="I50" s="42">
        <f t="shared" si="6"/>
        <v>13.315150021635755</v>
      </c>
      <c r="J50" s="42">
        <f t="shared" si="6"/>
        <v>9.5199591427708015</v>
      </c>
      <c r="K50" s="42">
        <f t="shared" si="6"/>
        <v>9.5092984942346632</v>
      </c>
      <c r="L50" s="42">
        <f t="shared" si="6"/>
        <v>9.5199591427708015</v>
      </c>
      <c r="M50" s="42">
        <f t="shared" si="6"/>
        <v>4.7546492471173316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1:25" x14ac:dyDescent="0.55000000000000004">
      <c r="A51" s="18" t="s">
        <v>80</v>
      </c>
      <c r="B51" s="18"/>
      <c r="C51" s="18"/>
      <c r="D51" s="18"/>
      <c r="E51" s="18"/>
      <c r="F51" s="92">
        <f>B7-B14-F50</f>
        <v>91.372418603234635</v>
      </c>
      <c r="G51" s="92">
        <f>F51-G50</f>
        <v>65.264490338233855</v>
      </c>
      <c r="H51" s="92">
        <f t="shared" ref="H51:M51" si="7">G51-H50</f>
        <v>46.619016048529346</v>
      </c>
      <c r="I51" s="92">
        <f t="shared" si="7"/>
        <v>33.303866026893587</v>
      </c>
      <c r="J51" s="92">
        <f t="shared" si="7"/>
        <v>23.783906884122786</v>
      </c>
      <c r="K51" s="92">
        <f t="shared" si="7"/>
        <v>14.274608389888122</v>
      </c>
      <c r="L51" s="92">
        <f t="shared" si="7"/>
        <v>4.754649247117321</v>
      </c>
      <c r="M51" s="92">
        <f t="shared" si="7"/>
        <v>-1.0658141036401503E-14</v>
      </c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x14ac:dyDescent="0.55000000000000004">
      <c r="A52" s="1" t="s">
        <v>81</v>
      </c>
      <c r="B52" s="42">
        <f>AVERAGE(F52:Y52)</f>
        <v>7.7474673806971426</v>
      </c>
      <c r="E52" s="11" t="s">
        <v>81</v>
      </c>
      <c r="F52" s="42">
        <f>F42-F40-F47-F50</f>
        <v>-24.778353698921748</v>
      </c>
      <c r="G52" s="42">
        <f t="shared" ref="G52:Y52" si="8">G42-G40-G47-G50</f>
        <v>-15.785883359403254</v>
      </c>
      <c r="H52" s="42">
        <f t="shared" si="8"/>
        <v>-7.8783575977650919</v>
      </c>
      <c r="I52" s="42">
        <f t="shared" si="8"/>
        <v>-2.0673558004470856</v>
      </c>
      <c r="J52" s="42">
        <f t="shared" si="8"/>
        <v>2.2469668100070521</v>
      </c>
      <c r="K52" s="42">
        <f t="shared" si="8"/>
        <v>2.818289728659515</v>
      </c>
      <c r="L52" s="42">
        <f t="shared" si="8"/>
        <v>3.4131443318490113</v>
      </c>
      <c r="M52" s="42">
        <f t="shared" si="8"/>
        <v>8.8324106993661609</v>
      </c>
      <c r="N52" s="42">
        <f t="shared" si="8"/>
        <v>14.293332936096263</v>
      </c>
      <c r="O52" s="42">
        <f t="shared" si="8"/>
        <v>15.056107764878064</v>
      </c>
      <c r="P52" s="42">
        <f t="shared" si="8"/>
        <v>15.8799045799624</v>
      </c>
      <c r="Q52" s="42">
        <f t="shared" si="8"/>
        <v>15.8799045799624</v>
      </c>
      <c r="R52" s="42">
        <f t="shared" si="8"/>
        <v>15.8799045799624</v>
      </c>
      <c r="S52" s="42">
        <f t="shared" si="8"/>
        <v>15.8799045799624</v>
      </c>
      <c r="T52" s="42">
        <f t="shared" si="8"/>
        <v>15.8799045799624</v>
      </c>
      <c r="U52" s="42">
        <f t="shared" si="8"/>
        <v>15.8799045799624</v>
      </c>
      <c r="V52" s="42">
        <f t="shared" si="8"/>
        <v>15.8799045799624</v>
      </c>
      <c r="W52" s="42">
        <f t="shared" si="8"/>
        <v>15.8799045799624</v>
      </c>
      <c r="X52" s="42">
        <f t="shared" si="8"/>
        <v>15.8799045799624</v>
      </c>
      <c r="Y52" s="42">
        <f t="shared" si="8"/>
        <v>15.8799045799624</v>
      </c>
    </row>
    <row r="53" spans="1:25" x14ac:dyDescent="0.55000000000000004">
      <c r="A53" s="1" t="s">
        <v>82</v>
      </c>
      <c r="B53" s="38"/>
      <c r="E53" s="11" t="s">
        <v>82</v>
      </c>
      <c r="G53" s="84">
        <f>IF(F54&lt;0,F54,0)</f>
        <v>-24.778353698921748</v>
      </c>
      <c r="H53" s="94">
        <f>IF(G54&lt;0,G54,0)</f>
        <v>-40.564237058325006</v>
      </c>
      <c r="I53" s="94">
        <f>IF(H54&lt;0,H54,0)</f>
        <v>-48.442594656090094</v>
      </c>
      <c r="J53" s="94">
        <f t="shared" ref="J53:Y53" si="9">IF(I54&lt;0,I54,0)</f>
        <v>-50.509950456537183</v>
      </c>
      <c r="K53" s="94">
        <f t="shared" si="9"/>
        <v>-48.262983646530131</v>
      </c>
      <c r="L53" s="84">
        <f t="shared" si="9"/>
        <v>-45.444693917870616</v>
      </c>
      <c r="M53" s="84">
        <f t="shared" si="9"/>
        <v>-42.031549586021605</v>
      </c>
      <c r="N53" s="84">
        <f t="shared" si="9"/>
        <v>-33.199138886655447</v>
      </c>
      <c r="O53" s="84">
        <f t="shared" si="9"/>
        <v>-18.905805950559184</v>
      </c>
      <c r="P53" s="84">
        <f t="shared" si="9"/>
        <v>-3.8496981856811203</v>
      </c>
      <c r="Q53" s="84">
        <f t="shared" si="9"/>
        <v>0</v>
      </c>
      <c r="R53" s="84">
        <f t="shared" si="9"/>
        <v>0</v>
      </c>
      <c r="S53" s="84">
        <f t="shared" si="9"/>
        <v>0</v>
      </c>
      <c r="T53" s="84">
        <f t="shared" si="9"/>
        <v>0</v>
      </c>
      <c r="U53" s="84">
        <f t="shared" si="9"/>
        <v>0</v>
      </c>
      <c r="V53" s="84">
        <f t="shared" si="9"/>
        <v>0</v>
      </c>
      <c r="W53" s="84">
        <f t="shared" si="9"/>
        <v>0</v>
      </c>
      <c r="X53" s="84">
        <f t="shared" si="9"/>
        <v>0</v>
      </c>
      <c r="Y53" s="84">
        <f t="shared" si="9"/>
        <v>0</v>
      </c>
    </row>
    <row r="54" spans="1:25" x14ac:dyDescent="0.55000000000000004">
      <c r="A54" s="1" t="s">
        <v>83</v>
      </c>
      <c r="B54" s="42">
        <f>AVERAGE(F54:Y54)</f>
        <v>-10.051982921462468</v>
      </c>
      <c r="E54" s="11" t="s">
        <v>83</v>
      </c>
      <c r="F54" s="42">
        <f>F52+F53</f>
        <v>-24.778353698921748</v>
      </c>
      <c r="G54" s="94">
        <f>SUM(G52:G53)</f>
        <v>-40.564237058325006</v>
      </c>
      <c r="H54" s="94">
        <f t="shared" ref="H54:Y54" si="10">SUM(H52:H53)</f>
        <v>-48.442594656090094</v>
      </c>
      <c r="I54" s="94">
        <f t="shared" si="10"/>
        <v>-50.509950456537183</v>
      </c>
      <c r="J54" s="94">
        <f t="shared" si="10"/>
        <v>-48.262983646530131</v>
      </c>
      <c r="K54" s="84">
        <f t="shared" si="10"/>
        <v>-45.444693917870616</v>
      </c>
      <c r="L54" s="84">
        <f t="shared" si="10"/>
        <v>-42.031549586021605</v>
      </c>
      <c r="M54" s="84">
        <f t="shared" si="10"/>
        <v>-33.199138886655447</v>
      </c>
      <c r="N54" s="84">
        <f t="shared" si="10"/>
        <v>-18.905805950559184</v>
      </c>
      <c r="O54" s="84">
        <f t="shared" si="10"/>
        <v>-3.8496981856811203</v>
      </c>
      <c r="P54" s="84">
        <f t="shared" si="10"/>
        <v>12.030206394281279</v>
      </c>
      <c r="Q54" s="84">
        <f t="shared" si="10"/>
        <v>15.8799045799624</v>
      </c>
      <c r="R54" s="84">
        <f t="shared" si="10"/>
        <v>15.8799045799624</v>
      </c>
      <c r="S54" s="84">
        <f t="shared" si="10"/>
        <v>15.8799045799624</v>
      </c>
      <c r="T54" s="84">
        <f t="shared" si="10"/>
        <v>15.8799045799624</v>
      </c>
      <c r="U54" s="84">
        <f t="shared" si="10"/>
        <v>15.8799045799624</v>
      </c>
      <c r="V54" s="84">
        <f t="shared" si="10"/>
        <v>15.8799045799624</v>
      </c>
      <c r="W54" s="84">
        <f t="shared" si="10"/>
        <v>15.8799045799624</v>
      </c>
      <c r="X54" s="84">
        <f t="shared" si="10"/>
        <v>15.8799045799624</v>
      </c>
      <c r="Y54" s="84">
        <f t="shared" si="10"/>
        <v>15.8799045799624</v>
      </c>
    </row>
    <row r="55" spans="1:25" x14ac:dyDescent="0.55000000000000004">
      <c r="A55" s="1" t="s">
        <v>84</v>
      </c>
      <c r="B55" s="92">
        <f>AVERAGE(F55:Y55)</f>
        <v>1.3093219873378172</v>
      </c>
      <c r="C55" s="16">
        <f>B55/B42</f>
        <v>1.5700679919547895E-2</v>
      </c>
      <c r="D55" s="18"/>
      <c r="E55" s="95" t="s">
        <v>84</v>
      </c>
      <c r="F55" s="92">
        <f t="shared" ref="F55:Y55" si="11">IF($B$29*F54&lt;0,0,$B$29*F54)</f>
        <v>0</v>
      </c>
      <c r="G55" s="96">
        <f t="shared" si="11"/>
        <v>0</v>
      </c>
      <c r="H55" s="96">
        <f t="shared" si="11"/>
        <v>0</v>
      </c>
      <c r="I55" s="96">
        <f t="shared" si="11"/>
        <v>0</v>
      </c>
      <c r="J55" s="96">
        <f t="shared" si="11"/>
        <v>0</v>
      </c>
      <c r="K55" s="96">
        <f t="shared" si="11"/>
        <v>0</v>
      </c>
      <c r="L55" s="96">
        <f t="shared" si="11"/>
        <v>0</v>
      </c>
      <c r="M55" s="96">
        <f t="shared" si="11"/>
        <v>0</v>
      </c>
      <c r="N55" s="96">
        <f t="shared" si="11"/>
        <v>0</v>
      </c>
      <c r="O55" s="96">
        <f t="shared" si="11"/>
        <v>0</v>
      </c>
      <c r="P55" s="96">
        <f t="shared" si="11"/>
        <v>2.0331048806335366</v>
      </c>
      <c r="Q55" s="96">
        <f t="shared" si="11"/>
        <v>2.6837038740136459</v>
      </c>
      <c r="R55" s="96">
        <f t="shared" si="11"/>
        <v>2.6837038740136459</v>
      </c>
      <c r="S55" s="96">
        <f t="shared" si="11"/>
        <v>2.6837038740136459</v>
      </c>
      <c r="T55" s="96">
        <f t="shared" si="11"/>
        <v>2.6837038740136459</v>
      </c>
      <c r="U55" s="96">
        <f t="shared" si="11"/>
        <v>2.6837038740136459</v>
      </c>
      <c r="V55" s="96">
        <f t="shared" si="11"/>
        <v>2.6837038740136459</v>
      </c>
      <c r="W55" s="96">
        <f t="shared" si="11"/>
        <v>2.6837038740136459</v>
      </c>
      <c r="X55" s="96">
        <f t="shared" si="11"/>
        <v>2.6837038740136459</v>
      </c>
      <c r="Y55" s="96">
        <f t="shared" si="11"/>
        <v>2.6837038740136459</v>
      </c>
    </row>
    <row r="56" spans="1:25" x14ac:dyDescent="0.55000000000000004">
      <c r="A56" s="89" t="s">
        <v>85</v>
      </c>
      <c r="B56" s="90">
        <f>AVERAGE(F56:Y56)</f>
        <v>8.0372426737799536</v>
      </c>
      <c r="C56" s="97">
        <f>C36+C37+C40</f>
        <v>4.8425688229665003</v>
      </c>
      <c r="D56" s="97">
        <f>D36+D40</f>
        <v>23.248742327608692</v>
      </c>
      <c r="E56" s="97">
        <f>E36+E38+E40</f>
        <v>30.025441738523003</v>
      </c>
      <c r="F56" s="90">
        <f>F42-F39-F47-F55</f>
        <v>-14.695580764182829</v>
      </c>
      <c r="G56" s="90">
        <f>G42-G39-G47-G55</f>
        <v>4.7586475763238099</v>
      </c>
      <c r="H56" s="90">
        <f t="shared" ref="H56:Y56" si="12">H42-H39-H47-H55</f>
        <v>4.7586475763238099</v>
      </c>
      <c r="I56" s="90">
        <f t="shared" si="12"/>
        <v>4.7586475763238099</v>
      </c>
      <c r="J56" s="90">
        <f t="shared" si="12"/>
        <v>4.7586475763238099</v>
      </c>
      <c r="K56" s="90">
        <f t="shared" si="12"/>
        <v>4.7586475763238099</v>
      </c>
      <c r="L56" s="90">
        <f t="shared" si="12"/>
        <v>4.7586475763238099</v>
      </c>
      <c r="M56" s="90">
        <f t="shared" si="12"/>
        <v>4.7586475763238099</v>
      </c>
      <c r="N56" s="90">
        <f t="shared" si="12"/>
        <v>4.7586475763238099</v>
      </c>
      <c r="O56" s="90">
        <f t="shared" si="12"/>
        <v>4.7586475763238099</v>
      </c>
      <c r="P56" s="90">
        <f t="shared" si="12"/>
        <v>13.846799699328862</v>
      </c>
      <c r="Q56" s="90">
        <f t="shared" si="12"/>
        <v>13.196200705948755</v>
      </c>
      <c r="R56" s="90">
        <f t="shared" si="12"/>
        <v>13.196200705948755</v>
      </c>
      <c r="S56" s="90">
        <f t="shared" si="12"/>
        <v>13.196200705948755</v>
      </c>
      <c r="T56" s="90">
        <f t="shared" si="12"/>
        <v>13.196200705948755</v>
      </c>
      <c r="U56" s="90">
        <f t="shared" si="12"/>
        <v>13.196200705948755</v>
      </c>
      <c r="V56" s="90">
        <f t="shared" si="12"/>
        <v>13.196200705948755</v>
      </c>
      <c r="W56" s="90">
        <f t="shared" si="12"/>
        <v>13.196200705948755</v>
      </c>
      <c r="X56" s="90">
        <f t="shared" si="12"/>
        <v>13.196200705948755</v>
      </c>
      <c r="Y56" s="90">
        <f t="shared" si="12"/>
        <v>13.196200705948755</v>
      </c>
    </row>
    <row r="57" spans="1:25" x14ac:dyDescent="0.55000000000000004">
      <c r="A57" s="98" t="s">
        <v>86</v>
      </c>
      <c r="B57" s="99">
        <f>B61</f>
        <v>7.7247326543100625E-2</v>
      </c>
      <c r="C57" s="100">
        <f t="shared" ref="C57:Y57" si="13">1/(1+$B$61)^C35</f>
        <v>1.1604618025442577</v>
      </c>
      <c r="D57" s="100">
        <f t="shared" si="13"/>
        <v>1.0772473265431006</v>
      </c>
      <c r="E57" s="100">
        <f t="shared" si="13"/>
        <v>1</v>
      </c>
      <c r="F57" s="100">
        <f t="shared" si="13"/>
        <v>0.92829193014478095</v>
      </c>
      <c r="G57" s="100">
        <f t="shared" si="13"/>
        <v>0.86172590757192291</v>
      </c>
      <c r="H57" s="100">
        <f t="shared" si="13"/>
        <v>0.79993320599570339</v>
      </c>
      <c r="I57" s="100">
        <f t="shared" si="13"/>
        <v>0.74257153978065427</v>
      </c>
      <c r="J57" s="100">
        <f t="shared" si="13"/>
        <v>0.68932316793356552</v>
      </c>
      <c r="K57" s="100">
        <f t="shared" si="13"/>
        <v>0.63989313405456449</v>
      </c>
      <c r="L57" s="100">
        <f t="shared" si="13"/>
        <v>0.59400763249790478</v>
      </c>
      <c r="M57" s="100">
        <f t="shared" si="13"/>
        <v>0.55141249169221174</v>
      </c>
      <c r="N57" s="100">
        <f t="shared" si="13"/>
        <v>0.51187176621890618</v>
      </c>
      <c r="O57" s="100">
        <f t="shared" si="13"/>
        <v>0.47516642984996654</v>
      </c>
      <c r="P57" s="100">
        <f t="shared" si="13"/>
        <v>0.44109316230543005</v>
      </c>
      <c r="Q57" s="100">
        <f t="shared" si="13"/>
        <v>0.40946322301017279</v>
      </c>
      <c r="R57" s="100">
        <f t="shared" si="13"/>
        <v>0.3801014056114162</v>
      </c>
      <c r="S57" s="100">
        <f t="shared" si="13"/>
        <v>0.35284506746576583</v>
      </c>
      <c r="T57" s="100">
        <f t="shared" si="13"/>
        <v>0.32754322871986125</v>
      </c>
      <c r="U57" s="100">
        <f t="shared" si="13"/>
        <v>0.30405573599421343</v>
      </c>
      <c r="V57" s="100">
        <f t="shared" si="13"/>
        <v>0.28225248603766034</v>
      </c>
      <c r="W57" s="100">
        <f t="shared" si="13"/>
        <v>0.26201270505206253</v>
      </c>
      <c r="X57" s="100">
        <f t="shared" si="13"/>
        <v>0.24322427969523436</v>
      </c>
      <c r="Y57" s="100">
        <f t="shared" si="13"/>
        <v>0.22578313605636316</v>
      </c>
    </row>
    <row r="58" spans="1:25" x14ac:dyDescent="0.55000000000000004">
      <c r="A58" s="1" t="s">
        <v>87</v>
      </c>
      <c r="B58" s="42">
        <f>SUM(F58:Y58)</f>
        <v>57.161238589407148</v>
      </c>
      <c r="F58" s="42">
        <f>F56*F57</f>
        <v>-13.641789032181793</v>
      </c>
      <c r="G58" s="42">
        <f>G56*G57</f>
        <v>4.1006499015225666</v>
      </c>
      <c r="H58" s="42">
        <f t="shared" ref="H58:Y58" si="14">H56*H57</f>
        <v>3.806600211932389</v>
      </c>
      <c r="I58" s="42">
        <f t="shared" si="14"/>
        <v>3.53363625802425</v>
      </c>
      <c r="J58" s="42">
        <f t="shared" si="14"/>
        <v>3.2802460223909122</v>
      </c>
      <c r="K58" s="42">
        <f t="shared" si="14"/>
        <v>3.0450259114750002</v>
      </c>
      <c r="L58" s="42">
        <f t="shared" si="14"/>
        <v>2.8266729807039987</v>
      </c>
      <c r="M58" s="42">
        <f t="shared" si="14"/>
        <v>2.6239777171458165</v>
      </c>
      <c r="N58" s="42">
        <f t="shared" si="14"/>
        <v>2.4358173397061855</v>
      </c>
      <c r="O58" s="42">
        <f t="shared" si="14"/>
        <v>2.2611495797559811</v>
      </c>
      <c r="P58" s="42">
        <f t="shared" si="14"/>
        <v>6.107728667186846</v>
      </c>
      <c r="Q58" s="42">
        <f t="shared" si="14"/>
        <v>5.4033588725468942</v>
      </c>
      <c r="R58" s="42">
        <f t="shared" si="14"/>
        <v>5.0158944370614842</v>
      </c>
      <c r="S58" s="42">
        <f t="shared" si="14"/>
        <v>4.6562143283822746</v>
      </c>
      <c r="T58" s="42">
        <f t="shared" si="14"/>
        <v>4.3223261860617672</v>
      </c>
      <c r="U58" s="42">
        <f t="shared" si="14"/>
        <v>4.0123805179746075</v>
      </c>
      <c r="V58" s="42">
        <f t="shared" si="14"/>
        <v>3.7246604555059646</v>
      </c>
      <c r="W58" s="42">
        <f t="shared" si="14"/>
        <v>3.4575722433755707</v>
      </c>
      <c r="X58" s="42">
        <f t="shared" si="14"/>
        <v>3.2096364114181291</v>
      </c>
      <c r="Y58" s="42">
        <f t="shared" si="14"/>
        <v>2.9794795794183031</v>
      </c>
    </row>
    <row r="59" spans="1:25" x14ac:dyDescent="0.55000000000000004">
      <c r="A59" s="1" t="s">
        <v>88</v>
      </c>
      <c r="C59" s="42">
        <f>(C36+C37+C40)*C57</f>
        <v>5.6196161452443292</v>
      </c>
      <c r="D59" s="42">
        <f>(D36+D40)*D57</f>
        <v>25.044645517905884</v>
      </c>
      <c r="E59" s="42">
        <f>(E36+E38+E40)*E57</f>
        <v>30.025441738523003</v>
      </c>
      <c r="G59" s="1" t="s">
        <v>113</v>
      </c>
      <c r="Y59" s="84">
        <f>SUM(Y36:Y38,Y40)*Y57</f>
        <v>-3.5284648122659998</v>
      </c>
    </row>
    <row r="60" spans="1:25" ht="14.7" thickBot="1" x14ac:dyDescent="0.6">
      <c r="A60" s="1" t="s">
        <v>89</v>
      </c>
      <c r="E60" s="101">
        <f>B58-SUM(B59:Y59)</f>
        <v>-6.3948846218409017E-14</v>
      </c>
      <c r="F60" s="9"/>
    </row>
    <row r="61" spans="1:25" ht="14.7" thickBot="1" x14ac:dyDescent="0.6">
      <c r="A61" s="89" t="s">
        <v>90</v>
      </c>
      <c r="B61" s="102">
        <f>IRR(C61:Y61)</f>
        <v>7.7247326543100625E-2</v>
      </c>
      <c r="C61" s="103">
        <f>-C56</f>
        <v>-4.8425688229665003</v>
      </c>
      <c r="D61" s="103">
        <f>-D56</f>
        <v>-23.248742327608692</v>
      </c>
      <c r="E61" s="103">
        <f>-E56</f>
        <v>-30.025441738523003</v>
      </c>
      <c r="F61" s="103">
        <f>F56</f>
        <v>-14.695580764182829</v>
      </c>
      <c r="G61" s="103">
        <f t="shared" ref="G61:X61" si="15">G56</f>
        <v>4.7586475763238099</v>
      </c>
      <c r="H61" s="103">
        <f t="shared" si="15"/>
        <v>4.7586475763238099</v>
      </c>
      <c r="I61" s="103">
        <f t="shared" si="15"/>
        <v>4.7586475763238099</v>
      </c>
      <c r="J61" s="103">
        <f t="shared" si="15"/>
        <v>4.7586475763238099</v>
      </c>
      <c r="K61" s="103">
        <f t="shared" si="15"/>
        <v>4.7586475763238099</v>
      </c>
      <c r="L61" s="103">
        <f t="shared" si="15"/>
        <v>4.7586475763238099</v>
      </c>
      <c r="M61" s="103">
        <f t="shared" si="15"/>
        <v>4.7586475763238099</v>
      </c>
      <c r="N61" s="103">
        <f t="shared" si="15"/>
        <v>4.7586475763238099</v>
      </c>
      <c r="O61" s="103">
        <f t="shared" si="15"/>
        <v>4.7586475763238099</v>
      </c>
      <c r="P61" s="103">
        <f t="shared" si="15"/>
        <v>13.846799699328862</v>
      </c>
      <c r="Q61" s="103">
        <f t="shared" si="15"/>
        <v>13.196200705948755</v>
      </c>
      <c r="R61" s="103">
        <f t="shared" si="15"/>
        <v>13.196200705948755</v>
      </c>
      <c r="S61" s="103">
        <f t="shared" si="15"/>
        <v>13.196200705948755</v>
      </c>
      <c r="T61" s="103">
        <f t="shared" si="15"/>
        <v>13.196200705948755</v>
      </c>
      <c r="U61" s="103">
        <f t="shared" si="15"/>
        <v>13.196200705948755</v>
      </c>
      <c r="V61" s="103">
        <f t="shared" si="15"/>
        <v>13.196200705948755</v>
      </c>
      <c r="W61" s="103">
        <f t="shared" si="15"/>
        <v>13.196200705948755</v>
      </c>
      <c r="X61" s="103">
        <f t="shared" si="15"/>
        <v>13.196200705948755</v>
      </c>
      <c r="Y61" s="103">
        <f>Y56-Y37-Y38</f>
        <v>28.823872789417273</v>
      </c>
    </row>
    <row r="64" spans="1:25" x14ac:dyDescent="0.55000000000000004">
      <c r="A64" s="1" t="s">
        <v>91</v>
      </c>
      <c r="B64" s="42">
        <f>SUM(F64:Y64)</f>
        <v>822.19562524069806</v>
      </c>
      <c r="C64" s="104">
        <f>PMT($B$61,30,-B64)</f>
        <v>71.145195405764866</v>
      </c>
      <c r="D64" s="1" t="s">
        <v>114</v>
      </c>
      <c r="F64" s="42">
        <f>F57*F42</f>
        <v>49.307493218998019</v>
      </c>
      <c r="G64" s="42">
        <f t="shared" ref="G64:Y64" si="16">G57*G42</f>
        <v>73.234796881383005</v>
      </c>
      <c r="H64" s="42">
        <f t="shared" si="16"/>
        <v>67.98327095078001</v>
      </c>
      <c r="I64" s="42">
        <f t="shared" si="16"/>
        <v>63.108321808455194</v>
      </c>
      <c r="J64" s="42">
        <f t="shared" si="16"/>
        <v>58.582945859768849</v>
      </c>
      <c r="K64" s="42">
        <f t="shared" si="16"/>
        <v>54.382075885732029</v>
      </c>
      <c r="L64" s="42">
        <f t="shared" si="16"/>
        <v>50.482442189246136</v>
      </c>
      <c r="M64" s="42">
        <f t="shared" si="16"/>
        <v>46.862443698277616</v>
      </c>
      <c r="N64" s="42">
        <f t="shared" si="16"/>
        <v>43.502028311975252</v>
      </c>
      <c r="O64" s="42">
        <f t="shared" si="16"/>
        <v>40.382581826936416</v>
      </c>
      <c r="P64" s="42">
        <f t="shared" si="16"/>
        <v>37.486824828356355</v>
      </c>
      <c r="Q64" s="42">
        <f t="shared" si="16"/>
        <v>34.798716974914214</v>
      </c>
      <c r="R64" s="42">
        <f t="shared" si="16"/>
        <v>32.30336814720507</v>
      </c>
      <c r="S64" s="42">
        <f t="shared" si="16"/>
        <v>29.986955967546436</v>
      </c>
      <c r="T64" s="42">
        <f t="shared" si="16"/>
        <v>27.836649234280241</v>
      </c>
      <c r="U64" s="42">
        <f t="shared" si="16"/>
        <v>25.84053684645324</v>
      </c>
      <c r="V64" s="42">
        <f t="shared" si="16"/>
        <v>23.987561825171412</v>
      </c>
      <c r="W64" s="42">
        <f t="shared" si="16"/>
        <v>22.267460066155632</v>
      </c>
      <c r="X64" s="42">
        <f t="shared" si="16"/>
        <v>20.670703484233446</v>
      </c>
      <c r="Y64" s="42">
        <f t="shared" si="16"/>
        <v>19.188447234829514</v>
      </c>
    </row>
    <row r="65" spans="1:25" x14ac:dyDescent="0.55000000000000004">
      <c r="A65" s="1" t="s">
        <v>92</v>
      </c>
      <c r="B65" s="42">
        <f>SUM(F65:Y65)</f>
        <v>82.366089485077993</v>
      </c>
      <c r="C65" s="104">
        <f>PMT($B$61,30,-B65)</f>
        <v>7.1271986268585232</v>
      </c>
      <c r="D65" s="1" t="s">
        <v>114</v>
      </c>
      <c r="F65" s="42">
        <f>F50*F57</f>
        <v>14.1416612348687</v>
      </c>
      <c r="G65" s="42">
        <f t="shared" ref="G65:Y65" si="17">G50*G57</f>
        <v>22.497878178980454</v>
      </c>
      <c r="H65" s="42">
        <f t="shared" si="17"/>
        <v>14.915134025873792</v>
      </c>
      <c r="I65" s="42">
        <f t="shared" si="17"/>
        <v>9.8874514539764746</v>
      </c>
      <c r="J65" s="42">
        <f t="shared" si="17"/>
        <v>6.5623283948928792</v>
      </c>
      <c r="K65" s="42">
        <f t="shared" si="17"/>
        <v>6.0849348161361698</v>
      </c>
      <c r="L65" s="42">
        <f t="shared" si="17"/>
        <v>5.6549283918740665</v>
      </c>
      <c r="M65" s="42">
        <f t="shared" si="17"/>
        <v>2.6217729884754664</v>
      </c>
      <c r="N65" s="42">
        <f t="shared" si="17"/>
        <v>0</v>
      </c>
      <c r="O65" s="42">
        <f t="shared" si="17"/>
        <v>0</v>
      </c>
      <c r="P65" s="42">
        <f t="shared" si="17"/>
        <v>0</v>
      </c>
      <c r="Q65" s="42">
        <f t="shared" si="17"/>
        <v>0</v>
      </c>
      <c r="R65" s="42">
        <f t="shared" si="17"/>
        <v>0</v>
      </c>
      <c r="S65" s="42">
        <f t="shared" si="17"/>
        <v>0</v>
      </c>
      <c r="T65" s="42">
        <f t="shared" si="17"/>
        <v>0</v>
      </c>
      <c r="U65" s="42">
        <f t="shared" si="17"/>
        <v>0</v>
      </c>
      <c r="V65" s="42">
        <f t="shared" si="17"/>
        <v>0</v>
      </c>
      <c r="W65" s="42">
        <f t="shared" si="17"/>
        <v>0</v>
      </c>
      <c r="X65" s="42">
        <f t="shared" si="17"/>
        <v>0</v>
      </c>
      <c r="Y65" s="42">
        <f t="shared" si="17"/>
        <v>0</v>
      </c>
    </row>
    <row r="66" spans="1:25" x14ac:dyDescent="0.55000000000000004">
      <c r="A66" s="1" t="s">
        <v>93</v>
      </c>
      <c r="B66" s="42">
        <f>SUM(F66:Y66)</f>
        <v>8.3770261970357627</v>
      </c>
      <c r="C66" s="104">
        <f>PMT($B$61,30,-B66)</f>
        <v>0.72487027102928914</v>
      </c>
      <c r="D66" s="1" t="s">
        <v>114</v>
      </c>
      <c r="F66" s="42">
        <f>F55*F57</f>
        <v>0</v>
      </c>
      <c r="G66" s="42">
        <f t="shared" ref="G66:Y66" si="18">G55*G57</f>
        <v>0</v>
      </c>
      <c r="H66" s="42">
        <f t="shared" si="18"/>
        <v>0</v>
      </c>
      <c r="I66" s="42">
        <f t="shared" si="18"/>
        <v>0</v>
      </c>
      <c r="J66" s="42">
        <f t="shared" si="18"/>
        <v>0</v>
      </c>
      <c r="K66" s="42">
        <f t="shared" si="18"/>
        <v>0</v>
      </c>
      <c r="L66" s="42">
        <f t="shared" si="18"/>
        <v>0</v>
      </c>
      <c r="M66" s="42">
        <f t="shared" si="18"/>
        <v>0</v>
      </c>
      <c r="N66" s="42">
        <f t="shared" si="18"/>
        <v>0</v>
      </c>
      <c r="O66" s="42">
        <f t="shared" si="18"/>
        <v>0</v>
      </c>
      <c r="P66" s="42">
        <f t="shared" si="18"/>
        <v>0.89678866109725053</v>
      </c>
      <c r="Q66" s="42">
        <f t="shared" si="18"/>
        <v>1.0988780378585141</v>
      </c>
      <c r="R66" s="42">
        <f t="shared" si="18"/>
        <v>1.0200796147573898</v>
      </c>
      <c r="S66" s="42">
        <f t="shared" si="18"/>
        <v>0.94693167448448201</v>
      </c>
      <c r="T66" s="42">
        <f t="shared" si="18"/>
        <v>0.87902903182242931</v>
      </c>
      <c r="U66" s="42">
        <f t="shared" si="18"/>
        <v>0.8159955566037409</v>
      </c>
      <c r="V66" s="42">
        <f t="shared" si="18"/>
        <v>0.7574820902292515</v>
      </c>
      <c r="W66" s="42">
        <f t="shared" si="18"/>
        <v>0.70316451158901494</v>
      </c>
      <c r="X66" s="42">
        <f t="shared" si="18"/>
        <v>0.65274194167227895</v>
      </c>
      <c r="Y66" s="42">
        <f t="shared" si="18"/>
        <v>0.60593507692141191</v>
      </c>
    </row>
    <row r="67" spans="1:25" x14ac:dyDescent="0.55000000000000004">
      <c r="A67" s="1" t="s">
        <v>94</v>
      </c>
      <c r="B67" s="42">
        <f>B58</f>
        <v>57.161238589407148</v>
      </c>
      <c r="C67" s="104">
        <f>PMT($B$61,30,-B67)</f>
        <v>4.9462042417075329</v>
      </c>
      <c r="D67" s="1" t="s">
        <v>114</v>
      </c>
      <c r="G67" s="1" t="s">
        <v>113</v>
      </c>
    </row>
    <row r="68" spans="1:25" x14ac:dyDescent="0.55000000000000004">
      <c r="G68" s="1" t="s">
        <v>113</v>
      </c>
    </row>
    <row r="69" spans="1:25" x14ac:dyDescent="0.55000000000000004">
      <c r="G69" s="1" t="s">
        <v>113</v>
      </c>
    </row>
    <row r="70" spans="1:25" x14ac:dyDescent="0.55000000000000004">
      <c r="A70" s="1" t="s">
        <v>95</v>
      </c>
      <c r="B70" s="24"/>
      <c r="C70" s="6"/>
    </row>
    <row r="71" spans="1:25" x14ac:dyDescent="0.55000000000000004">
      <c r="A71" s="1" t="s">
        <v>96</v>
      </c>
      <c r="B71" s="10"/>
      <c r="C71" s="6"/>
    </row>
    <row r="72" spans="1:25" x14ac:dyDescent="0.55000000000000004">
      <c r="A72" s="1" t="s">
        <v>97</v>
      </c>
      <c r="B72" s="10"/>
      <c r="C72" s="6"/>
    </row>
    <row r="73" spans="1:25" x14ac:dyDescent="0.55000000000000004">
      <c r="A73" s="1" t="s">
        <v>98</v>
      </c>
      <c r="B73" s="10"/>
      <c r="C73" s="6"/>
    </row>
  </sheetData>
  <sheetProtection algorithmName="SHA-512" hashValue="IOeTJeWcfKCmGY+Tsif8z/veTbcpal2kFkPmaYIrAmkAH8Qp5ZYD0cXfjB/gyL5vfygRNfO1RoB+Ke8Raxf+hQ==" saltValue="BLFMCwCBdVV6nnBHvMwiwg==" spinCount="100000" sheet="1" objects="1" scenarios="1" selectLockedCells="1" selectUnlockedCells="1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32"/>
  <sheetViews>
    <sheetView zoomScaleNormal="100" workbookViewId="0">
      <selection sqref="A1:XFD1048576"/>
    </sheetView>
  </sheetViews>
  <sheetFormatPr defaultRowHeight="14.4" x14ac:dyDescent="0.55000000000000004"/>
  <cols>
    <col min="1" max="1" width="42.734375" style="170" bestFit="1" customWidth="1"/>
    <col min="2" max="2" width="12.41796875" style="170" customWidth="1"/>
    <col min="3" max="3" width="21.1015625" style="170" bestFit="1" customWidth="1"/>
    <col min="4" max="10" width="8.83984375" style="170"/>
    <col min="11" max="11" width="21.1015625" style="170" customWidth="1"/>
    <col min="12" max="12" width="15.20703125" style="170" customWidth="1"/>
    <col min="13" max="13" width="13.1015625" style="170" bestFit="1" customWidth="1"/>
    <col min="14" max="18" width="8.83984375" style="170"/>
    <col min="19" max="19" width="29" style="170" bestFit="1" customWidth="1"/>
    <col min="20" max="20" width="11.68359375" style="170" bestFit="1" customWidth="1"/>
    <col min="21" max="16384" width="8.83984375" style="170"/>
  </cols>
  <sheetData>
    <row r="1" spans="1:13" x14ac:dyDescent="0.55000000000000004">
      <c r="A1" s="168"/>
      <c r="B1" s="168"/>
      <c r="C1" s="169" t="s">
        <v>156</v>
      </c>
    </row>
    <row r="2" spans="1:13" x14ac:dyDescent="0.55000000000000004">
      <c r="C2" s="171"/>
      <c r="D2" s="171"/>
    </row>
    <row r="4" spans="1:13" x14ac:dyDescent="0.55000000000000004">
      <c r="A4" s="172" t="s">
        <v>1</v>
      </c>
      <c r="B4" s="172" t="s">
        <v>168</v>
      </c>
      <c r="C4" s="173" t="s">
        <v>33</v>
      </c>
      <c r="D4" s="174" t="s">
        <v>2</v>
      </c>
    </row>
    <row r="5" spans="1:13" x14ac:dyDescent="0.55000000000000004">
      <c r="A5" s="175" t="s">
        <v>0</v>
      </c>
      <c r="B5" s="175" t="s">
        <v>158</v>
      </c>
      <c r="C5" s="176">
        <v>2015</v>
      </c>
      <c r="D5" s="177"/>
    </row>
    <row r="6" spans="1:13" x14ac:dyDescent="0.55000000000000004">
      <c r="A6" s="178" t="s">
        <v>508</v>
      </c>
      <c r="B6" s="178" t="s">
        <v>170</v>
      </c>
      <c r="C6" s="179">
        <f>250*0.907185</f>
        <v>226.79625000000001</v>
      </c>
    </row>
    <row r="7" spans="1:13" x14ac:dyDescent="0.55000000000000004">
      <c r="A7" s="178" t="s">
        <v>285</v>
      </c>
      <c r="B7" s="178" t="s">
        <v>284</v>
      </c>
      <c r="C7" s="179">
        <f>FeedPerD*MiconYield/HrsPrDay*1000</f>
        <v>28766.647640791478</v>
      </c>
    </row>
    <row r="8" spans="1:13" x14ac:dyDescent="0.55000000000000004">
      <c r="A8" s="178" t="s">
        <v>433</v>
      </c>
      <c r="B8" s="178" t="s">
        <v>428</v>
      </c>
      <c r="C8" s="180">
        <v>0.09</v>
      </c>
      <c r="D8" s="170" t="s">
        <v>542</v>
      </c>
    </row>
    <row r="9" spans="1:13" x14ac:dyDescent="0.55000000000000004">
      <c r="A9" s="178" t="s">
        <v>509</v>
      </c>
      <c r="B9" s="178" t="s">
        <v>169</v>
      </c>
      <c r="C9" s="181">
        <f>FeedPerYr*1000/DaysPrYr/MiconYield</f>
        <v>758.68081689999508</v>
      </c>
      <c r="G9" s="182"/>
    </row>
    <row r="10" spans="1:13" x14ac:dyDescent="0.55000000000000004">
      <c r="A10" s="178" t="s">
        <v>510</v>
      </c>
      <c r="B10" s="178" t="s">
        <v>427</v>
      </c>
      <c r="C10" s="181">
        <f>FeedPerD*DaysPrYr/1000</f>
        <v>249.22664835164838</v>
      </c>
      <c r="G10" s="182"/>
    </row>
    <row r="11" spans="1:13" x14ac:dyDescent="0.55000000000000004">
      <c r="A11" s="178" t="s">
        <v>3</v>
      </c>
      <c r="B11" s="178" t="s">
        <v>159</v>
      </c>
      <c r="C11" s="179">
        <f>365*0.9</f>
        <v>328.5</v>
      </c>
      <c r="D11" s="183" t="s">
        <v>569</v>
      </c>
      <c r="E11" s="184"/>
      <c r="F11" s="184"/>
      <c r="G11" s="184"/>
    </row>
    <row r="12" spans="1:13" x14ac:dyDescent="0.55000000000000004">
      <c r="A12" s="178" t="s">
        <v>4</v>
      </c>
      <c r="B12" s="178" t="s">
        <v>160</v>
      </c>
      <c r="C12" s="185">
        <v>24</v>
      </c>
      <c r="M12" s="186"/>
    </row>
    <row r="13" spans="1:13" x14ac:dyDescent="0.55000000000000004">
      <c r="A13" s="178" t="s">
        <v>511</v>
      </c>
      <c r="B13" s="178" t="s">
        <v>161</v>
      </c>
      <c r="C13" s="187">
        <f>51.5759034084799/0.907185</f>
        <v>56.852685404277963</v>
      </c>
      <c r="D13" s="170" t="s">
        <v>565</v>
      </c>
      <c r="G13" s="188"/>
      <c r="M13" s="186"/>
    </row>
    <row r="14" spans="1:13" x14ac:dyDescent="0.55000000000000004">
      <c r="A14" s="175" t="s">
        <v>25</v>
      </c>
      <c r="B14" s="178" t="s">
        <v>163</v>
      </c>
      <c r="C14" s="189">
        <v>4.224E-2</v>
      </c>
      <c r="D14" s="190" t="s">
        <v>570</v>
      </c>
      <c r="H14" s="184"/>
      <c r="I14" s="184"/>
      <c r="J14" s="184"/>
    </row>
    <row r="15" spans="1:13" x14ac:dyDescent="0.55000000000000004">
      <c r="A15" s="175" t="s">
        <v>26</v>
      </c>
      <c r="B15" s="178" t="s">
        <v>165</v>
      </c>
      <c r="C15" s="191">
        <v>8.8139999999999983</v>
      </c>
      <c r="D15" s="190" t="s">
        <v>571</v>
      </c>
    </row>
    <row r="16" spans="1:13" x14ac:dyDescent="0.55000000000000004">
      <c r="A16" s="175" t="s">
        <v>117</v>
      </c>
      <c r="B16" s="178" t="s">
        <v>164</v>
      </c>
      <c r="C16" s="192">
        <f>C15*0.972762645914397</f>
        <v>8.5739299610894939</v>
      </c>
      <c r="D16" s="190" t="s">
        <v>572</v>
      </c>
      <c r="H16" s="193"/>
      <c r="I16" s="194"/>
    </row>
    <row r="17" spans="1:8" x14ac:dyDescent="0.55000000000000004">
      <c r="A17" s="195" t="s">
        <v>153</v>
      </c>
      <c r="B17" s="196" t="s">
        <v>162</v>
      </c>
      <c r="C17" s="197">
        <v>0.02</v>
      </c>
      <c r="D17" s="183"/>
    </row>
    <row r="18" spans="1:8" x14ac:dyDescent="0.55000000000000004">
      <c r="A18" s="198" t="s">
        <v>396</v>
      </c>
      <c r="B18" s="199" t="s">
        <v>397</v>
      </c>
      <c r="C18" s="200">
        <v>0.5</v>
      </c>
      <c r="D18" s="201" t="s">
        <v>548</v>
      </c>
    </row>
    <row r="19" spans="1:8" x14ac:dyDescent="0.55000000000000004">
      <c r="A19" s="178" t="s">
        <v>512</v>
      </c>
      <c r="B19" s="196" t="s">
        <v>429</v>
      </c>
      <c r="C19" s="202">
        <f>45/0.907185</f>
        <v>49.603994775045884</v>
      </c>
      <c r="D19" s="203" t="s">
        <v>542</v>
      </c>
    </row>
    <row r="20" spans="1:8" x14ac:dyDescent="0.55000000000000004">
      <c r="A20" s="178" t="s">
        <v>430</v>
      </c>
      <c r="B20" s="196" t="s">
        <v>431</v>
      </c>
      <c r="C20" s="204">
        <v>3.54</v>
      </c>
      <c r="D20" s="203"/>
    </row>
    <row r="21" spans="1:8" x14ac:dyDescent="0.55000000000000004">
      <c r="A21" s="195"/>
      <c r="B21" s="205"/>
      <c r="C21" s="206"/>
    </row>
    <row r="22" spans="1:8" x14ac:dyDescent="0.55000000000000004">
      <c r="A22" s="207" t="s">
        <v>221</v>
      </c>
      <c r="B22" s="208" t="s">
        <v>168</v>
      </c>
      <c r="C22" s="209" t="s">
        <v>33</v>
      </c>
      <c r="D22" s="210"/>
      <c r="E22" s="211"/>
    </row>
    <row r="23" spans="1:8" x14ac:dyDescent="0.55000000000000004">
      <c r="A23" s="178" t="s">
        <v>505</v>
      </c>
      <c r="B23" s="212" t="s">
        <v>291</v>
      </c>
      <c r="C23" s="213">
        <v>0.32775317284185512</v>
      </c>
      <c r="D23" s="214"/>
      <c r="E23" s="211"/>
    </row>
    <row r="24" spans="1:8" x14ac:dyDescent="0.55000000000000004">
      <c r="A24" s="198" t="s">
        <v>506</v>
      </c>
      <c r="B24" s="199" t="s">
        <v>292</v>
      </c>
      <c r="C24" s="215">
        <f>FeedPerYr*1000*SugarYield</f>
        <v>74333.190526134596</v>
      </c>
      <c r="D24" s="211"/>
      <c r="E24" s="211"/>
    </row>
    <row r="25" spans="1:8" x14ac:dyDescent="0.55000000000000004">
      <c r="A25" s="198" t="s">
        <v>507</v>
      </c>
      <c r="B25" s="199" t="s">
        <v>358</v>
      </c>
      <c r="C25" s="213">
        <v>0.68279953027078477</v>
      </c>
      <c r="D25" s="211"/>
      <c r="E25" s="211"/>
    </row>
    <row r="26" spans="1:8" x14ac:dyDescent="0.55000000000000004">
      <c r="A26" s="198" t="s">
        <v>504</v>
      </c>
      <c r="B26" s="199" t="s">
        <v>432</v>
      </c>
      <c r="C26" s="216">
        <f>1-ScreenLoss</f>
        <v>0.91</v>
      </c>
      <c r="D26" s="211"/>
      <c r="H26" s="217"/>
    </row>
    <row r="27" spans="1:8" x14ac:dyDescent="0.55000000000000004">
      <c r="H27" s="211"/>
    </row>
    <row r="28" spans="1:8" x14ac:dyDescent="0.55000000000000004">
      <c r="H28" s="218"/>
    </row>
    <row r="29" spans="1:8" x14ac:dyDescent="0.55000000000000004">
      <c r="A29" s="219" t="s">
        <v>129</v>
      </c>
      <c r="B29" s="220"/>
    </row>
    <row r="30" spans="1:8" x14ac:dyDescent="0.55000000000000004">
      <c r="A30" s="178" t="s">
        <v>128</v>
      </c>
      <c r="B30" s="221">
        <v>0.90718500000000002</v>
      </c>
    </row>
    <row r="31" spans="1:8" x14ac:dyDescent="0.55000000000000004">
      <c r="A31" s="178" t="s">
        <v>130</v>
      </c>
      <c r="B31" s="221">
        <v>3.7854100000000002</v>
      </c>
    </row>
    <row r="32" spans="1:8" x14ac:dyDescent="0.55000000000000004">
      <c r="A32" s="178" t="s">
        <v>134</v>
      </c>
      <c r="B32" s="215">
        <v>1055.06</v>
      </c>
    </row>
  </sheetData>
  <sheetProtection algorithmName="SHA-512" hashValue="Otacj+vQQpaXugb+wS3SJ4bRJUpzuxKzEcqKkwoFvEnTRnaleYOp8d+AwukQLb9zmnwWrNuIcPI7jqRU8nd6Vg==" saltValue="XUWTEb4S1XfNbA9eqqRKh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5812-B24C-401B-B267-61E1987B8D3B}">
  <sheetPr codeName="Sheet11"/>
  <dimension ref="A1:X108"/>
  <sheetViews>
    <sheetView zoomScaleNormal="100" workbookViewId="0">
      <selection sqref="A1:XFD1048576"/>
    </sheetView>
  </sheetViews>
  <sheetFormatPr defaultRowHeight="14.4" x14ac:dyDescent="0.55000000000000004"/>
  <cols>
    <col min="1" max="1" width="29" style="105" customWidth="1"/>
    <col min="2" max="2" width="14.47265625" style="105" customWidth="1"/>
    <col min="3" max="6" width="16" style="105" customWidth="1"/>
    <col min="7" max="25" width="16.578125" style="105" customWidth="1"/>
    <col min="26" max="16384" width="8.83984375" style="105"/>
  </cols>
  <sheetData>
    <row r="1" spans="1:20" x14ac:dyDescent="0.55000000000000004">
      <c r="A1" s="105" t="s">
        <v>468</v>
      </c>
    </row>
    <row r="2" spans="1:20" x14ac:dyDescent="0.55000000000000004">
      <c r="A2" s="107"/>
    </row>
    <row r="3" spans="1:20" x14ac:dyDescent="0.55000000000000004">
      <c r="A3" s="147" t="s">
        <v>533</v>
      </c>
      <c r="B3" s="147" t="s">
        <v>532</v>
      </c>
      <c r="C3" s="222" t="s">
        <v>33</v>
      </c>
      <c r="H3" s="223" t="s">
        <v>535</v>
      </c>
      <c r="I3" s="223" t="s">
        <v>168</v>
      </c>
      <c r="J3" s="115" t="s">
        <v>534</v>
      </c>
    </row>
    <row r="4" spans="1:20" x14ac:dyDescent="0.55000000000000004">
      <c r="A4" s="224" t="s">
        <v>40</v>
      </c>
      <c r="B4" s="225" t="s">
        <v>126</v>
      </c>
      <c r="C4" s="226">
        <f>CAPEX!C22*1000000</f>
        <v>106606485.36137515</v>
      </c>
      <c r="H4" s="227" t="s">
        <v>157</v>
      </c>
      <c r="I4" s="228" t="s">
        <v>182</v>
      </c>
      <c r="J4" s="229">
        <f>CAPEX!C23</f>
        <v>120.42774132496913</v>
      </c>
    </row>
    <row r="5" spans="1:20" x14ac:dyDescent="0.55000000000000004">
      <c r="A5" s="129" t="s">
        <v>183</v>
      </c>
      <c r="B5" s="230" t="s">
        <v>184</v>
      </c>
      <c r="C5" s="122">
        <f>CAPEX!B1*1000000</f>
        <v>1806416.1198745368</v>
      </c>
      <c r="H5" s="231" t="s">
        <v>42</v>
      </c>
      <c r="I5" s="225" t="s">
        <v>42</v>
      </c>
      <c r="J5" s="232">
        <v>0.3</v>
      </c>
      <c r="T5" s="107"/>
    </row>
    <row r="6" spans="1:20" x14ac:dyDescent="0.55000000000000004">
      <c r="A6" s="233" t="s">
        <v>157</v>
      </c>
      <c r="B6" s="120" t="s">
        <v>182</v>
      </c>
      <c r="C6" s="273">
        <f>TPI*1000000</f>
        <v>120427741.32496913</v>
      </c>
      <c r="H6" s="234" t="s">
        <v>43</v>
      </c>
      <c r="I6" s="230" t="s">
        <v>179</v>
      </c>
      <c r="J6" s="235">
        <v>0.08</v>
      </c>
    </row>
    <row r="7" spans="1:20" x14ac:dyDescent="0.55000000000000004">
      <c r="A7" s="224" t="s">
        <v>46</v>
      </c>
      <c r="B7" s="120"/>
      <c r="C7" s="160"/>
      <c r="H7" s="234" t="s">
        <v>44</v>
      </c>
      <c r="I7" s="230" t="s">
        <v>180</v>
      </c>
      <c r="J7" s="236">
        <v>10</v>
      </c>
    </row>
    <row r="8" spans="1:20" x14ac:dyDescent="0.55000000000000004">
      <c r="A8" s="129" t="s">
        <v>41</v>
      </c>
      <c r="B8" s="230" t="s">
        <v>178</v>
      </c>
      <c r="C8" s="160">
        <v>7</v>
      </c>
      <c r="D8" s="117" t="s">
        <v>574</v>
      </c>
      <c r="H8" s="234" t="s">
        <v>141</v>
      </c>
      <c r="I8" s="230" t="s">
        <v>181</v>
      </c>
      <c r="J8" s="122">
        <f>-PMT(J6,J7,J4*(1-J5))</f>
        <v>12.563099300222664</v>
      </c>
    </row>
    <row r="9" spans="1:20" x14ac:dyDescent="0.55000000000000004">
      <c r="A9" s="224" t="s">
        <v>48</v>
      </c>
      <c r="B9" s="225" t="s">
        <v>185</v>
      </c>
      <c r="C9" s="160">
        <v>3</v>
      </c>
      <c r="H9" s="231" t="s">
        <v>145</v>
      </c>
      <c r="I9" s="237"/>
      <c r="J9" s="238">
        <v>0.2</v>
      </c>
    </row>
    <row r="10" spans="1:20" x14ac:dyDescent="0.55000000000000004">
      <c r="A10" s="129" t="s">
        <v>175</v>
      </c>
      <c r="B10" s="230" t="s">
        <v>172</v>
      </c>
      <c r="C10" s="159">
        <v>0.08</v>
      </c>
      <c r="F10" s="117"/>
      <c r="G10" s="117"/>
      <c r="H10" s="239" t="s">
        <v>155</v>
      </c>
      <c r="I10" s="240" t="s">
        <v>171</v>
      </c>
      <c r="J10" s="241">
        <v>0.1</v>
      </c>
    </row>
    <row r="11" spans="1:20" x14ac:dyDescent="0.55000000000000004">
      <c r="A11" s="129" t="s">
        <v>176</v>
      </c>
      <c r="B11" s="230" t="s">
        <v>173</v>
      </c>
      <c r="C11" s="159">
        <v>0.6</v>
      </c>
      <c r="F11" s="117"/>
      <c r="G11" s="117"/>
      <c r="H11" s="239" t="s">
        <v>154</v>
      </c>
      <c r="I11" s="240" t="s">
        <v>167</v>
      </c>
      <c r="J11" s="242">
        <f>(1+J10)*(1+InfRate)-1</f>
        <v>0.12200000000000011</v>
      </c>
    </row>
    <row r="12" spans="1:20" x14ac:dyDescent="0.55000000000000004">
      <c r="A12" s="129" t="s">
        <v>177</v>
      </c>
      <c r="B12" s="230" t="s">
        <v>174</v>
      </c>
      <c r="C12" s="159">
        <v>0.32000000000000006</v>
      </c>
      <c r="F12" s="243"/>
      <c r="G12" s="244"/>
      <c r="H12" s="245" t="s">
        <v>56</v>
      </c>
      <c r="I12" s="240" t="s">
        <v>166</v>
      </c>
      <c r="J12" s="246">
        <v>0.16900000000000001</v>
      </c>
    </row>
    <row r="13" spans="1:20" x14ac:dyDescent="0.55000000000000004">
      <c r="A13" s="129" t="s">
        <v>52</v>
      </c>
      <c r="B13" s="120" t="s">
        <v>469</v>
      </c>
      <c r="C13" s="160">
        <v>0.75</v>
      </c>
      <c r="H13" s="117"/>
    </row>
    <row r="14" spans="1:20" x14ac:dyDescent="0.55000000000000004">
      <c r="A14" s="129" t="s">
        <v>125</v>
      </c>
      <c r="B14" s="120" t="s">
        <v>470</v>
      </c>
      <c r="C14" s="159">
        <v>0.5</v>
      </c>
      <c r="H14" s="117"/>
    </row>
    <row r="15" spans="1:20" x14ac:dyDescent="0.55000000000000004">
      <c r="A15" s="129" t="s">
        <v>53</v>
      </c>
      <c r="B15" s="120" t="s">
        <v>471</v>
      </c>
      <c r="C15" s="159">
        <v>0.75</v>
      </c>
      <c r="H15" s="117"/>
    </row>
    <row r="16" spans="1:20" x14ac:dyDescent="0.55000000000000004">
      <c r="A16" s="129" t="s">
        <v>54</v>
      </c>
      <c r="B16" s="120" t="s">
        <v>472</v>
      </c>
      <c r="C16" s="159">
        <v>1</v>
      </c>
      <c r="H16" s="117"/>
    </row>
    <row r="17" spans="1:20" x14ac:dyDescent="0.55000000000000004">
      <c r="A17" s="129" t="s">
        <v>151</v>
      </c>
      <c r="B17" s="120" t="s">
        <v>473</v>
      </c>
      <c r="C17" s="159">
        <v>0.5</v>
      </c>
      <c r="H17" s="117"/>
    </row>
    <row r="18" spans="1:20" x14ac:dyDescent="0.55000000000000004">
      <c r="A18" s="247" t="s">
        <v>154</v>
      </c>
      <c r="B18" s="120" t="s">
        <v>167</v>
      </c>
      <c r="C18" s="248">
        <f>(1+RealDiscRate)*(1+InfRate)-1</f>
        <v>0.12200000000000011</v>
      </c>
      <c r="H18" s="117"/>
    </row>
    <row r="19" spans="1:20" x14ac:dyDescent="0.55000000000000004">
      <c r="A19" s="247"/>
      <c r="B19" s="120" t="s">
        <v>474</v>
      </c>
      <c r="C19" s="160">
        <v>2</v>
      </c>
      <c r="H19" s="117"/>
    </row>
    <row r="20" spans="1:20" x14ac:dyDescent="0.55000000000000004">
      <c r="A20" s="249" t="s">
        <v>518</v>
      </c>
      <c r="C20" s="250">
        <v>495.87171648855542</v>
      </c>
      <c r="H20" s="117"/>
    </row>
    <row r="22" spans="1:20" x14ac:dyDescent="0.55000000000000004">
      <c r="A22" s="249" t="s">
        <v>475</v>
      </c>
      <c r="B22" s="251">
        <f>X107</f>
        <v>-7.8855298207192921E-9</v>
      </c>
    </row>
    <row r="24" spans="1:20" x14ac:dyDescent="0.55000000000000004">
      <c r="O24" s="123"/>
      <c r="P24" s="123"/>
      <c r="Q24" s="252"/>
      <c r="R24" s="123"/>
      <c r="S24" s="123"/>
    </row>
    <row r="25" spans="1:20" x14ac:dyDescent="0.55000000000000004">
      <c r="B25" s="105" t="s">
        <v>146</v>
      </c>
      <c r="O25" s="123"/>
      <c r="P25" s="123"/>
      <c r="Q25" s="253"/>
      <c r="R25" s="123"/>
      <c r="S25" s="123"/>
    </row>
    <row r="26" spans="1:20" x14ac:dyDescent="0.55000000000000004">
      <c r="O26" s="123"/>
      <c r="P26" s="123"/>
      <c r="Q26" s="253"/>
      <c r="R26" s="123"/>
      <c r="S26" s="123"/>
    </row>
    <row r="27" spans="1:20" s="254" customFormat="1" ht="28.8" x14ac:dyDescent="0.55000000000000004">
      <c r="B27" s="255" t="s">
        <v>16</v>
      </c>
      <c r="C27" s="256" t="s">
        <v>476</v>
      </c>
      <c r="D27" s="256" t="s">
        <v>68</v>
      </c>
      <c r="E27" s="256" t="s">
        <v>67</v>
      </c>
      <c r="F27" s="256" t="s">
        <v>477</v>
      </c>
      <c r="G27" s="256" t="s">
        <v>501</v>
      </c>
      <c r="H27" s="256" t="s">
        <v>104</v>
      </c>
      <c r="I27" s="256" t="s">
        <v>478</v>
      </c>
      <c r="J27" s="256" t="s">
        <v>479</v>
      </c>
      <c r="K27" s="256" t="s">
        <v>30</v>
      </c>
      <c r="L27" s="256" t="s">
        <v>76</v>
      </c>
      <c r="M27" s="256" t="s">
        <v>81</v>
      </c>
      <c r="O27" s="123"/>
      <c r="P27" s="123"/>
      <c r="Q27" s="253"/>
      <c r="R27" s="123"/>
      <c r="S27" s="123"/>
      <c r="T27" s="105"/>
    </row>
    <row r="28" spans="1:20" x14ac:dyDescent="0.55000000000000004">
      <c r="B28" s="117">
        <v>1</v>
      </c>
      <c r="C28" s="257">
        <f>-FCI*SpendYr1</f>
        <v>-8528518.8289100118</v>
      </c>
      <c r="D28" s="257"/>
      <c r="E28" s="257">
        <f>LandCost</f>
        <v>1806416.1198745368</v>
      </c>
      <c r="F28" s="257">
        <v>0</v>
      </c>
      <c r="G28" s="257">
        <v>0</v>
      </c>
      <c r="H28" s="257">
        <v>0</v>
      </c>
      <c r="I28" s="257">
        <v>0</v>
      </c>
      <c r="J28" s="257">
        <v>0</v>
      </c>
      <c r="K28" s="257">
        <v>0</v>
      </c>
      <c r="L28" s="257">
        <v>0</v>
      </c>
      <c r="M28" s="257">
        <f>C28+H28-L28-D28-E28</f>
        <v>-10334934.948784549</v>
      </c>
      <c r="O28" s="123"/>
      <c r="P28" s="123"/>
      <c r="Q28" s="253"/>
      <c r="R28" s="123"/>
      <c r="S28" s="123"/>
    </row>
    <row r="29" spans="1:20" x14ac:dyDescent="0.55000000000000004">
      <c r="B29" s="117">
        <v>2</v>
      </c>
      <c r="C29" s="257">
        <f>-FCI*SpendYr2</f>
        <v>-63963891.21682509</v>
      </c>
      <c r="D29" s="257"/>
      <c r="E29" s="257"/>
      <c r="F29" s="257">
        <v>0</v>
      </c>
      <c r="G29" s="257">
        <v>0</v>
      </c>
      <c r="H29" s="257">
        <v>0</v>
      </c>
      <c r="I29" s="257">
        <v>0</v>
      </c>
      <c r="J29" s="257">
        <v>0</v>
      </c>
      <c r="K29" s="257">
        <v>0</v>
      </c>
      <c r="L29" s="257">
        <v>0</v>
      </c>
      <c r="M29" s="257">
        <f>C29+H29-L29-D29</f>
        <v>-63963891.21682509</v>
      </c>
      <c r="O29" s="117"/>
      <c r="P29" s="117"/>
      <c r="Q29" s="117"/>
      <c r="R29" s="258"/>
    </row>
    <row r="30" spans="1:20" x14ac:dyDescent="0.55000000000000004">
      <c r="B30" s="117">
        <v>3</v>
      </c>
      <c r="C30" s="257">
        <f>-FCI*SpendYr3</f>
        <v>-34114075.315640055</v>
      </c>
      <c r="D30" s="257">
        <f>CAPEX!C12-CAPEX!C11</f>
        <v>13821255.963593975</v>
      </c>
      <c r="E30" s="257"/>
      <c r="F30" s="257">
        <v>0</v>
      </c>
      <c r="G30" s="257">
        <v>0</v>
      </c>
      <c r="H30" s="257">
        <v>0</v>
      </c>
      <c r="I30" s="257">
        <v>0</v>
      </c>
      <c r="J30" s="257">
        <v>0</v>
      </c>
      <c r="K30" s="257">
        <v>0</v>
      </c>
      <c r="L30" s="257">
        <v>0</v>
      </c>
      <c r="M30" s="257">
        <f>C30+H30-L30-D30-E30</f>
        <v>-47935331.279234029</v>
      </c>
      <c r="O30" s="117"/>
      <c r="P30" s="117"/>
      <c r="Q30" s="117"/>
      <c r="R30" s="258"/>
    </row>
    <row r="31" spans="1:20" x14ac:dyDescent="0.55000000000000004">
      <c r="B31" s="117">
        <v>4</v>
      </c>
      <c r="C31" s="257"/>
      <c r="D31" s="257"/>
      <c r="E31" s="257"/>
      <c r="F31" s="257">
        <f>SUMMARY!E8*1000000*(1-StartUp)+ProdRamp*StartUp*SUMMARY!E8*1000000</f>
        <v>23037329.23641574</v>
      </c>
      <c r="G31" s="257">
        <f>(SUMMARY!$E$9+SUMMARY!$E$10)*1000000*(1-StartUp)+ProdRamp*StartUp*(SUMMARY!$E$9+SUMMARY!$E$10)*1000000</f>
        <v>30079036.012291946</v>
      </c>
      <c r="H31" s="257">
        <f>F31+G31</f>
        <v>53116365.248707682</v>
      </c>
      <c r="I31" s="257">
        <f>OPEX!$B$3*1000000*(1-StartUp)+OPEX!$B$3*StartUp*StartupFuel*1000000</f>
        <v>8855752.6456867978</v>
      </c>
      <c r="J31" s="257">
        <f>OPEX!B14*1000000*(1-StartUp)+OPEX!B14*1000000*StartUp*StartupVar</f>
        <v>30775936.625658885</v>
      </c>
      <c r="K31" s="257">
        <f>OPEX!$D$21*1000000</f>
        <v>17058999.737906225</v>
      </c>
      <c r="L31" s="257">
        <f t="shared" ref="L31:L50" si="0">SUM(I31:K31)</f>
        <v>56690689.009251907</v>
      </c>
      <c r="M31" s="257">
        <f t="shared" ref="M31:M49" si="1">C31-D31+H31-L31</f>
        <v>-3574323.7605442256</v>
      </c>
      <c r="O31" s="117"/>
      <c r="P31" s="117"/>
      <c r="Q31" s="117"/>
      <c r="R31" s="258"/>
    </row>
    <row r="32" spans="1:20" x14ac:dyDescent="0.55000000000000004">
      <c r="B32" s="117">
        <v>5</v>
      </c>
      <c r="C32" s="257"/>
      <c r="D32" s="257"/>
      <c r="E32" s="257"/>
      <c r="F32" s="259">
        <f>SUMMARY!$E$8*1000000</f>
        <v>36859726.778265186</v>
      </c>
      <c r="G32" s="257">
        <f>(SUMMARY!$E$9+SUMMARY!$E$10)*1000000</f>
        <v>48126457.619667113</v>
      </c>
      <c r="H32" s="257">
        <f t="shared" ref="H32:H50" si="2">F32+G32</f>
        <v>84986184.397932291</v>
      </c>
      <c r="I32" s="257">
        <f>OPEX!$B$3*1000000</f>
        <v>14169204.233098878</v>
      </c>
      <c r="J32" s="257">
        <f>OPEX!$B$14*1000000</f>
        <v>37878075.846964784</v>
      </c>
      <c r="K32" s="257">
        <f>OPEX!$D$21*1000000</f>
        <v>17058999.737906225</v>
      </c>
      <c r="L32" s="257">
        <f t="shared" si="0"/>
        <v>69106279.817969888</v>
      </c>
      <c r="M32" s="257">
        <f t="shared" si="1"/>
        <v>15879904.579962403</v>
      </c>
      <c r="O32" s="260"/>
      <c r="P32" s="260"/>
      <c r="Q32" s="261"/>
      <c r="R32" s="258"/>
    </row>
    <row r="33" spans="2:18" x14ac:dyDescent="0.55000000000000004">
      <c r="B33" s="117">
        <v>6</v>
      </c>
      <c r="C33" s="257"/>
      <c r="D33" s="257"/>
      <c r="E33" s="257"/>
      <c r="F33" s="259">
        <f>SUMMARY!$E$8*1000000</f>
        <v>36859726.778265186</v>
      </c>
      <c r="G33" s="257">
        <f>(SUMMARY!$E$9+SUMMARY!$E$10)*1000000</f>
        <v>48126457.619667113</v>
      </c>
      <c r="H33" s="257">
        <f t="shared" si="2"/>
        <v>84986184.397932291</v>
      </c>
      <c r="I33" s="257">
        <f>OPEX!$B$3*1000000</f>
        <v>14169204.233098878</v>
      </c>
      <c r="J33" s="257">
        <f>OPEX!$B$14*1000000</f>
        <v>37878075.846964784</v>
      </c>
      <c r="K33" s="257">
        <f>OPEX!$D$21*1000000</f>
        <v>17058999.737906225</v>
      </c>
      <c r="L33" s="257">
        <f t="shared" si="0"/>
        <v>69106279.817969888</v>
      </c>
      <c r="M33" s="257">
        <f t="shared" si="1"/>
        <v>15879904.579962403</v>
      </c>
      <c r="O33" s="260"/>
      <c r="P33" s="260"/>
      <c r="Q33" s="262"/>
      <c r="R33" s="258"/>
    </row>
    <row r="34" spans="2:18" x14ac:dyDescent="0.55000000000000004">
      <c r="B34" s="117">
        <v>7</v>
      </c>
      <c r="C34" s="257"/>
      <c r="D34" s="257"/>
      <c r="E34" s="257"/>
      <c r="F34" s="259">
        <f>SUMMARY!$E$8*1000000</f>
        <v>36859726.778265186</v>
      </c>
      <c r="G34" s="257">
        <f>(SUMMARY!$E$9+SUMMARY!$E$10)*1000000</f>
        <v>48126457.619667113</v>
      </c>
      <c r="H34" s="257">
        <f t="shared" si="2"/>
        <v>84986184.397932291</v>
      </c>
      <c r="I34" s="257">
        <f>OPEX!$B$3*1000000</f>
        <v>14169204.233098878</v>
      </c>
      <c r="J34" s="257">
        <f>OPEX!$B$14*1000000</f>
        <v>37878075.846964784</v>
      </c>
      <c r="K34" s="257">
        <f>OPEX!$D$21*1000000</f>
        <v>17058999.737906225</v>
      </c>
      <c r="L34" s="257">
        <f t="shared" si="0"/>
        <v>69106279.817969888</v>
      </c>
      <c r="M34" s="257">
        <f t="shared" si="1"/>
        <v>15879904.579962403</v>
      </c>
    </row>
    <row r="35" spans="2:18" x14ac:dyDescent="0.55000000000000004">
      <c r="B35" s="117">
        <v>8</v>
      </c>
      <c r="C35" s="257"/>
      <c r="D35" s="257"/>
      <c r="E35" s="257"/>
      <c r="F35" s="259">
        <f>SUMMARY!$E$8*1000000</f>
        <v>36859726.778265186</v>
      </c>
      <c r="G35" s="257">
        <f>(SUMMARY!$E$9+SUMMARY!$E$10)*1000000</f>
        <v>48126457.619667113</v>
      </c>
      <c r="H35" s="257">
        <f t="shared" si="2"/>
        <v>84986184.397932291</v>
      </c>
      <c r="I35" s="257">
        <f>OPEX!$B$3*1000000</f>
        <v>14169204.233098878</v>
      </c>
      <c r="J35" s="257">
        <f>OPEX!$B$14*1000000</f>
        <v>37878075.846964784</v>
      </c>
      <c r="K35" s="257">
        <f>OPEX!$D$21*1000000</f>
        <v>17058999.737906225</v>
      </c>
      <c r="L35" s="257">
        <f t="shared" si="0"/>
        <v>69106279.817969888</v>
      </c>
      <c r="M35" s="257">
        <f t="shared" si="1"/>
        <v>15879904.579962403</v>
      </c>
    </row>
    <row r="36" spans="2:18" x14ac:dyDescent="0.55000000000000004">
      <c r="B36" s="117">
        <v>9</v>
      </c>
      <c r="C36" s="257"/>
      <c r="D36" s="257"/>
      <c r="E36" s="257"/>
      <c r="F36" s="259">
        <f>SUMMARY!$E$8*1000000</f>
        <v>36859726.778265186</v>
      </c>
      <c r="G36" s="257">
        <f>(SUMMARY!$E$9+SUMMARY!$E$10)*1000000</f>
        <v>48126457.619667113</v>
      </c>
      <c r="H36" s="257">
        <f t="shared" si="2"/>
        <v>84986184.397932291</v>
      </c>
      <c r="I36" s="257">
        <f>OPEX!$B$3*1000000</f>
        <v>14169204.233098878</v>
      </c>
      <c r="J36" s="257">
        <f>OPEX!$B$14*1000000</f>
        <v>37878075.846964784</v>
      </c>
      <c r="K36" s="257">
        <f>OPEX!$D$21*1000000</f>
        <v>17058999.737906225</v>
      </c>
      <c r="L36" s="257">
        <f t="shared" si="0"/>
        <v>69106279.817969888</v>
      </c>
      <c r="M36" s="257">
        <f t="shared" si="1"/>
        <v>15879904.579962403</v>
      </c>
    </row>
    <row r="37" spans="2:18" x14ac:dyDescent="0.55000000000000004">
      <c r="B37" s="117">
        <v>10</v>
      </c>
      <c r="C37" s="257"/>
      <c r="D37" s="257"/>
      <c r="E37" s="257"/>
      <c r="F37" s="259">
        <f>SUMMARY!$E$8*1000000</f>
        <v>36859726.778265186</v>
      </c>
      <c r="G37" s="257">
        <f>(SUMMARY!$E$9+SUMMARY!$E$10)*1000000</f>
        <v>48126457.619667113</v>
      </c>
      <c r="H37" s="257">
        <f t="shared" si="2"/>
        <v>84986184.397932291</v>
      </c>
      <c r="I37" s="257">
        <f>OPEX!$B$3*1000000</f>
        <v>14169204.233098878</v>
      </c>
      <c r="J37" s="257">
        <f>OPEX!$B$14*1000000</f>
        <v>37878075.846964784</v>
      </c>
      <c r="K37" s="257">
        <f>OPEX!$D$21*1000000</f>
        <v>17058999.737906225</v>
      </c>
      <c r="L37" s="257">
        <f t="shared" si="0"/>
        <v>69106279.817969888</v>
      </c>
      <c r="M37" s="257">
        <f t="shared" si="1"/>
        <v>15879904.579962403</v>
      </c>
    </row>
    <row r="38" spans="2:18" x14ac:dyDescent="0.55000000000000004">
      <c r="B38" s="117">
        <v>11</v>
      </c>
      <c r="C38" s="257"/>
      <c r="D38" s="257"/>
      <c r="E38" s="257"/>
      <c r="F38" s="259">
        <f>SUMMARY!$E$8*1000000</f>
        <v>36859726.778265186</v>
      </c>
      <c r="G38" s="257">
        <f>(SUMMARY!$E$9+SUMMARY!$E$10)*1000000</f>
        <v>48126457.619667113</v>
      </c>
      <c r="H38" s="257">
        <f t="shared" si="2"/>
        <v>84986184.397932291</v>
      </c>
      <c r="I38" s="257">
        <f>OPEX!$B$3*1000000</f>
        <v>14169204.233098878</v>
      </c>
      <c r="J38" s="257">
        <f>OPEX!$B$14*1000000</f>
        <v>37878075.846964784</v>
      </c>
      <c r="K38" s="257">
        <f>OPEX!$D$21*1000000</f>
        <v>17058999.737906225</v>
      </c>
      <c r="L38" s="257">
        <f t="shared" si="0"/>
        <v>69106279.817969888</v>
      </c>
      <c r="M38" s="257">
        <f t="shared" si="1"/>
        <v>15879904.579962403</v>
      </c>
    </row>
    <row r="39" spans="2:18" x14ac:dyDescent="0.55000000000000004">
      <c r="B39" s="117">
        <v>12</v>
      </c>
      <c r="C39" s="257"/>
      <c r="D39" s="257"/>
      <c r="E39" s="257"/>
      <c r="F39" s="259">
        <f>SUMMARY!$E$8*1000000</f>
        <v>36859726.778265186</v>
      </c>
      <c r="G39" s="257">
        <f>(SUMMARY!$E$9+SUMMARY!$E$10)*1000000</f>
        <v>48126457.619667113</v>
      </c>
      <c r="H39" s="257">
        <f t="shared" si="2"/>
        <v>84986184.397932291</v>
      </c>
      <c r="I39" s="257">
        <f>OPEX!$B$3*1000000</f>
        <v>14169204.233098878</v>
      </c>
      <c r="J39" s="257">
        <f>OPEX!$B$14*1000000</f>
        <v>37878075.846964784</v>
      </c>
      <c r="K39" s="257">
        <f>OPEX!$D$21*1000000</f>
        <v>17058999.737906225</v>
      </c>
      <c r="L39" s="257">
        <f t="shared" si="0"/>
        <v>69106279.817969888</v>
      </c>
      <c r="M39" s="257">
        <f t="shared" si="1"/>
        <v>15879904.579962403</v>
      </c>
    </row>
    <row r="40" spans="2:18" x14ac:dyDescent="0.55000000000000004">
      <c r="B40" s="117">
        <v>13</v>
      </c>
      <c r="C40" s="257"/>
      <c r="D40" s="257"/>
      <c r="E40" s="257"/>
      <c r="F40" s="259">
        <f>SUMMARY!$E$8*1000000</f>
        <v>36859726.778265186</v>
      </c>
      <c r="G40" s="257">
        <f>(SUMMARY!$E$9+SUMMARY!$E$10)*1000000</f>
        <v>48126457.619667113</v>
      </c>
      <c r="H40" s="257">
        <f t="shared" si="2"/>
        <v>84986184.397932291</v>
      </c>
      <c r="I40" s="257">
        <f>OPEX!$B$3*1000000</f>
        <v>14169204.233098878</v>
      </c>
      <c r="J40" s="257">
        <f>OPEX!$B$14*1000000</f>
        <v>37878075.846964784</v>
      </c>
      <c r="K40" s="257">
        <f>OPEX!$D$21*1000000</f>
        <v>17058999.737906225</v>
      </c>
      <c r="L40" s="257">
        <f t="shared" si="0"/>
        <v>69106279.817969888</v>
      </c>
      <c r="M40" s="257">
        <f t="shared" si="1"/>
        <v>15879904.579962403</v>
      </c>
    </row>
    <row r="41" spans="2:18" x14ac:dyDescent="0.55000000000000004">
      <c r="B41" s="117">
        <v>14</v>
      </c>
      <c r="C41" s="257"/>
      <c r="D41" s="257"/>
      <c r="E41" s="257"/>
      <c r="F41" s="259">
        <f>SUMMARY!$E$8*1000000</f>
        <v>36859726.778265186</v>
      </c>
      <c r="G41" s="257">
        <f>(SUMMARY!$E$9+SUMMARY!$E$10)*1000000</f>
        <v>48126457.619667113</v>
      </c>
      <c r="H41" s="257">
        <f t="shared" si="2"/>
        <v>84986184.397932291</v>
      </c>
      <c r="I41" s="257">
        <f>OPEX!$B$3*1000000</f>
        <v>14169204.233098878</v>
      </c>
      <c r="J41" s="257">
        <f>OPEX!$B$14*1000000</f>
        <v>37878075.846964784</v>
      </c>
      <c r="K41" s="257">
        <f>OPEX!$D$21*1000000</f>
        <v>17058999.737906225</v>
      </c>
      <c r="L41" s="257">
        <f t="shared" si="0"/>
        <v>69106279.817969888</v>
      </c>
      <c r="M41" s="257">
        <f t="shared" si="1"/>
        <v>15879904.579962403</v>
      </c>
    </row>
    <row r="42" spans="2:18" x14ac:dyDescent="0.55000000000000004">
      <c r="B42" s="117">
        <v>15</v>
      </c>
      <c r="C42" s="257"/>
      <c r="D42" s="257"/>
      <c r="E42" s="257"/>
      <c r="F42" s="259">
        <f>SUMMARY!$E$8*1000000</f>
        <v>36859726.778265186</v>
      </c>
      <c r="G42" s="257">
        <f>(SUMMARY!$E$9+SUMMARY!$E$10)*1000000</f>
        <v>48126457.619667113</v>
      </c>
      <c r="H42" s="257">
        <f t="shared" si="2"/>
        <v>84986184.397932291</v>
      </c>
      <c r="I42" s="257">
        <f>OPEX!$B$3*1000000</f>
        <v>14169204.233098878</v>
      </c>
      <c r="J42" s="257">
        <f>OPEX!$B$14*1000000</f>
        <v>37878075.846964784</v>
      </c>
      <c r="K42" s="257">
        <f>OPEX!$D$21*1000000</f>
        <v>17058999.737906225</v>
      </c>
      <c r="L42" s="257">
        <f t="shared" si="0"/>
        <v>69106279.817969888</v>
      </c>
      <c r="M42" s="257">
        <f t="shared" si="1"/>
        <v>15879904.579962403</v>
      </c>
    </row>
    <row r="43" spans="2:18" x14ac:dyDescent="0.55000000000000004">
      <c r="B43" s="117">
        <v>16</v>
      </c>
      <c r="C43" s="257"/>
      <c r="D43" s="257"/>
      <c r="E43" s="257"/>
      <c r="F43" s="259">
        <f>SUMMARY!$E$8*1000000</f>
        <v>36859726.778265186</v>
      </c>
      <c r="G43" s="257">
        <f>(SUMMARY!$E$9+SUMMARY!$E$10)*1000000</f>
        <v>48126457.619667113</v>
      </c>
      <c r="H43" s="257">
        <f t="shared" si="2"/>
        <v>84986184.397932291</v>
      </c>
      <c r="I43" s="257">
        <f>OPEX!$B$3*1000000</f>
        <v>14169204.233098878</v>
      </c>
      <c r="J43" s="257">
        <f>OPEX!$B$14*1000000</f>
        <v>37878075.846964784</v>
      </c>
      <c r="K43" s="257">
        <f>OPEX!$D$21*1000000</f>
        <v>17058999.737906225</v>
      </c>
      <c r="L43" s="257">
        <f t="shared" si="0"/>
        <v>69106279.817969888</v>
      </c>
      <c r="M43" s="257">
        <f t="shared" si="1"/>
        <v>15879904.579962403</v>
      </c>
    </row>
    <row r="44" spans="2:18" x14ac:dyDescent="0.55000000000000004">
      <c r="B44" s="117">
        <v>17</v>
      </c>
      <c r="C44" s="257"/>
      <c r="D44" s="257"/>
      <c r="E44" s="257"/>
      <c r="F44" s="259">
        <f>SUMMARY!$E$8*1000000</f>
        <v>36859726.778265186</v>
      </c>
      <c r="G44" s="257">
        <f>(SUMMARY!$E$9+SUMMARY!$E$10)*1000000</f>
        <v>48126457.619667113</v>
      </c>
      <c r="H44" s="257">
        <f t="shared" si="2"/>
        <v>84986184.397932291</v>
      </c>
      <c r="I44" s="257">
        <f>OPEX!$B$3*1000000</f>
        <v>14169204.233098878</v>
      </c>
      <c r="J44" s="257">
        <f>OPEX!$B$14*1000000</f>
        <v>37878075.846964784</v>
      </c>
      <c r="K44" s="257">
        <f>OPEX!$D$21*1000000</f>
        <v>17058999.737906225</v>
      </c>
      <c r="L44" s="257">
        <f t="shared" si="0"/>
        <v>69106279.817969888</v>
      </c>
      <c r="M44" s="257">
        <f t="shared" si="1"/>
        <v>15879904.579962403</v>
      </c>
    </row>
    <row r="45" spans="2:18" x14ac:dyDescent="0.55000000000000004">
      <c r="B45" s="117">
        <v>18</v>
      </c>
      <c r="C45" s="257"/>
      <c r="D45" s="257"/>
      <c r="E45" s="257"/>
      <c r="F45" s="259">
        <f>SUMMARY!$E$8*1000000</f>
        <v>36859726.778265186</v>
      </c>
      <c r="G45" s="257">
        <f>(SUMMARY!$E$9+SUMMARY!$E$10)*1000000</f>
        <v>48126457.619667113</v>
      </c>
      <c r="H45" s="257">
        <f t="shared" si="2"/>
        <v>84986184.397932291</v>
      </c>
      <c r="I45" s="257">
        <f>OPEX!$B$3*1000000</f>
        <v>14169204.233098878</v>
      </c>
      <c r="J45" s="257">
        <f>OPEX!$B$14*1000000</f>
        <v>37878075.846964784</v>
      </c>
      <c r="K45" s="257">
        <f>OPEX!$D$21*1000000</f>
        <v>17058999.737906225</v>
      </c>
      <c r="L45" s="257">
        <f t="shared" si="0"/>
        <v>69106279.817969888</v>
      </c>
      <c r="M45" s="257">
        <f t="shared" si="1"/>
        <v>15879904.579962403</v>
      </c>
    </row>
    <row r="46" spans="2:18" x14ac:dyDescent="0.55000000000000004">
      <c r="B46" s="117">
        <v>19</v>
      </c>
      <c r="C46" s="257"/>
      <c r="D46" s="257"/>
      <c r="E46" s="257"/>
      <c r="F46" s="259">
        <f>SUMMARY!$E$8*1000000</f>
        <v>36859726.778265186</v>
      </c>
      <c r="G46" s="257">
        <f>(SUMMARY!$E$9+SUMMARY!$E$10)*1000000</f>
        <v>48126457.619667113</v>
      </c>
      <c r="H46" s="257">
        <f t="shared" si="2"/>
        <v>84986184.397932291</v>
      </c>
      <c r="I46" s="257">
        <f>OPEX!$B$3*1000000</f>
        <v>14169204.233098878</v>
      </c>
      <c r="J46" s="257">
        <f>OPEX!$B$14*1000000</f>
        <v>37878075.846964784</v>
      </c>
      <c r="K46" s="257">
        <f>OPEX!$D$21*1000000</f>
        <v>17058999.737906225</v>
      </c>
      <c r="L46" s="257">
        <f t="shared" si="0"/>
        <v>69106279.817969888</v>
      </c>
      <c r="M46" s="257">
        <f t="shared" si="1"/>
        <v>15879904.579962403</v>
      </c>
    </row>
    <row r="47" spans="2:18" x14ac:dyDescent="0.55000000000000004">
      <c r="B47" s="117">
        <v>20</v>
      </c>
      <c r="C47" s="257"/>
      <c r="D47" s="257"/>
      <c r="E47" s="257"/>
      <c r="F47" s="259">
        <f>SUMMARY!$E$8*1000000</f>
        <v>36859726.778265186</v>
      </c>
      <c r="G47" s="257">
        <f>(SUMMARY!$E$9+SUMMARY!$E$10)*1000000</f>
        <v>48126457.619667113</v>
      </c>
      <c r="H47" s="257">
        <f t="shared" si="2"/>
        <v>84986184.397932291</v>
      </c>
      <c r="I47" s="257">
        <f>OPEX!$B$3*1000000</f>
        <v>14169204.233098878</v>
      </c>
      <c r="J47" s="257">
        <f>OPEX!$B$14*1000000</f>
        <v>37878075.846964784</v>
      </c>
      <c r="K47" s="257">
        <f>OPEX!$D$21*1000000</f>
        <v>17058999.737906225</v>
      </c>
      <c r="L47" s="257">
        <f t="shared" si="0"/>
        <v>69106279.817969888</v>
      </c>
      <c r="M47" s="257">
        <f t="shared" si="1"/>
        <v>15879904.579962403</v>
      </c>
    </row>
    <row r="48" spans="2:18" x14ac:dyDescent="0.55000000000000004">
      <c r="B48" s="117">
        <v>21</v>
      </c>
      <c r="C48" s="257"/>
      <c r="D48" s="257"/>
      <c r="E48" s="257"/>
      <c r="F48" s="259">
        <f>SUMMARY!$E$8*1000000</f>
        <v>36859726.778265186</v>
      </c>
      <c r="G48" s="257">
        <f>(SUMMARY!$E$9+SUMMARY!$E$10)*1000000</f>
        <v>48126457.619667113</v>
      </c>
      <c r="H48" s="257">
        <f t="shared" si="2"/>
        <v>84986184.397932291</v>
      </c>
      <c r="I48" s="257">
        <f>OPEX!$B$3*1000000</f>
        <v>14169204.233098878</v>
      </c>
      <c r="J48" s="257">
        <f>OPEX!$B$14*1000000</f>
        <v>37878075.846964784</v>
      </c>
      <c r="K48" s="257">
        <f>OPEX!$D$21*1000000</f>
        <v>17058999.737906225</v>
      </c>
      <c r="L48" s="257">
        <f t="shared" si="0"/>
        <v>69106279.817969888</v>
      </c>
      <c r="M48" s="257">
        <f t="shared" si="1"/>
        <v>15879904.579962403</v>
      </c>
    </row>
    <row r="49" spans="2:14" x14ac:dyDescent="0.55000000000000004">
      <c r="B49" s="117">
        <v>22</v>
      </c>
      <c r="C49" s="257"/>
      <c r="D49" s="257"/>
      <c r="E49" s="257"/>
      <c r="F49" s="259">
        <f>SUMMARY!$E$8*1000000</f>
        <v>36859726.778265186</v>
      </c>
      <c r="G49" s="259">
        <f>(SUMMARY!$E$9+SUMMARY!$E$10)*1000000</f>
        <v>48126457.619667113</v>
      </c>
      <c r="H49" s="259">
        <f t="shared" si="2"/>
        <v>84986184.397932291</v>
      </c>
      <c r="I49" s="259">
        <f>OPEX!$B$3*1000000</f>
        <v>14169204.233098878</v>
      </c>
      <c r="J49" s="259">
        <f>OPEX!$B$14*1000000</f>
        <v>37878075.846964784</v>
      </c>
      <c r="K49" s="259">
        <f>OPEX!$D$21*1000000</f>
        <v>17058999.737906225</v>
      </c>
      <c r="L49" s="257">
        <f t="shared" si="0"/>
        <v>69106279.817969888</v>
      </c>
      <c r="M49" s="257">
        <f t="shared" si="1"/>
        <v>15879904.579962403</v>
      </c>
    </row>
    <row r="50" spans="2:14" x14ac:dyDescent="0.55000000000000004">
      <c r="B50" s="147">
        <v>23</v>
      </c>
      <c r="C50" s="263"/>
      <c r="D50" s="263">
        <f>-D30</f>
        <v>-13821255.963593975</v>
      </c>
      <c r="E50" s="263">
        <f>-LandCost</f>
        <v>-1806416.1198745368</v>
      </c>
      <c r="F50" s="263">
        <f>SUMMARY!$E$8*1000000</f>
        <v>36859726.778265186</v>
      </c>
      <c r="G50" s="263">
        <f>(SUMMARY!$E$9+SUMMARY!$E$10)*1000000</f>
        <v>48126457.619667113</v>
      </c>
      <c r="H50" s="263">
        <f t="shared" si="2"/>
        <v>84986184.397932291</v>
      </c>
      <c r="I50" s="263">
        <f>OPEX!$B$3*1000000</f>
        <v>14169204.233098878</v>
      </c>
      <c r="J50" s="263">
        <f>OPEX!$B$14*1000000</f>
        <v>37878075.846964784</v>
      </c>
      <c r="K50" s="263">
        <f>OPEX!$D$21*1000000</f>
        <v>17058999.737906225</v>
      </c>
      <c r="L50" s="263">
        <f t="shared" si="0"/>
        <v>69106279.817969888</v>
      </c>
      <c r="M50" s="263">
        <f>C50-D50+H50-L50-E50</f>
        <v>31507576.663430914</v>
      </c>
    </row>
    <row r="51" spans="2:14" x14ac:dyDescent="0.55000000000000004">
      <c r="B51" s="117" t="s">
        <v>147</v>
      </c>
      <c r="G51" s="257"/>
      <c r="H51" s="257"/>
      <c r="K51" s="257"/>
      <c r="M51" s="251">
        <f>NPV(RealDiscRate,M28:M50)</f>
        <v>-8241180.805597432</v>
      </c>
    </row>
    <row r="52" spans="2:14" x14ac:dyDescent="0.55000000000000004">
      <c r="B52" s="117" t="s">
        <v>148</v>
      </c>
      <c r="G52" s="257"/>
      <c r="H52" s="257"/>
      <c r="K52" s="257"/>
      <c r="M52" s="264">
        <f>IRR(M28:M50)</f>
        <v>8.9970608952910425E-2</v>
      </c>
    </row>
    <row r="53" spans="2:14" x14ac:dyDescent="0.55000000000000004">
      <c r="B53" s="117"/>
      <c r="G53" s="257"/>
      <c r="H53" s="257"/>
      <c r="L53" s="257"/>
    </row>
    <row r="54" spans="2:14" x14ac:dyDescent="0.55000000000000004">
      <c r="B54" s="105" t="s">
        <v>149</v>
      </c>
    </row>
    <row r="55" spans="2:14" ht="28.8" x14ac:dyDescent="0.55000000000000004">
      <c r="B55" s="147" t="s">
        <v>16</v>
      </c>
      <c r="C55" s="256" t="s">
        <v>476</v>
      </c>
      <c r="D55" s="256" t="s">
        <v>68</v>
      </c>
      <c r="E55" s="256" t="s">
        <v>67</v>
      </c>
      <c r="F55" s="256" t="s">
        <v>477</v>
      </c>
      <c r="G55" s="256" t="s">
        <v>501</v>
      </c>
      <c r="H55" s="256" t="s">
        <v>104</v>
      </c>
      <c r="I55" s="256" t="s">
        <v>478</v>
      </c>
      <c r="J55" s="256" t="s">
        <v>479</v>
      </c>
      <c r="K55" s="256" t="s">
        <v>30</v>
      </c>
      <c r="L55" s="256" t="s">
        <v>76</v>
      </c>
      <c r="M55" s="265" t="s">
        <v>480</v>
      </c>
      <c r="N55" s="256" t="s">
        <v>81</v>
      </c>
    </row>
    <row r="56" spans="2:14" x14ac:dyDescent="0.55000000000000004">
      <c r="B56" s="117">
        <v>1</v>
      </c>
      <c r="C56" s="257">
        <f>C28*(1+InfRate)^B56</f>
        <v>-8699089.2054882124</v>
      </c>
      <c r="D56" s="257"/>
      <c r="E56" s="257">
        <f>LandCost*(1+InfRate)^B56</f>
        <v>1842544.4422720275</v>
      </c>
      <c r="F56" s="257">
        <f t="shared" ref="F56:F78" si="3">F28*(1+InfRate)^B56</f>
        <v>0</v>
      </c>
      <c r="G56" s="257">
        <f t="shared" ref="G56:G78" si="4">G28*(1+InfRate)^B56</f>
        <v>0</v>
      </c>
      <c r="H56" s="257">
        <f>F56+G56</f>
        <v>0</v>
      </c>
      <c r="I56" s="257">
        <f t="shared" ref="I56:I78" si="5">I28*(1+InfRate)^B56</f>
        <v>0</v>
      </c>
      <c r="J56" s="257">
        <f t="shared" ref="J56:J78" si="6">J28*(1+InfRate)^B56</f>
        <v>0</v>
      </c>
      <c r="K56" s="257">
        <f t="shared" ref="K56:K78" si="7">K28*(1+InfRate)^B56</f>
        <v>0</v>
      </c>
      <c r="L56" s="257">
        <f t="shared" ref="L56:L78" si="8">SUM(I56:K56)</f>
        <v>0</v>
      </c>
      <c r="M56" s="257">
        <f>L56</f>
        <v>0</v>
      </c>
      <c r="N56" s="257">
        <f>C56-D56-L56+H56-E56</f>
        <v>-10541633.64776024</v>
      </c>
    </row>
    <row r="57" spans="2:14" x14ac:dyDescent="0.55000000000000004">
      <c r="B57" s="117">
        <v>2</v>
      </c>
      <c r="C57" s="257">
        <f>C29*(1+InfRate)^B57</f>
        <v>-66548032.421984822</v>
      </c>
      <c r="D57" s="257"/>
      <c r="E57" s="257"/>
      <c r="F57" s="257">
        <f t="shared" si="3"/>
        <v>0</v>
      </c>
      <c r="G57" s="257">
        <f t="shared" si="4"/>
        <v>0</v>
      </c>
      <c r="H57" s="257">
        <f t="shared" ref="H57:H78" si="9">F57+G57</f>
        <v>0</v>
      </c>
      <c r="I57" s="257">
        <f t="shared" si="5"/>
        <v>0</v>
      </c>
      <c r="J57" s="257">
        <f t="shared" si="6"/>
        <v>0</v>
      </c>
      <c r="K57" s="257">
        <f t="shared" si="7"/>
        <v>0</v>
      </c>
      <c r="L57" s="257">
        <f t="shared" si="8"/>
        <v>0</v>
      </c>
      <c r="M57" s="257">
        <f t="shared" ref="M57:M78" si="10">L57</f>
        <v>0</v>
      </c>
      <c r="N57" s="257">
        <f>C57-D57-L57+H57</f>
        <v>-66548032.421984822</v>
      </c>
    </row>
    <row r="58" spans="2:14" x14ac:dyDescent="0.55000000000000004">
      <c r="B58" s="117">
        <v>3</v>
      </c>
      <c r="C58" s="257">
        <f>C30*(1+InfRate)^B58</f>
        <v>-36202129.637559749</v>
      </c>
      <c r="D58" s="257">
        <f>D30*(1+InfRate)^B58</f>
        <v>14667227.398613634</v>
      </c>
      <c r="E58" s="257"/>
      <c r="F58" s="257">
        <f t="shared" si="3"/>
        <v>0</v>
      </c>
      <c r="G58" s="257">
        <f t="shared" si="4"/>
        <v>0</v>
      </c>
      <c r="H58" s="257">
        <f t="shared" si="9"/>
        <v>0</v>
      </c>
      <c r="I58" s="257">
        <f t="shared" si="5"/>
        <v>0</v>
      </c>
      <c r="J58" s="257">
        <f t="shared" si="6"/>
        <v>0</v>
      </c>
      <c r="K58" s="257">
        <f t="shared" si="7"/>
        <v>0</v>
      </c>
      <c r="L58" s="257">
        <f t="shared" si="8"/>
        <v>0</v>
      </c>
      <c r="M58" s="257">
        <f t="shared" si="10"/>
        <v>0</v>
      </c>
      <c r="N58" s="257">
        <f>C58-D58-L58+H58-E58</f>
        <v>-50869357.036173381</v>
      </c>
    </row>
    <row r="59" spans="2:14" x14ac:dyDescent="0.55000000000000004">
      <c r="B59" s="117">
        <v>4</v>
      </c>
      <c r="C59" s="257"/>
      <c r="D59" s="257"/>
      <c r="E59" s="257"/>
      <c r="F59" s="257">
        <f t="shared" si="3"/>
        <v>24936346.046004638</v>
      </c>
      <c r="G59" s="257">
        <f t="shared" si="4"/>
        <v>32558515.921502955</v>
      </c>
      <c r="H59" s="257">
        <f t="shared" si="9"/>
        <v>57494861.967507593</v>
      </c>
      <c r="I59" s="257">
        <f t="shared" si="5"/>
        <v>9585751.4646964744</v>
      </c>
      <c r="J59" s="257">
        <f>J31*(1+InfRate)^B59</f>
        <v>33312863.557735056</v>
      </c>
      <c r="K59" s="257">
        <f t="shared" si="7"/>
        <v>18465209.933741268</v>
      </c>
      <c r="L59" s="257">
        <f t="shared" si="8"/>
        <v>61363824.956172794</v>
      </c>
      <c r="M59" s="257">
        <f t="shared" si="10"/>
        <v>61363824.956172794</v>
      </c>
      <c r="N59" s="257">
        <f t="shared" ref="N59:N77" si="11">C59-D59-L59+H59</f>
        <v>-3868962.9886652008</v>
      </c>
    </row>
    <row r="60" spans="2:14" x14ac:dyDescent="0.55000000000000004">
      <c r="B60" s="117">
        <v>5</v>
      </c>
      <c r="C60" s="257"/>
      <c r="D60" s="257"/>
      <c r="E60" s="257"/>
      <c r="F60" s="257">
        <f t="shared" si="3"/>
        <v>40696116.747079574</v>
      </c>
      <c r="G60" s="257">
        <f t="shared" si="4"/>
        <v>53135497.983892828</v>
      </c>
      <c r="H60" s="257">
        <f t="shared" si="9"/>
        <v>93831614.730972409</v>
      </c>
      <c r="I60" s="257">
        <f t="shared" si="5"/>
        <v>15643946.39038465</v>
      </c>
      <c r="J60" s="257">
        <f t="shared" si="6"/>
        <v>41820456.404787399</v>
      </c>
      <c r="K60" s="257">
        <f t="shared" si="7"/>
        <v>18834514.132416096</v>
      </c>
      <c r="L60" s="257">
        <f t="shared" si="8"/>
        <v>76298916.92758815</v>
      </c>
      <c r="M60" s="257">
        <f t="shared" si="10"/>
        <v>76298916.92758815</v>
      </c>
      <c r="N60" s="257">
        <f t="shared" si="11"/>
        <v>17532697.803384259</v>
      </c>
    </row>
    <row r="61" spans="2:14" x14ac:dyDescent="0.55000000000000004">
      <c r="B61" s="117">
        <v>6</v>
      </c>
      <c r="C61" s="257"/>
      <c r="D61" s="257"/>
      <c r="E61" s="257"/>
      <c r="F61" s="257">
        <f t="shared" si="3"/>
        <v>41510039.082021169</v>
      </c>
      <c r="G61" s="257">
        <f t="shared" si="4"/>
        <v>54198207.943570688</v>
      </c>
      <c r="H61" s="257">
        <f t="shared" si="9"/>
        <v>95708247.02559185</v>
      </c>
      <c r="I61" s="257">
        <f t="shared" si="5"/>
        <v>15956825.318192342</v>
      </c>
      <c r="J61" s="257">
        <f t="shared" si="6"/>
        <v>42656865.532883152</v>
      </c>
      <c r="K61" s="257">
        <f t="shared" si="7"/>
        <v>19211204.415064417</v>
      </c>
      <c r="L61" s="257">
        <f t="shared" si="8"/>
        <v>77824895.26613991</v>
      </c>
      <c r="M61" s="257">
        <f t="shared" si="10"/>
        <v>77824895.26613991</v>
      </c>
      <c r="N61" s="257">
        <f t="shared" si="11"/>
        <v>17883351.759451941</v>
      </c>
    </row>
    <row r="62" spans="2:14" x14ac:dyDescent="0.55000000000000004">
      <c r="B62" s="117">
        <v>7</v>
      </c>
      <c r="C62" s="257"/>
      <c r="D62" s="257"/>
      <c r="E62" s="257"/>
      <c r="F62" s="257">
        <f t="shared" si="3"/>
        <v>42340239.86366158</v>
      </c>
      <c r="G62" s="257">
        <f t="shared" si="4"/>
        <v>55282172.102442086</v>
      </c>
      <c r="H62" s="257">
        <f t="shared" si="9"/>
        <v>97622411.966103673</v>
      </c>
      <c r="I62" s="257">
        <f t="shared" si="5"/>
        <v>16275961.824556187</v>
      </c>
      <c r="J62" s="257">
        <f t="shared" si="6"/>
        <v>43510002.843540803</v>
      </c>
      <c r="K62" s="257">
        <f t="shared" si="7"/>
        <v>19595428.503365703</v>
      </c>
      <c r="L62" s="257">
        <f t="shared" si="8"/>
        <v>79381393.171462685</v>
      </c>
      <c r="M62" s="257">
        <f t="shared" si="10"/>
        <v>79381393.171462685</v>
      </c>
      <c r="N62" s="257">
        <f t="shared" si="11"/>
        <v>18241018.794640988</v>
      </c>
    </row>
    <row r="63" spans="2:14" x14ac:dyDescent="0.55000000000000004">
      <c r="B63" s="117">
        <v>8</v>
      </c>
      <c r="C63" s="257"/>
      <c r="D63" s="257"/>
      <c r="E63" s="257"/>
      <c r="F63" s="257">
        <f t="shared" si="3"/>
        <v>43187044.660934821</v>
      </c>
      <c r="G63" s="257">
        <f t="shared" si="4"/>
        <v>56387815.544490933</v>
      </c>
      <c r="H63" s="257">
        <f t="shared" si="9"/>
        <v>99574860.205425754</v>
      </c>
      <c r="I63" s="257">
        <f t="shared" si="5"/>
        <v>16601481.061047312</v>
      </c>
      <c r="J63" s="257">
        <f t="shared" si="6"/>
        <v>44380202.900411621</v>
      </c>
      <c r="K63" s="257">
        <f t="shared" si="7"/>
        <v>19987337.073433019</v>
      </c>
      <c r="L63" s="257">
        <f t="shared" si="8"/>
        <v>80969021.034891963</v>
      </c>
      <c r="M63" s="257">
        <f t="shared" si="10"/>
        <v>80969021.034891963</v>
      </c>
      <c r="N63" s="257">
        <f t="shared" si="11"/>
        <v>18605839.170533791</v>
      </c>
    </row>
    <row r="64" spans="2:14" x14ac:dyDescent="0.55000000000000004">
      <c r="B64" s="117">
        <v>9</v>
      </c>
      <c r="C64" s="257"/>
      <c r="D64" s="257"/>
      <c r="E64" s="257"/>
      <c r="F64" s="257">
        <f t="shared" si="3"/>
        <v>44050785.554153517</v>
      </c>
      <c r="G64" s="257">
        <f t="shared" si="4"/>
        <v>57515571.855380751</v>
      </c>
      <c r="H64" s="257">
        <f t="shared" si="9"/>
        <v>101566357.40953428</v>
      </c>
      <c r="I64" s="257">
        <f t="shared" si="5"/>
        <v>16933510.682268258</v>
      </c>
      <c r="J64" s="257">
        <f t="shared" si="6"/>
        <v>45267806.958419859</v>
      </c>
      <c r="K64" s="257">
        <f t="shared" si="7"/>
        <v>20387083.814901676</v>
      </c>
      <c r="L64" s="257">
        <f t="shared" si="8"/>
        <v>82588401.455589801</v>
      </c>
      <c r="M64" s="257">
        <f t="shared" si="10"/>
        <v>82588401.455589801</v>
      </c>
      <c r="N64" s="257">
        <f t="shared" si="11"/>
        <v>18977955.953944474</v>
      </c>
    </row>
    <row r="65" spans="2:14" x14ac:dyDescent="0.55000000000000004">
      <c r="B65" s="117">
        <v>10</v>
      </c>
      <c r="C65" s="257"/>
      <c r="D65" s="257"/>
      <c r="E65" s="257"/>
      <c r="F65" s="257">
        <f t="shared" si="3"/>
        <v>44931801.265236586</v>
      </c>
      <c r="G65" s="257">
        <f t="shared" si="4"/>
        <v>58665883.292488374</v>
      </c>
      <c r="H65" s="257">
        <f t="shared" si="9"/>
        <v>103597684.55772495</v>
      </c>
      <c r="I65" s="257">
        <f t="shared" si="5"/>
        <v>17272180.895913623</v>
      </c>
      <c r="J65" s="257">
        <f t="shared" si="6"/>
        <v>46173163.097588256</v>
      </c>
      <c r="K65" s="257">
        <f t="shared" si="7"/>
        <v>20794825.491199713</v>
      </c>
      <c r="L65" s="257">
        <f t="shared" si="8"/>
        <v>84240169.484701589</v>
      </c>
      <c r="M65" s="257">
        <f t="shared" si="10"/>
        <v>84240169.484701589</v>
      </c>
      <c r="N65" s="257">
        <f t="shared" si="11"/>
        <v>19357515.073023364</v>
      </c>
    </row>
    <row r="66" spans="2:14" x14ac:dyDescent="0.55000000000000004">
      <c r="B66" s="117">
        <v>11</v>
      </c>
      <c r="C66" s="257"/>
      <c r="D66" s="257"/>
      <c r="E66" s="257"/>
      <c r="F66" s="257">
        <f t="shared" si="3"/>
        <v>45830437.290541314</v>
      </c>
      <c r="G66" s="257">
        <f t="shared" si="4"/>
        <v>59839200.958338127</v>
      </c>
      <c r="H66" s="257">
        <f t="shared" si="9"/>
        <v>105669638.24887943</v>
      </c>
      <c r="I66" s="257">
        <f t="shared" si="5"/>
        <v>17617624.513831891</v>
      </c>
      <c r="J66" s="257">
        <f t="shared" si="6"/>
        <v>47096626.359540008</v>
      </c>
      <c r="K66" s="257">
        <f t="shared" si="7"/>
        <v>21210722.001023702</v>
      </c>
      <c r="L66" s="257">
        <f t="shared" si="8"/>
        <v>85924972.874395609</v>
      </c>
      <c r="M66" s="257">
        <f t="shared" si="10"/>
        <v>85924972.874395609</v>
      </c>
      <c r="N66" s="257">
        <f t="shared" si="11"/>
        <v>19744665.374483824</v>
      </c>
    </row>
    <row r="67" spans="2:14" x14ac:dyDescent="0.55000000000000004">
      <c r="B67" s="117">
        <v>12</v>
      </c>
      <c r="C67" s="257"/>
      <c r="D67" s="257"/>
      <c r="E67" s="257"/>
      <c r="F67" s="257">
        <f t="shared" si="3"/>
        <v>46747046.036352143</v>
      </c>
      <c r="G67" s="257">
        <f t="shared" si="4"/>
        <v>61035984.977504902</v>
      </c>
      <c r="H67" s="257">
        <f t="shared" si="9"/>
        <v>107783031.01385704</v>
      </c>
      <c r="I67" s="257">
        <f t="shared" si="5"/>
        <v>17969977.004108533</v>
      </c>
      <c r="J67" s="257">
        <f t="shared" si="6"/>
        <v>48038558.88673082</v>
      </c>
      <c r="K67" s="257">
        <f t="shared" si="7"/>
        <v>21634936.441044182</v>
      </c>
      <c r="L67" s="257">
        <f t="shared" si="8"/>
        <v>87643472.331883535</v>
      </c>
      <c r="M67" s="257">
        <f t="shared" si="10"/>
        <v>87643472.331883535</v>
      </c>
      <c r="N67" s="257">
        <f t="shared" si="11"/>
        <v>20139558.681973502</v>
      </c>
    </row>
    <row r="68" spans="2:14" x14ac:dyDescent="0.55000000000000004">
      <c r="B68" s="117">
        <v>13</v>
      </c>
      <c r="C68" s="257"/>
      <c r="D68" s="257"/>
      <c r="E68" s="257"/>
      <c r="F68" s="257">
        <f t="shared" si="3"/>
        <v>47681986.957079187</v>
      </c>
      <c r="G68" s="257">
        <f t="shared" si="4"/>
        <v>62256704.677054994</v>
      </c>
      <c r="H68" s="257">
        <f t="shared" si="9"/>
        <v>109938691.63413417</v>
      </c>
      <c r="I68" s="257">
        <f t="shared" si="5"/>
        <v>18329376.544190705</v>
      </c>
      <c r="J68" s="257">
        <f t="shared" si="6"/>
        <v>48999330.064465433</v>
      </c>
      <c r="K68" s="257">
        <f t="shared" si="7"/>
        <v>22067635.169865061</v>
      </c>
      <c r="L68" s="257">
        <f t="shared" si="8"/>
        <v>89396341.778521195</v>
      </c>
      <c r="M68" s="257">
        <f t="shared" si="10"/>
        <v>89396341.778521195</v>
      </c>
      <c r="N68" s="257">
        <f t="shared" si="11"/>
        <v>20542349.855612978</v>
      </c>
    </row>
    <row r="69" spans="2:14" x14ac:dyDescent="0.55000000000000004">
      <c r="B69" s="117">
        <v>14</v>
      </c>
      <c r="C69" s="257"/>
      <c r="D69" s="257"/>
      <c r="E69" s="257"/>
      <c r="F69" s="257">
        <f t="shared" si="3"/>
        <v>48635626.69622077</v>
      </c>
      <c r="G69" s="257">
        <f t="shared" si="4"/>
        <v>63501838.770596102</v>
      </c>
      <c r="H69" s="257">
        <f t="shared" si="9"/>
        <v>112137465.46681687</v>
      </c>
      <c r="I69" s="257">
        <f t="shared" si="5"/>
        <v>18695964.07507452</v>
      </c>
      <c r="J69" s="257">
        <f t="shared" si="6"/>
        <v>49979316.665754743</v>
      </c>
      <c r="K69" s="257">
        <f t="shared" si="7"/>
        <v>22508987.873262364</v>
      </c>
      <c r="L69" s="257">
        <f t="shared" si="8"/>
        <v>91184268.61409162</v>
      </c>
      <c r="M69" s="257">
        <f t="shared" si="10"/>
        <v>91184268.61409162</v>
      </c>
      <c r="N69" s="257">
        <f t="shared" si="11"/>
        <v>20953196.852725253</v>
      </c>
    </row>
    <row r="70" spans="2:14" x14ac:dyDescent="0.55000000000000004">
      <c r="B70" s="117">
        <v>15</v>
      </c>
      <c r="C70" s="257"/>
      <c r="D70" s="257"/>
      <c r="E70" s="257"/>
      <c r="F70" s="257">
        <f t="shared" si="3"/>
        <v>49608339.230145171</v>
      </c>
      <c r="G70" s="257">
        <f t="shared" si="4"/>
        <v>64771875.546008006</v>
      </c>
      <c r="H70" s="257">
        <f t="shared" si="9"/>
        <v>114380214.77615318</v>
      </c>
      <c r="I70" s="257">
        <f t="shared" si="5"/>
        <v>19069883.356576003</v>
      </c>
      <c r="J70" s="257">
        <f t="shared" si="6"/>
        <v>50978902.999069825</v>
      </c>
      <c r="K70" s="257">
        <f t="shared" si="7"/>
        <v>22959167.630727608</v>
      </c>
      <c r="L70" s="257">
        <f t="shared" si="8"/>
        <v>93007953.986373439</v>
      </c>
      <c r="M70" s="257">
        <f t="shared" si="10"/>
        <v>93007953.986373439</v>
      </c>
      <c r="N70" s="257">
        <f t="shared" si="11"/>
        <v>21372260.789779738</v>
      </c>
    </row>
    <row r="71" spans="2:14" x14ac:dyDescent="0.55000000000000004">
      <c r="B71" s="117">
        <v>16</v>
      </c>
      <c r="C71" s="257"/>
      <c r="D71" s="257"/>
      <c r="E71" s="257"/>
      <c r="F71" s="257">
        <f t="shared" si="3"/>
        <v>50600506.014748089</v>
      </c>
      <c r="G71" s="257">
        <f t="shared" si="4"/>
        <v>66067313.056928173</v>
      </c>
      <c r="H71" s="257">
        <f t="shared" si="9"/>
        <v>116667819.07167625</v>
      </c>
      <c r="I71" s="257">
        <f t="shared" si="5"/>
        <v>19451281.023707528</v>
      </c>
      <c r="J71" s="257">
        <f t="shared" si="6"/>
        <v>51998481.059051231</v>
      </c>
      <c r="K71" s="257">
        <f t="shared" si="7"/>
        <v>23418350.983342163</v>
      </c>
      <c r="L71" s="257">
        <f t="shared" si="8"/>
        <v>94868113.066100925</v>
      </c>
      <c r="M71" s="257">
        <f t="shared" si="10"/>
        <v>94868113.066100925</v>
      </c>
      <c r="N71" s="257">
        <f t="shared" si="11"/>
        <v>21799706.005575329</v>
      </c>
    </row>
    <row r="72" spans="2:14" x14ac:dyDescent="0.55000000000000004">
      <c r="B72" s="117">
        <v>17</v>
      </c>
      <c r="C72" s="257"/>
      <c r="D72" s="257"/>
      <c r="E72" s="257"/>
      <c r="F72" s="257">
        <f t="shared" si="3"/>
        <v>51612516.135043055</v>
      </c>
      <c r="G72" s="257">
        <f t="shared" si="4"/>
        <v>67388659.318066746</v>
      </c>
      <c r="H72" s="257">
        <f t="shared" si="9"/>
        <v>119001175.4531098</v>
      </c>
      <c r="I72" s="257">
        <f t="shared" si="5"/>
        <v>19840306.64418168</v>
      </c>
      <c r="J72" s="257">
        <f t="shared" si="6"/>
        <v>53038450.680232264</v>
      </c>
      <c r="K72" s="257">
        <f t="shared" si="7"/>
        <v>23886718.00300901</v>
      </c>
      <c r="L72" s="257">
        <f t="shared" si="8"/>
        <v>96765475.327422947</v>
      </c>
      <c r="M72" s="257">
        <f t="shared" si="10"/>
        <v>96765475.327422947</v>
      </c>
      <c r="N72" s="257">
        <f t="shared" si="11"/>
        <v>22235700.125686854</v>
      </c>
    </row>
    <row r="73" spans="2:14" x14ac:dyDescent="0.55000000000000004">
      <c r="B73" s="117">
        <v>18</v>
      </c>
      <c r="C73" s="257"/>
      <c r="D73" s="257"/>
      <c r="E73" s="257"/>
      <c r="F73" s="257">
        <f t="shared" si="3"/>
        <v>52644766.457743905</v>
      </c>
      <c r="G73" s="257">
        <f t="shared" si="4"/>
        <v>68736432.504428074</v>
      </c>
      <c r="H73" s="257">
        <f t="shared" si="9"/>
        <v>121381198.96217197</v>
      </c>
      <c r="I73" s="257">
        <f t="shared" si="5"/>
        <v>20237112.777065311</v>
      </c>
      <c r="J73" s="257">
        <f t="shared" si="6"/>
        <v>54099219.693836898</v>
      </c>
      <c r="K73" s="257">
        <f t="shared" si="7"/>
        <v>24364452.363069184</v>
      </c>
      <c r="L73" s="257">
        <f t="shared" si="8"/>
        <v>98700784.833971381</v>
      </c>
      <c r="M73" s="257">
        <f t="shared" si="10"/>
        <v>98700784.833971381</v>
      </c>
      <c r="N73" s="257">
        <f t="shared" si="11"/>
        <v>22680414.128200591</v>
      </c>
    </row>
    <row r="74" spans="2:14" x14ac:dyDescent="0.55000000000000004">
      <c r="B74" s="117">
        <v>19</v>
      </c>
      <c r="C74" s="257"/>
      <c r="D74" s="257"/>
      <c r="E74" s="257"/>
      <c r="F74" s="257">
        <f t="shared" si="3"/>
        <v>53697661.786898784</v>
      </c>
      <c r="G74" s="257">
        <f t="shared" si="4"/>
        <v>70111161.154516637</v>
      </c>
      <c r="H74" s="257">
        <f t="shared" si="9"/>
        <v>123808822.94141543</v>
      </c>
      <c r="I74" s="257">
        <f t="shared" si="5"/>
        <v>20641855.032606617</v>
      </c>
      <c r="J74" s="257">
        <f t="shared" si="6"/>
        <v>55181204.087713636</v>
      </c>
      <c r="K74" s="257">
        <f t="shared" si="7"/>
        <v>24851741.410330568</v>
      </c>
      <c r="L74" s="257">
        <f t="shared" si="8"/>
        <v>100674800.53065082</v>
      </c>
      <c r="M74" s="257">
        <f t="shared" si="10"/>
        <v>100674800.53065082</v>
      </c>
      <c r="N74" s="257">
        <f t="shared" si="11"/>
        <v>23134022.410764605</v>
      </c>
    </row>
    <row r="75" spans="2:14" x14ac:dyDescent="0.55000000000000004">
      <c r="B75" s="117">
        <v>20</v>
      </c>
      <c r="C75" s="257"/>
      <c r="D75" s="257"/>
      <c r="E75" s="257"/>
      <c r="F75" s="257">
        <f t="shared" si="3"/>
        <v>54771615.022636764</v>
      </c>
      <c r="G75" s="257">
        <f t="shared" si="4"/>
        <v>71513384.377606973</v>
      </c>
      <c r="H75" s="257">
        <f t="shared" si="9"/>
        <v>126284999.40024373</v>
      </c>
      <c r="I75" s="257">
        <f t="shared" si="5"/>
        <v>21054692.133258753</v>
      </c>
      <c r="J75" s="257">
        <f t="shared" si="6"/>
        <v>56284828.169467919</v>
      </c>
      <c r="K75" s="257">
        <f t="shared" si="7"/>
        <v>25348776.238537181</v>
      </c>
      <c r="L75" s="257">
        <f t="shared" si="8"/>
        <v>102688296.54126385</v>
      </c>
      <c r="M75" s="257">
        <f t="shared" si="10"/>
        <v>102688296.54126385</v>
      </c>
      <c r="N75" s="257">
        <f t="shared" si="11"/>
        <v>23596702.858979881</v>
      </c>
    </row>
    <row r="76" spans="2:14" x14ac:dyDescent="0.55000000000000004">
      <c r="B76" s="117">
        <v>21</v>
      </c>
      <c r="C76" s="257"/>
      <c r="D76" s="257"/>
      <c r="E76" s="257"/>
      <c r="F76" s="257">
        <f t="shared" si="3"/>
        <v>55867047.323089495</v>
      </c>
      <c r="G76" s="257">
        <f t="shared" si="4"/>
        <v>72943652.065159112</v>
      </c>
      <c r="H76" s="257">
        <f t="shared" si="9"/>
        <v>128810699.38824861</v>
      </c>
      <c r="I76" s="257">
        <f t="shared" si="5"/>
        <v>21475785.975923926</v>
      </c>
      <c r="J76" s="257">
        <f t="shared" si="6"/>
        <v>57410524.732857272</v>
      </c>
      <c r="K76" s="257">
        <f t="shared" si="7"/>
        <v>25855751.763307925</v>
      </c>
      <c r="L76" s="257">
        <f t="shared" si="8"/>
        <v>104742062.47208913</v>
      </c>
      <c r="M76" s="257">
        <f t="shared" si="10"/>
        <v>104742062.47208913</v>
      </c>
      <c r="N76" s="257">
        <f t="shared" si="11"/>
        <v>24068636.916159481</v>
      </c>
    </row>
    <row r="77" spans="2:14" x14ac:dyDescent="0.55000000000000004">
      <c r="B77" s="117">
        <v>22</v>
      </c>
      <c r="C77" s="257"/>
      <c r="D77" s="257"/>
      <c r="E77" s="257"/>
      <c r="F77" s="257">
        <f t="shared" si="3"/>
        <v>56984388.269551292</v>
      </c>
      <c r="G77" s="257">
        <f t="shared" si="4"/>
        <v>74402525.106462285</v>
      </c>
      <c r="H77" s="257">
        <f t="shared" si="9"/>
        <v>131386913.37601358</v>
      </c>
      <c r="I77" s="257">
        <f t="shared" si="5"/>
        <v>21905301.695442405</v>
      </c>
      <c r="J77" s="257">
        <f t="shared" si="6"/>
        <v>58558735.227514416</v>
      </c>
      <c r="K77" s="257">
        <f t="shared" si="7"/>
        <v>26372866.798574083</v>
      </c>
      <c r="L77" s="257">
        <f t="shared" si="8"/>
        <v>106836903.72153091</v>
      </c>
      <c r="M77" s="257">
        <f t="shared" si="10"/>
        <v>106836903.72153091</v>
      </c>
      <c r="N77" s="257">
        <f t="shared" si="11"/>
        <v>24550009.654482663</v>
      </c>
    </row>
    <row r="78" spans="2:14" x14ac:dyDescent="0.55000000000000004">
      <c r="B78" s="147">
        <v>23</v>
      </c>
      <c r="C78" s="263"/>
      <c r="D78" s="263">
        <f>D50*(1+InfRate)^B78</f>
        <v>-21794728.359192297</v>
      </c>
      <c r="E78" s="263">
        <f>E50*(1+InfRate)^B78</f>
        <v>-2848536.2502536355</v>
      </c>
      <c r="F78" s="263">
        <f t="shared" si="3"/>
        <v>58124076.034942307</v>
      </c>
      <c r="G78" s="263">
        <f t="shared" si="4"/>
        <v>75890575.608591527</v>
      </c>
      <c r="H78" s="263">
        <f t="shared" si="9"/>
        <v>134014651.64353383</v>
      </c>
      <c r="I78" s="263">
        <f t="shared" si="5"/>
        <v>22343407.729351249</v>
      </c>
      <c r="J78" s="263">
        <f t="shared" si="6"/>
        <v>59729909.932064697</v>
      </c>
      <c r="K78" s="263">
        <f t="shared" si="7"/>
        <v>26900324.134545561</v>
      </c>
      <c r="L78" s="263">
        <f t="shared" si="8"/>
        <v>108973641.79596151</v>
      </c>
      <c r="M78" s="263">
        <f t="shared" si="10"/>
        <v>108973641.79596151</v>
      </c>
      <c r="N78" s="263">
        <f>C78-D78-L78+H78-E78</f>
        <v>49684274.457018241</v>
      </c>
    </row>
    <row r="79" spans="2:14" x14ac:dyDescent="0.55000000000000004">
      <c r="B79" s="117" t="s">
        <v>147</v>
      </c>
      <c r="H79" s="257"/>
      <c r="J79" s="257"/>
      <c r="M79" s="257"/>
      <c r="N79" s="257">
        <f>NPV(NomDiscRate,N56:N78)</f>
        <v>-8241180.8055973742</v>
      </c>
    </row>
    <row r="80" spans="2:14" x14ac:dyDescent="0.55000000000000004">
      <c r="B80" s="117" t="s">
        <v>148</v>
      </c>
      <c r="H80" s="257"/>
      <c r="J80" s="257"/>
      <c r="M80" s="257"/>
      <c r="N80" s="264">
        <f>IRR(N56:N78)</f>
        <v>0.11177002113196854</v>
      </c>
    </row>
    <row r="82" spans="2:24" x14ac:dyDescent="0.55000000000000004">
      <c r="B82" s="105" t="s">
        <v>150</v>
      </c>
      <c r="U82" s="257" t="s">
        <v>481</v>
      </c>
    </row>
    <row r="83" spans="2:24" ht="43.2" x14ac:dyDescent="0.55000000000000004">
      <c r="B83" s="147" t="s">
        <v>16</v>
      </c>
      <c r="C83" s="256" t="s">
        <v>482</v>
      </c>
      <c r="D83" s="256" t="s">
        <v>483</v>
      </c>
      <c r="E83" s="256" t="s">
        <v>67</v>
      </c>
      <c r="F83" s="265" t="s">
        <v>484</v>
      </c>
      <c r="G83" s="265" t="s">
        <v>485</v>
      </c>
      <c r="H83" s="265" t="s">
        <v>486</v>
      </c>
      <c r="I83" s="256" t="s">
        <v>487</v>
      </c>
      <c r="J83" s="256" t="s">
        <v>488</v>
      </c>
      <c r="K83" s="256" t="s">
        <v>502</v>
      </c>
      <c r="L83" s="256" t="s">
        <v>489</v>
      </c>
      <c r="M83" s="256" t="s">
        <v>490</v>
      </c>
      <c r="N83" s="256" t="s">
        <v>491</v>
      </c>
      <c r="O83" s="265" t="s">
        <v>492</v>
      </c>
      <c r="P83" s="265" t="s">
        <v>493</v>
      </c>
      <c r="Q83" s="256" t="s">
        <v>494</v>
      </c>
      <c r="R83" s="265" t="s">
        <v>495</v>
      </c>
      <c r="S83" s="265" t="s">
        <v>496</v>
      </c>
      <c r="T83" s="265" t="s">
        <v>497</v>
      </c>
      <c r="U83" s="265" t="s">
        <v>498</v>
      </c>
      <c r="V83" s="265" t="s">
        <v>499</v>
      </c>
      <c r="W83" s="265" t="s">
        <v>84</v>
      </c>
      <c r="X83" s="265" t="s">
        <v>500</v>
      </c>
    </row>
    <row r="84" spans="2:24" x14ac:dyDescent="0.55000000000000004">
      <c r="B84" s="117">
        <v>1</v>
      </c>
      <c r="C84" s="257">
        <f>C56</f>
        <v>-8699089.2054882124</v>
      </c>
      <c r="D84" s="257"/>
      <c r="E84" s="257">
        <f>E56</f>
        <v>1842544.4422720275</v>
      </c>
      <c r="F84" s="257">
        <f>(C84-E84)*(1-Equity)</f>
        <v>-7379143.5534321675</v>
      </c>
      <c r="G84" s="257"/>
      <c r="H84" s="257">
        <f>(C84-E84)*(Equity)</f>
        <v>-3162490.0943280719</v>
      </c>
      <c r="I84" s="257"/>
      <c r="J84" s="257"/>
      <c r="K84" s="257"/>
      <c r="L84" s="257"/>
      <c r="M84" s="257"/>
      <c r="N84" s="257"/>
      <c r="O84" s="257"/>
      <c r="P84" s="266">
        <f>L84+M84+N84+D84+G84</f>
        <v>0</v>
      </c>
      <c r="Q84" s="266">
        <f>O84</f>
        <v>0</v>
      </c>
      <c r="R84" s="266"/>
      <c r="S84" s="266"/>
      <c r="T84" s="266"/>
      <c r="U84" s="257"/>
      <c r="V84" s="266">
        <f>Q84-T84+G84-I84</f>
        <v>0</v>
      </c>
      <c r="W84" s="266">
        <f t="shared" ref="W84:W106" si="12">V84*InTaxRate</f>
        <v>0</v>
      </c>
      <c r="X84" s="266">
        <f t="shared" ref="X84:X105" si="13">Q84-W84+H84</f>
        <v>-3162490.0943280719</v>
      </c>
    </row>
    <row r="85" spans="2:24" x14ac:dyDescent="0.55000000000000004">
      <c r="B85" s="117">
        <v>2</v>
      </c>
      <c r="C85" s="257">
        <f t="shared" ref="C85:D86" si="14">C57</f>
        <v>-66548032.421984822</v>
      </c>
      <c r="D85" s="257"/>
      <c r="E85" s="257"/>
      <c r="F85" s="267">
        <f>C85*(1-Equity)+F84*(1+LoanInt)</f>
        <v>-54553097.733096115</v>
      </c>
      <c r="G85" s="257"/>
      <c r="H85" s="257">
        <f>(C85)*(Equity)</f>
        <v>-19964409.726595446</v>
      </c>
      <c r="I85" s="257"/>
      <c r="J85" s="257"/>
      <c r="K85" s="257"/>
      <c r="L85" s="257"/>
      <c r="M85" s="257"/>
      <c r="N85" s="257"/>
      <c r="O85" s="257"/>
      <c r="P85" s="266">
        <f>L85+M85+N85+D85+G85</f>
        <v>0</v>
      </c>
      <c r="Q85" s="266">
        <f t="shared" ref="Q85" si="15">O85</f>
        <v>0</v>
      </c>
      <c r="R85" s="266"/>
      <c r="S85" s="266"/>
      <c r="T85" s="266"/>
      <c r="U85" s="257"/>
      <c r="V85" s="266">
        <f>Q85-T85+G85-I85</f>
        <v>0</v>
      </c>
      <c r="W85" s="266">
        <f t="shared" si="12"/>
        <v>0</v>
      </c>
      <c r="X85" s="266">
        <f t="shared" si="13"/>
        <v>-19964409.726595446</v>
      </c>
    </row>
    <row r="86" spans="2:24" x14ac:dyDescent="0.55000000000000004">
      <c r="B86" s="117">
        <v>3</v>
      </c>
      <c r="C86" s="257">
        <f>C58</f>
        <v>-36202129.637559749</v>
      </c>
      <c r="D86" s="257">
        <f t="shared" si="14"/>
        <v>14667227.398613634</v>
      </c>
      <c r="E86" s="257"/>
      <c r="F86" s="257">
        <f>(C86-D86)*(1-Equity)+F85*(1+LoanInt)</f>
        <v>-94525895.477065176</v>
      </c>
      <c r="G86" s="257"/>
      <c r="H86" s="257">
        <f>(C86-D86)*(Equity)</f>
        <v>-15260807.110852014</v>
      </c>
      <c r="I86" s="257"/>
      <c r="J86" s="257"/>
      <c r="K86" s="257"/>
      <c r="L86" s="257"/>
      <c r="M86" s="257"/>
      <c r="N86" s="257"/>
      <c r="O86" s="257"/>
      <c r="P86" s="266">
        <f>L86+M86+N86+D86+G86</f>
        <v>14667227.398613634</v>
      </c>
      <c r="Q86" s="266">
        <f>O86-P86</f>
        <v>-14667227.398613634</v>
      </c>
      <c r="R86" s="266"/>
      <c r="S86" s="266"/>
      <c r="T86" s="107"/>
      <c r="U86" s="257"/>
      <c r="V86" s="266">
        <f>Q86-T86+G86-I86</f>
        <v>-14667227.398613634</v>
      </c>
      <c r="W86" s="266">
        <f t="shared" si="12"/>
        <v>-2478761.4303657045</v>
      </c>
      <c r="X86" s="266">
        <f t="shared" si="13"/>
        <v>-27449273.079099946</v>
      </c>
    </row>
    <row r="87" spans="2:24" x14ac:dyDescent="0.55000000000000004">
      <c r="B87" s="117">
        <v>4</v>
      </c>
      <c r="C87" s="257"/>
      <c r="D87" s="257"/>
      <c r="E87" s="257"/>
      <c r="F87" s="257"/>
      <c r="G87" s="257">
        <f t="shared" ref="G87:G96" si="16">LoanPayment*1000000</f>
        <v>12563099.300222663</v>
      </c>
      <c r="H87" s="257"/>
      <c r="I87" s="268">
        <f t="shared" ref="I87:I96" si="17">IPMT(LoanInt,B84,LoanYrs,$F$86)</f>
        <v>7562071.6381652141</v>
      </c>
      <c r="J87" s="257">
        <f>F59</f>
        <v>24936346.046004638</v>
      </c>
      <c r="K87" s="257">
        <f>G59</f>
        <v>32558515.921502955</v>
      </c>
      <c r="L87" s="257">
        <f>I59</f>
        <v>9585751.4646964744</v>
      </c>
      <c r="M87" s="257">
        <f t="shared" ref="M87:N102" si="18">J59</f>
        <v>33312863.557735056</v>
      </c>
      <c r="N87" s="257">
        <f t="shared" si="18"/>
        <v>18465209.933741268</v>
      </c>
      <c r="O87" s="257">
        <f t="shared" ref="O87:O106" si="19">J87+K87</f>
        <v>57494861.967507593</v>
      </c>
      <c r="P87" s="266">
        <f>L87+M87+N87+D87+G87</f>
        <v>73926924.256395459</v>
      </c>
      <c r="Q87" s="266">
        <f t="shared" ref="Q87:Q105" si="20">O87-P87</f>
        <v>-16432062.288887866</v>
      </c>
      <c r="R87" s="269">
        <f t="shared" ref="R87:R93" si="21">IF(B87&lt;=ConstYrs,"",IF(B87&gt;ConstYrs+DepLife,"",DDB(-SUM($C$84:$C$86),0,DepLife,B87-ConstYrs,Dep7yr)))</f>
        <v>31842643.21858079</v>
      </c>
      <c r="S87" s="270">
        <f>SLN(-SUM($C$84:$C$86), 0, DepLife)</f>
        <v>15921321.609290395</v>
      </c>
      <c r="T87" s="270">
        <f>IF(R87&gt;S87,R87,S87)</f>
        <v>31842643.21858079</v>
      </c>
      <c r="U87" s="268">
        <f>-SUM(C84:C86)-T87</f>
        <v>79606608.046451986</v>
      </c>
      <c r="V87" s="266">
        <f>Q87-T87+G87-I87</f>
        <v>-43273677.845411204</v>
      </c>
      <c r="W87" s="266">
        <f t="shared" si="12"/>
        <v>-7313251.5558744939</v>
      </c>
      <c r="X87" s="266">
        <f t="shared" si="13"/>
        <v>-9118810.7330133729</v>
      </c>
    </row>
    <row r="88" spans="2:24" x14ac:dyDescent="0.55000000000000004">
      <c r="B88" s="117">
        <v>5</v>
      </c>
      <c r="C88" s="257"/>
      <c r="D88" s="257"/>
      <c r="E88" s="257"/>
      <c r="F88" s="257"/>
      <c r="G88" s="257">
        <f t="shared" si="16"/>
        <v>12563099.300222663</v>
      </c>
      <c r="H88" s="257"/>
      <c r="I88" s="268">
        <f t="shared" si="17"/>
        <v>7040065.6994920149</v>
      </c>
      <c r="J88" s="257">
        <f t="shared" ref="J88:K106" si="22">F60</f>
        <v>40696116.747079574</v>
      </c>
      <c r="K88" s="257">
        <f t="shared" si="22"/>
        <v>53135497.983892828</v>
      </c>
      <c r="L88" s="257">
        <f t="shared" ref="L88:N106" si="23">I60</f>
        <v>15643946.39038465</v>
      </c>
      <c r="M88" s="257">
        <f t="shared" si="18"/>
        <v>41820456.404787399</v>
      </c>
      <c r="N88" s="257">
        <f t="shared" si="18"/>
        <v>18834514.132416096</v>
      </c>
      <c r="O88" s="257">
        <f t="shared" si="19"/>
        <v>93831614.730972409</v>
      </c>
      <c r="P88" s="266">
        <f>L88+M88+N88+D88+G88</f>
        <v>88862016.227810815</v>
      </c>
      <c r="Q88" s="266">
        <f t="shared" si="20"/>
        <v>4969598.5031615943</v>
      </c>
      <c r="R88" s="269">
        <f t="shared" si="21"/>
        <v>22744745.156129137</v>
      </c>
      <c r="S88" s="270">
        <f>SLN(-SUM($C$84:$C$86)-R87, 0, DepLife-1)</f>
        <v>13267768.007741997</v>
      </c>
      <c r="T88" s="270">
        <f t="shared" ref="T88:T93" si="24">IF(R88&gt;S88,R88,S88)</f>
        <v>22744745.156129137</v>
      </c>
      <c r="U88" s="257">
        <f>U87-T88</f>
        <v>56861862.890322849</v>
      </c>
      <c r="V88" s="257">
        <f t="shared" ref="V88:V106" si="25">Q88+G88-I88-T88</f>
        <v>-12252113.052236892</v>
      </c>
      <c r="W88" s="257">
        <f t="shared" si="12"/>
        <v>-2070607.1058280349</v>
      </c>
      <c r="X88" s="257">
        <f t="shared" si="13"/>
        <v>7040205.608989629</v>
      </c>
    </row>
    <row r="89" spans="2:24" x14ac:dyDescent="0.55000000000000004">
      <c r="B89" s="117">
        <v>6</v>
      </c>
      <c r="C89" s="257"/>
      <c r="D89" s="257"/>
      <c r="E89" s="257"/>
      <c r="F89" s="257"/>
      <c r="G89" s="257">
        <f t="shared" si="16"/>
        <v>12563099.300222663</v>
      </c>
      <c r="H89" s="257"/>
      <c r="I89" s="268">
        <f t="shared" si="17"/>
        <v>6476299.2857249575</v>
      </c>
      <c r="J89" s="257">
        <f t="shared" si="22"/>
        <v>41510039.082021169</v>
      </c>
      <c r="K89" s="257">
        <f t="shared" si="22"/>
        <v>54198207.943570688</v>
      </c>
      <c r="L89" s="257">
        <f t="shared" si="23"/>
        <v>15956825.318192342</v>
      </c>
      <c r="M89" s="257">
        <f t="shared" si="18"/>
        <v>42656865.532883152</v>
      </c>
      <c r="N89" s="257">
        <f t="shared" si="18"/>
        <v>19211204.415064417</v>
      </c>
      <c r="O89" s="257">
        <f t="shared" si="19"/>
        <v>95708247.02559185</v>
      </c>
      <c r="P89" s="266">
        <f t="shared" ref="P89:P105" si="26">L89+M89+N89+D89+G89</f>
        <v>90387994.566362575</v>
      </c>
      <c r="Q89" s="266">
        <f t="shared" si="20"/>
        <v>5320252.4592292756</v>
      </c>
      <c r="R89" s="269">
        <f t="shared" si="21"/>
        <v>16246246.540092239</v>
      </c>
      <c r="S89" s="270">
        <f>SLN(-SUM($C$84:$C$86)-R87-R88, 0, DepLife-2)</f>
        <v>11372372.57806457</v>
      </c>
      <c r="T89" s="270">
        <f t="shared" si="24"/>
        <v>16246246.540092239</v>
      </c>
      <c r="U89" s="257">
        <f t="shared" ref="U89:U93" si="27">U88-T89</f>
        <v>40615616.350230612</v>
      </c>
      <c r="V89" s="257">
        <f t="shared" si="25"/>
        <v>-4839194.066365255</v>
      </c>
      <c r="W89" s="257">
        <f t="shared" si="12"/>
        <v>-817823.79721572821</v>
      </c>
      <c r="X89" s="257">
        <f t="shared" si="13"/>
        <v>6138076.2564450037</v>
      </c>
    </row>
    <row r="90" spans="2:24" x14ac:dyDescent="0.55000000000000004">
      <c r="B90" s="117">
        <v>7</v>
      </c>
      <c r="C90" s="257"/>
      <c r="D90" s="257"/>
      <c r="E90" s="257"/>
      <c r="F90" s="257"/>
      <c r="G90" s="257">
        <f t="shared" si="16"/>
        <v>12563099.300222663</v>
      </c>
      <c r="H90" s="257"/>
      <c r="I90" s="268">
        <f t="shared" si="17"/>
        <v>5867431.5588565366</v>
      </c>
      <c r="J90" s="257">
        <f t="shared" si="22"/>
        <v>42340239.86366158</v>
      </c>
      <c r="K90" s="257">
        <f t="shared" si="22"/>
        <v>55282172.102442086</v>
      </c>
      <c r="L90" s="257">
        <f t="shared" si="23"/>
        <v>16275961.824556187</v>
      </c>
      <c r="M90" s="257">
        <f t="shared" si="18"/>
        <v>43510002.843540803</v>
      </c>
      <c r="N90" s="257">
        <f t="shared" si="18"/>
        <v>19595428.503365703</v>
      </c>
      <c r="O90" s="257">
        <f t="shared" si="19"/>
        <v>97622411.966103673</v>
      </c>
      <c r="P90" s="266">
        <f t="shared" si="26"/>
        <v>91944492.47168535</v>
      </c>
      <c r="Q90" s="266">
        <f t="shared" si="20"/>
        <v>5677919.494418323</v>
      </c>
      <c r="R90" s="269">
        <f t="shared" si="21"/>
        <v>11604461.814351602</v>
      </c>
      <c r="S90" s="270">
        <f>SLN(-SUM($C$84:$C$86)-R88-R89-R87, 0, DepLife-3)</f>
        <v>10153904.087557649</v>
      </c>
      <c r="T90" s="270">
        <f t="shared" si="24"/>
        <v>11604461.814351602</v>
      </c>
      <c r="U90" s="257">
        <f t="shared" si="27"/>
        <v>29011154.535879008</v>
      </c>
      <c r="V90" s="257">
        <f t="shared" si="25"/>
        <v>769125.42143285088</v>
      </c>
      <c r="W90" s="257">
        <f t="shared" si="12"/>
        <v>129982.1962221518</v>
      </c>
      <c r="X90" s="257">
        <f t="shared" si="13"/>
        <v>5547937.2981961714</v>
      </c>
    </row>
    <row r="91" spans="2:24" x14ac:dyDescent="0.55000000000000004">
      <c r="B91" s="117">
        <v>8</v>
      </c>
      <c r="C91" s="257"/>
      <c r="D91" s="257"/>
      <c r="E91" s="257"/>
      <c r="F91" s="257"/>
      <c r="G91" s="257">
        <f t="shared" si="16"/>
        <v>12563099.300222663</v>
      </c>
      <c r="H91" s="257"/>
      <c r="I91" s="268">
        <f t="shared" si="17"/>
        <v>5209854.4138386417</v>
      </c>
      <c r="J91" s="257">
        <f t="shared" si="22"/>
        <v>43187044.660934821</v>
      </c>
      <c r="K91" s="257">
        <f t="shared" si="22"/>
        <v>56387815.544490933</v>
      </c>
      <c r="L91" s="257">
        <f t="shared" si="23"/>
        <v>16601481.061047312</v>
      </c>
      <c r="M91" s="257">
        <f t="shared" si="18"/>
        <v>44380202.900411621</v>
      </c>
      <c r="N91" s="257">
        <f t="shared" si="18"/>
        <v>19987337.073433019</v>
      </c>
      <c r="O91" s="257">
        <f t="shared" si="19"/>
        <v>99574860.205425754</v>
      </c>
      <c r="P91" s="266">
        <f t="shared" si="26"/>
        <v>93532120.335114628</v>
      </c>
      <c r="Q91" s="266">
        <f t="shared" si="20"/>
        <v>6042739.8703111261</v>
      </c>
      <c r="R91" s="269">
        <f t="shared" si="21"/>
        <v>8288901.2959654285</v>
      </c>
      <c r="S91" s="270">
        <f>SLN(-SUM($C$84:$C$86)-R87-R89-R90-R88, 0, DepLife-4)</f>
        <v>9670384.8452930022</v>
      </c>
      <c r="T91" s="270">
        <f t="shared" si="24"/>
        <v>9670384.8452930022</v>
      </c>
      <c r="U91" s="257">
        <f t="shared" si="27"/>
        <v>19340769.690586008</v>
      </c>
      <c r="V91" s="257">
        <f t="shared" si="25"/>
        <v>3725599.9114021473</v>
      </c>
      <c r="W91" s="257">
        <f t="shared" si="12"/>
        <v>629626.38502696296</v>
      </c>
      <c r="X91" s="257">
        <f t="shared" si="13"/>
        <v>5413113.4852841627</v>
      </c>
    </row>
    <row r="92" spans="2:24" x14ac:dyDescent="0.55000000000000004">
      <c r="B92" s="117">
        <v>9</v>
      </c>
      <c r="C92" s="257"/>
      <c r="D92" s="257"/>
      <c r="E92" s="257"/>
      <c r="F92" s="257"/>
      <c r="G92" s="257">
        <f t="shared" si="16"/>
        <v>12563099.300222663</v>
      </c>
      <c r="H92" s="257"/>
      <c r="I92" s="268">
        <f t="shared" si="17"/>
        <v>4499671.0972193163</v>
      </c>
      <c r="J92" s="257">
        <f t="shared" si="22"/>
        <v>44050785.554153517</v>
      </c>
      <c r="K92" s="257">
        <f t="shared" si="22"/>
        <v>57515571.855380751</v>
      </c>
      <c r="L92" s="257">
        <f t="shared" si="23"/>
        <v>16933510.682268258</v>
      </c>
      <c r="M92" s="257">
        <f t="shared" si="18"/>
        <v>45267806.958419859</v>
      </c>
      <c r="N92" s="257">
        <f t="shared" si="18"/>
        <v>20387083.814901676</v>
      </c>
      <c r="O92" s="257">
        <f t="shared" si="19"/>
        <v>101566357.40953428</v>
      </c>
      <c r="P92" s="266">
        <f t="shared" si="26"/>
        <v>95151500.755812466</v>
      </c>
      <c r="Q92" s="266">
        <f t="shared" si="20"/>
        <v>6414856.6537218094</v>
      </c>
      <c r="R92" s="269">
        <f t="shared" si="21"/>
        <v>5920643.7828324484</v>
      </c>
      <c r="S92" s="270">
        <f>SLN(-SUM($C$84:$C$86)-R87-R88-R90-R89, 0, DepLife-4)</f>
        <v>9670384.8452930022</v>
      </c>
      <c r="T92" s="270">
        <f t="shared" si="24"/>
        <v>9670384.8452930022</v>
      </c>
      <c r="U92" s="257">
        <f t="shared" si="27"/>
        <v>9670384.8452930059</v>
      </c>
      <c r="V92" s="257">
        <f t="shared" si="25"/>
        <v>4807900.011432156</v>
      </c>
      <c r="W92" s="257">
        <f t="shared" si="12"/>
        <v>812535.10193203436</v>
      </c>
      <c r="X92" s="257">
        <f t="shared" si="13"/>
        <v>5602321.5517897755</v>
      </c>
    </row>
    <row r="93" spans="2:24" x14ac:dyDescent="0.55000000000000004">
      <c r="B93" s="117">
        <v>10</v>
      </c>
      <c r="C93" s="257"/>
      <c r="D93" s="257"/>
      <c r="E93" s="257"/>
      <c r="F93" s="257"/>
      <c r="G93" s="257">
        <f t="shared" si="16"/>
        <v>12563099.300222663</v>
      </c>
      <c r="H93" s="257"/>
      <c r="I93" s="268">
        <f t="shared" si="17"/>
        <v>3732673.1152704433</v>
      </c>
      <c r="J93" s="257">
        <f t="shared" si="22"/>
        <v>44931801.265236586</v>
      </c>
      <c r="K93" s="257">
        <f t="shared" si="22"/>
        <v>58665883.292488374</v>
      </c>
      <c r="L93" s="257">
        <f t="shared" si="23"/>
        <v>17272180.895913623</v>
      </c>
      <c r="M93" s="257">
        <f t="shared" si="18"/>
        <v>46173163.097588256</v>
      </c>
      <c r="N93" s="257">
        <f t="shared" si="18"/>
        <v>20794825.491199713</v>
      </c>
      <c r="O93" s="257">
        <f t="shared" si="19"/>
        <v>103597684.55772495</v>
      </c>
      <c r="P93" s="266">
        <f t="shared" si="26"/>
        <v>96803268.784924254</v>
      </c>
      <c r="Q93" s="266">
        <f t="shared" si="20"/>
        <v>6794415.7728006989</v>
      </c>
      <c r="R93" s="269">
        <f t="shared" si="21"/>
        <v>4229031.2734517492</v>
      </c>
      <c r="S93" s="270">
        <f>SLN(-SUM($C$84:$C$86)-R87-R88-R89-R90, 0, DepLife-4)</f>
        <v>9670384.8452930022</v>
      </c>
      <c r="T93" s="270">
        <f t="shared" si="24"/>
        <v>9670384.8452930022</v>
      </c>
      <c r="U93" s="257">
        <f t="shared" si="27"/>
        <v>0</v>
      </c>
      <c r="V93" s="257">
        <f t="shared" si="25"/>
        <v>5954457.1124599185</v>
      </c>
      <c r="W93" s="257">
        <f t="shared" si="12"/>
        <v>1006303.2520057263</v>
      </c>
      <c r="X93" s="257">
        <f t="shared" si="13"/>
        <v>5788112.5207949728</v>
      </c>
    </row>
    <row r="94" spans="2:24" x14ac:dyDescent="0.55000000000000004">
      <c r="B94" s="117">
        <v>11</v>
      </c>
      <c r="C94" s="257"/>
      <c r="D94" s="267"/>
      <c r="E94" s="257"/>
      <c r="F94" s="257"/>
      <c r="G94" s="257">
        <f t="shared" si="16"/>
        <v>12563099.300222663</v>
      </c>
      <c r="H94" s="257"/>
      <c r="I94" s="268">
        <f t="shared" si="17"/>
        <v>2904315.2947656619</v>
      </c>
      <c r="J94" s="257">
        <f t="shared" si="22"/>
        <v>45830437.290541314</v>
      </c>
      <c r="K94" s="257">
        <f t="shared" si="22"/>
        <v>59839200.958338127</v>
      </c>
      <c r="L94" s="257">
        <f t="shared" si="23"/>
        <v>17617624.513831891</v>
      </c>
      <c r="M94" s="257">
        <f t="shared" si="18"/>
        <v>47096626.359540008</v>
      </c>
      <c r="N94" s="257">
        <f t="shared" si="18"/>
        <v>21210722.001023702</v>
      </c>
      <c r="O94" s="257">
        <f t="shared" si="19"/>
        <v>105669638.24887943</v>
      </c>
      <c r="P94" s="266">
        <f t="shared" si="26"/>
        <v>98488072.174618274</v>
      </c>
      <c r="Q94" s="257">
        <f t="shared" si="20"/>
        <v>7181566.0742611587</v>
      </c>
      <c r="R94" s="257"/>
      <c r="S94" s="257"/>
      <c r="T94" s="257"/>
      <c r="U94" s="257"/>
      <c r="V94" s="257">
        <f t="shared" si="25"/>
        <v>16840350.079718161</v>
      </c>
      <c r="W94" s="257">
        <f t="shared" si="12"/>
        <v>2846019.1634723693</v>
      </c>
      <c r="X94" s="257">
        <f t="shared" si="13"/>
        <v>4335546.9107887894</v>
      </c>
    </row>
    <row r="95" spans="2:24" x14ac:dyDescent="0.55000000000000004">
      <c r="B95" s="117">
        <v>12</v>
      </c>
      <c r="C95" s="257"/>
      <c r="D95" s="257"/>
      <c r="E95" s="257"/>
      <c r="F95" s="257"/>
      <c r="G95" s="257">
        <f t="shared" si="16"/>
        <v>12563099.300222663</v>
      </c>
      <c r="H95" s="257"/>
      <c r="I95" s="268">
        <f t="shared" si="17"/>
        <v>2009688.8486204974</v>
      </c>
      <c r="J95" s="257">
        <f t="shared" si="22"/>
        <v>46747046.036352143</v>
      </c>
      <c r="K95" s="257">
        <f t="shared" si="22"/>
        <v>61035984.977504902</v>
      </c>
      <c r="L95" s="257">
        <f t="shared" si="23"/>
        <v>17969977.004108533</v>
      </c>
      <c r="M95" s="257">
        <f t="shared" si="18"/>
        <v>48038558.88673082</v>
      </c>
      <c r="N95" s="257">
        <f t="shared" si="18"/>
        <v>21634936.441044182</v>
      </c>
      <c r="O95" s="257">
        <f t="shared" si="19"/>
        <v>107783031.01385704</v>
      </c>
      <c r="P95" s="266">
        <f t="shared" si="26"/>
        <v>100206571.6321062</v>
      </c>
      <c r="Q95" s="257">
        <f t="shared" si="20"/>
        <v>7576459.381750837</v>
      </c>
      <c r="R95" s="257"/>
      <c r="S95" s="257"/>
      <c r="T95" s="257"/>
      <c r="U95" s="257"/>
      <c r="V95" s="257">
        <f t="shared" si="25"/>
        <v>18129869.833353005</v>
      </c>
      <c r="W95" s="257">
        <f t="shared" si="12"/>
        <v>3063948.001836658</v>
      </c>
      <c r="X95" s="257">
        <f t="shared" si="13"/>
        <v>4512511.3799141794</v>
      </c>
    </row>
    <row r="96" spans="2:24" x14ac:dyDescent="0.55000000000000004">
      <c r="B96" s="117">
        <v>13</v>
      </c>
      <c r="C96" s="257"/>
      <c r="D96" s="257"/>
      <c r="E96" s="257"/>
      <c r="F96" s="257"/>
      <c r="G96" s="257">
        <f t="shared" si="16"/>
        <v>12563099.300222663</v>
      </c>
      <c r="H96" s="257"/>
      <c r="I96" s="268">
        <f t="shared" si="17"/>
        <v>1043492.2867837197</v>
      </c>
      <c r="J96" s="257">
        <f t="shared" si="22"/>
        <v>47681986.957079187</v>
      </c>
      <c r="K96" s="257">
        <f t="shared" si="22"/>
        <v>62256704.677054994</v>
      </c>
      <c r="L96" s="257">
        <f t="shared" si="23"/>
        <v>18329376.544190705</v>
      </c>
      <c r="M96" s="257">
        <f t="shared" si="18"/>
        <v>48999330.064465433</v>
      </c>
      <c r="N96" s="257">
        <f t="shared" si="18"/>
        <v>22067635.169865061</v>
      </c>
      <c r="O96" s="257">
        <f t="shared" si="19"/>
        <v>109938691.63413417</v>
      </c>
      <c r="P96" s="266">
        <f t="shared" si="26"/>
        <v>101959441.07874386</v>
      </c>
      <c r="Q96" s="257">
        <f t="shared" si="20"/>
        <v>7979250.5553903133</v>
      </c>
      <c r="R96" s="257"/>
      <c r="S96" s="257"/>
      <c r="T96" s="257"/>
      <c r="U96" s="257"/>
      <c r="V96" s="257">
        <f t="shared" si="25"/>
        <v>19498857.568829257</v>
      </c>
      <c r="W96" s="257">
        <f t="shared" si="12"/>
        <v>3295306.9291321444</v>
      </c>
      <c r="X96" s="257">
        <f t="shared" si="13"/>
        <v>4683943.6262581684</v>
      </c>
    </row>
    <row r="97" spans="2:24" x14ac:dyDescent="0.55000000000000004">
      <c r="B97" s="117">
        <v>14</v>
      </c>
      <c r="C97" s="257"/>
      <c r="D97" s="257"/>
      <c r="E97" s="257"/>
      <c r="F97" s="257"/>
      <c r="G97" s="257"/>
      <c r="H97" s="257"/>
      <c r="I97" s="257"/>
      <c r="J97" s="257">
        <f t="shared" si="22"/>
        <v>48635626.69622077</v>
      </c>
      <c r="K97" s="257">
        <f t="shared" si="22"/>
        <v>63501838.770596102</v>
      </c>
      <c r="L97" s="257">
        <f t="shared" si="23"/>
        <v>18695964.07507452</v>
      </c>
      <c r="M97" s="257">
        <f t="shared" si="18"/>
        <v>49979316.665754743</v>
      </c>
      <c r="N97" s="257">
        <f t="shared" si="18"/>
        <v>22508987.873262364</v>
      </c>
      <c r="O97" s="257">
        <f t="shared" si="19"/>
        <v>112137465.46681687</v>
      </c>
      <c r="P97" s="266">
        <f t="shared" si="26"/>
        <v>91184268.61409162</v>
      </c>
      <c r="Q97" s="257">
        <f t="shared" si="20"/>
        <v>20953196.852725253</v>
      </c>
      <c r="R97" s="257"/>
      <c r="S97" s="257"/>
      <c r="T97" s="257"/>
      <c r="U97" s="257"/>
      <c r="V97" s="257">
        <f t="shared" si="25"/>
        <v>20953196.852725253</v>
      </c>
      <c r="W97" s="257">
        <f t="shared" si="12"/>
        <v>3541090.2681105677</v>
      </c>
      <c r="X97" s="257">
        <f t="shared" si="13"/>
        <v>17412106.584614687</v>
      </c>
    </row>
    <row r="98" spans="2:24" x14ac:dyDescent="0.55000000000000004">
      <c r="B98" s="117">
        <v>15</v>
      </c>
      <c r="C98" s="257"/>
      <c r="D98" s="257"/>
      <c r="E98" s="257"/>
      <c r="F98" s="257"/>
      <c r="G98" s="257"/>
      <c r="H98" s="257"/>
      <c r="I98" s="257"/>
      <c r="J98" s="257">
        <f t="shared" si="22"/>
        <v>49608339.230145171</v>
      </c>
      <c r="K98" s="257">
        <f t="shared" si="22"/>
        <v>64771875.546008006</v>
      </c>
      <c r="L98" s="257">
        <f t="shared" si="23"/>
        <v>19069883.356576003</v>
      </c>
      <c r="M98" s="257">
        <f t="shared" si="18"/>
        <v>50978902.999069825</v>
      </c>
      <c r="N98" s="257">
        <f t="shared" si="18"/>
        <v>22959167.630727608</v>
      </c>
      <c r="O98" s="257">
        <f t="shared" si="19"/>
        <v>114380214.77615318</v>
      </c>
      <c r="P98" s="266">
        <f t="shared" si="26"/>
        <v>93007953.986373439</v>
      </c>
      <c r="Q98" s="257">
        <f t="shared" si="20"/>
        <v>21372260.789779738</v>
      </c>
      <c r="R98" s="257"/>
      <c r="S98" s="257"/>
      <c r="T98" s="257"/>
      <c r="U98" s="257"/>
      <c r="V98" s="257">
        <f t="shared" si="25"/>
        <v>21372260.789779738</v>
      </c>
      <c r="W98" s="257">
        <f t="shared" si="12"/>
        <v>3611912.073472776</v>
      </c>
      <c r="X98" s="257">
        <f t="shared" si="13"/>
        <v>17760348.716306962</v>
      </c>
    </row>
    <row r="99" spans="2:24" x14ac:dyDescent="0.55000000000000004">
      <c r="B99" s="117">
        <v>16</v>
      </c>
      <c r="C99" s="257"/>
      <c r="D99" s="257"/>
      <c r="E99" s="257"/>
      <c r="F99" s="257"/>
      <c r="G99" s="257"/>
      <c r="H99" s="257"/>
      <c r="I99" s="257"/>
      <c r="J99" s="257">
        <f t="shared" si="22"/>
        <v>50600506.014748089</v>
      </c>
      <c r="K99" s="257">
        <f t="shared" si="22"/>
        <v>66067313.056928173</v>
      </c>
      <c r="L99" s="257">
        <f t="shared" si="23"/>
        <v>19451281.023707528</v>
      </c>
      <c r="M99" s="257">
        <f t="shared" si="18"/>
        <v>51998481.059051231</v>
      </c>
      <c r="N99" s="257">
        <f t="shared" si="18"/>
        <v>23418350.983342163</v>
      </c>
      <c r="O99" s="257">
        <f t="shared" si="19"/>
        <v>116667819.07167625</v>
      </c>
      <c r="P99" s="266">
        <f t="shared" si="26"/>
        <v>94868113.066100925</v>
      </c>
      <c r="Q99" s="257">
        <f t="shared" si="20"/>
        <v>21799706.005575329</v>
      </c>
      <c r="R99" s="257"/>
      <c r="S99" s="257"/>
      <c r="T99" s="257"/>
      <c r="U99" s="257"/>
      <c r="V99" s="257">
        <f t="shared" si="25"/>
        <v>21799706.005575329</v>
      </c>
      <c r="W99" s="257">
        <f t="shared" si="12"/>
        <v>3684150.3149422309</v>
      </c>
      <c r="X99" s="257">
        <f t="shared" si="13"/>
        <v>18115555.6906331</v>
      </c>
    </row>
    <row r="100" spans="2:24" x14ac:dyDescent="0.55000000000000004">
      <c r="B100" s="117">
        <v>17</v>
      </c>
      <c r="C100" s="257"/>
      <c r="D100" s="257"/>
      <c r="E100" s="257"/>
      <c r="F100" s="257"/>
      <c r="G100" s="257"/>
      <c r="H100" s="257"/>
      <c r="I100" s="257"/>
      <c r="J100" s="257">
        <f t="shared" si="22"/>
        <v>51612516.135043055</v>
      </c>
      <c r="K100" s="257">
        <f t="shared" si="22"/>
        <v>67388659.318066746</v>
      </c>
      <c r="L100" s="257">
        <f t="shared" si="23"/>
        <v>19840306.64418168</v>
      </c>
      <c r="M100" s="257">
        <f t="shared" si="18"/>
        <v>53038450.680232264</v>
      </c>
      <c r="N100" s="257">
        <f t="shared" si="18"/>
        <v>23886718.00300901</v>
      </c>
      <c r="O100" s="257">
        <f t="shared" si="19"/>
        <v>119001175.4531098</v>
      </c>
      <c r="P100" s="266">
        <f t="shared" si="26"/>
        <v>96765475.327422947</v>
      </c>
      <c r="Q100" s="257">
        <f t="shared" si="20"/>
        <v>22235700.125686854</v>
      </c>
      <c r="R100" s="257"/>
      <c r="S100" s="257"/>
      <c r="T100" s="257"/>
      <c r="U100" s="257"/>
      <c r="V100" s="257">
        <f t="shared" si="25"/>
        <v>22235700.125686854</v>
      </c>
      <c r="W100" s="257">
        <f t="shared" si="12"/>
        <v>3757833.3212410784</v>
      </c>
      <c r="X100" s="257">
        <f t="shared" si="13"/>
        <v>18477866.804445777</v>
      </c>
    </row>
    <row r="101" spans="2:24" x14ac:dyDescent="0.55000000000000004">
      <c r="B101" s="117">
        <v>18</v>
      </c>
      <c r="C101" s="257"/>
      <c r="D101" s="257"/>
      <c r="E101" s="257"/>
      <c r="F101" s="257"/>
      <c r="G101" s="257"/>
      <c r="H101" s="257"/>
      <c r="I101" s="257"/>
      <c r="J101" s="257">
        <f t="shared" si="22"/>
        <v>52644766.457743905</v>
      </c>
      <c r="K101" s="257">
        <f t="shared" si="22"/>
        <v>68736432.504428074</v>
      </c>
      <c r="L101" s="257">
        <f t="shared" si="23"/>
        <v>20237112.777065311</v>
      </c>
      <c r="M101" s="257">
        <f t="shared" si="18"/>
        <v>54099219.693836898</v>
      </c>
      <c r="N101" s="257">
        <f t="shared" si="18"/>
        <v>24364452.363069184</v>
      </c>
      <c r="O101" s="257">
        <f t="shared" si="19"/>
        <v>121381198.96217197</v>
      </c>
      <c r="P101" s="266">
        <f t="shared" si="26"/>
        <v>98700784.833971381</v>
      </c>
      <c r="Q101" s="257">
        <f t="shared" si="20"/>
        <v>22680414.128200591</v>
      </c>
      <c r="R101" s="257"/>
      <c r="S101" s="257"/>
      <c r="T101" s="257"/>
      <c r="U101" s="257"/>
      <c r="V101" s="257">
        <f t="shared" si="25"/>
        <v>22680414.128200591</v>
      </c>
      <c r="W101" s="257">
        <f t="shared" si="12"/>
        <v>3832989.9876659</v>
      </c>
      <c r="X101" s="257">
        <f t="shared" si="13"/>
        <v>18847424.140534692</v>
      </c>
    </row>
    <row r="102" spans="2:24" x14ac:dyDescent="0.55000000000000004">
      <c r="B102" s="117">
        <v>19</v>
      </c>
      <c r="C102" s="257"/>
      <c r="D102" s="257"/>
      <c r="E102" s="257"/>
      <c r="F102" s="257"/>
      <c r="G102" s="257"/>
      <c r="H102" s="257"/>
      <c r="I102" s="257"/>
      <c r="J102" s="257">
        <f t="shared" si="22"/>
        <v>53697661.786898784</v>
      </c>
      <c r="K102" s="257">
        <f t="shared" si="22"/>
        <v>70111161.154516637</v>
      </c>
      <c r="L102" s="257">
        <f t="shared" si="23"/>
        <v>20641855.032606617</v>
      </c>
      <c r="M102" s="257">
        <f t="shared" si="18"/>
        <v>55181204.087713636</v>
      </c>
      <c r="N102" s="257">
        <f t="shared" si="18"/>
        <v>24851741.410330568</v>
      </c>
      <c r="O102" s="257">
        <f t="shared" si="19"/>
        <v>123808822.94141543</v>
      </c>
      <c r="P102" s="266">
        <f t="shared" si="26"/>
        <v>100674800.53065082</v>
      </c>
      <c r="Q102" s="257">
        <f t="shared" si="20"/>
        <v>23134022.410764605</v>
      </c>
      <c r="R102" s="257"/>
      <c r="S102" s="257"/>
      <c r="T102" s="257"/>
      <c r="U102" s="257"/>
      <c r="V102" s="257">
        <f t="shared" si="25"/>
        <v>23134022.410764605</v>
      </c>
      <c r="W102" s="257">
        <f t="shared" si="12"/>
        <v>3909649.7874192186</v>
      </c>
      <c r="X102" s="257">
        <f t="shared" si="13"/>
        <v>19224372.623345386</v>
      </c>
    </row>
    <row r="103" spans="2:24" x14ac:dyDescent="0.55000000000000004">
      <c r="B103" s="117">
        <v>20</v>
      </c>
      <c r="C103" s="257"/>
      <c r="D103" s="257"/>
      <c r="E103" s="257"/>
      <c r="F103" s="257"/>
      <c r="G103" s="257"/>
      <c r="H103" s="257"/>
      <c r="I103" s="257"/>
      <c r="J103" s="257">
        <f t="shared" si="22"/>
        <v>54771615.022636764</v>
      </c>
      <c r="K103" s="257">
        <f t="shared" si="22"/>
        <v>71513384.377606973</v>
      </c>
      <c r="L103" s="257">
        <f t="shared" si="23"/>
        <v>21054692.133258753</v>
      </c>
      <c r="M103" s="257">
        <f t="shared" si="23"/>
        <v>56284828.169467919</v>
      </c>
      <c r="N103" s="257">
        <f t="shared" si="23"/>
        <v>25348776.238537181</v>
      </c>
      <c r="O103" s="257">
        <f t="shared" si="19"/>
        <v>126284999.40024373</v>
      </c>
      <c r="P103" s="266">
        <f t="shared" si="26"/>
        <v>102688296.54126385</v>
      </c>
      <c r="Q103" s="257">
        <f t="shared" si="20"/>
        <v>23596702.858979881</v>
      </c>
      <c r="R103" s="257"/>
      <c r="S103" s="257"/>
      <c r="T103" s="257"/>
      <c r="U103" s="257"/>
      <c r="V103" s="257">
        <f t="shared" si="25"/>
        <v>23596702.858979881</v>
      </c>
      <c r="W103" s="257">
        <f t="shared" si="12"/>
        <v>3987842.7831676002</v>
      </c>
      <c r="X103" s="257">
        <f t="shared" si="13"/>
        <v>19608860.07581228</v>
      </c>
    </row>
    <row r="104" spans="2:24" x14ac:dyDescent="0.55000000000000004">
      <c r="B104" s="117">
        <v>21</v>
      </c>
      <c r="C104" s="257"/>
      <c r="D104" s="257"/>
      <c r="E104" s="257"/>
      <c r="F104" s="257"/>
      <c r="G104" s="257"/>
      <c r="H104" s="257"/>
      <c r="I104" s="257"/>
      <c r="J104" s="257">
        <f t="shared" si="22"/>
        <v>55867047.323089495</v>
      </c>
      <c r="K104" s="257">
        <f t="shared" si="22"/>
        <v>72943652.065159112</v>
      </c>
      <c r="L104" s="257">
        <f t="shared" si="23"/>
        <v>21475785.975923926</v>
      </c>
      <c r="M104" s="257">
        <f t="shared" si="23"/>
        <v>57410524.732857272</v>
      </c>
      <c r="N104" s="257">
        <f t="shared" si="23"/>
        <v>25855751.763307925</v>
      </c>
      <c r="O104" s="257">
        <f t="shared" si="19"/>
        <v>128810699.38824861</v>
      </c>
      <c r="P104" s="266">
        <f t="shared" si="26"/>
        <v>104742062.47208913</v>
      </c>
      <c r="Q104" s="257">
        <f t="shared" si="20"/>
        <v>24068636.916159481</v>
      </c>
      <c r="R104" s="257"/>
      <c r="S104" s="257"/>
      <c r="T104" s="257"/>
      <c r="U104" s="257"/>
      <c r="V104" s="257">
        <f t="shared" si="25"/>
        <v>24068636.916159481</v>
      </c>
      <c r="W104" s="257">
        <f t="shared" si="12"/>
        <v>4067599.6388309523</v>
      </c>
      <c r="X104" s="257">
        <f t="shared" si="13"/>
        <v>20001037.277328528</v>
      </c>
    </row>
    <row r="105" spans="2:24" x14ac:dyDescent="0.55000000000000004">
      <c r="B105" s="117">
        <v>22</v>
      </c>
      <c r="C105" s="257"/>
      <c r="D105" s="257"/>
      <c r="E105" s="257"/>
      <c r="F105" s="257"/>
      <c r="G105" s="257"/>
      <c r="H105" s="257"/>
      <c r="I105" s="257"/>
      <c r="J105" s="257">
        <f t="shared" si="22"/>
        <v>56984388.269551292</v>
      </c>
      <c r="K105" s="257">
        <f t="shared" si="22"/>
        <v>74402525.106462285</v>
      </c>
      <c r="L105" s="257">
        <f t="shared" si="23"/>
        <v>21905301.695442405</v>
      </c>
      <c r="M105" s="257">
        <f t="shared" si="23"/>
        <v>58558735.227514416</v>
      </c>
      <c r="N105" s="257">
        <f t="shared" si="23"/>
        <v>26372866.798574083</v>
      </c>
      <c r="O105" s="257">
        <f t="shared" si="19"/>
        <v>131386913.37601358</v>
      </c>
      <c r="P105" s="266">
        <f t="shared" si="26"/>
        <v>106836903.72153091</v>
      </c>
      <c r="Q105" s="257">
        <f t="shared" si="20"/>
        <v>24550009.654482663</v>
      </c>
      <c r="R105" s="257"/>
      <c r="S105" s="257"/>
      <c r="T105" s="257"/>
      <c r="U105" s="257"/>
      <c r="V105" s="257">
        <f t="shared" si="25"/>
        <v>24550009.654482663</v>
      </c>
      <c r="W105" s="257">
        <f t="shared" si="12"/>
        <v>4148951.6316075702</v>
      </c>
      <c r="X105" s="257">
        <f t="shared" si="13"/>
        <v>20401058.022875093</v>
      </c>
    </row>
    <row r="106" spans="2:24" x14ac:dyDescent="0.55000000000000004">
      <c r="B106" s="147">
        <v>23</v>
      </c>
      <c r="C106" s="263"/>
      <c r="D106" s="263">
        <f>D78</f>
        <v>-21794728.359192297</v>
      </c>
      <c r="E106" s="263">
        <f>E78</f>
        <v>-2848536.2502536355</v>
      </c>
      <c r="F106" s="263"/>
      <c r="G106" s="263"/>
      <c r="H106" s="263"/>
      <c r="I106" s="263"/>
      <c r="J106" s="263">
        <f t="shared" si="22"/>
        <v>58124076.034942307</v>
      </c>
      <c r="K106" s="263">
        <f t="shared" si="22"/>
        <v>75890575.608591527</v>
      </c>
      <c r="L106" s="263">
        <f t="shared" si="23"/>
        <v>22343407.729351249</v>
      </c>
      <c r="M106" s="263">
        <f t="shared" si="23"/>
        <v>59729909.932064697</v>
      </c>
      <c r="N106" s="263">
        <f t="shared" si="23"/>
        <v>26900324.134545561</v>
      </c>
      <c r="O106" s="263">
        <f t="shared" si="19"/>
        <v>134014651.64353383</v>
      </c>
      <c r="P106" s="271">
        <f>L106+M106+N106+D106+G106</f>
        <v>87178913.436769217</v>
      </c>
      <c r="Q106" s="263">
        <f>O106-P106</f>
        <v>46835738.206764609</v>
      </c>
      <c r="R106" s="263"/>
      <c r="S106" s="263"/>
      <c r="T106" s="263"/>
      <c r="U106" s="263"/>
      <c r="V106" s="263">
        <f t="shared" si="25"/>
        <v>46835738.206764609</v>
      </c>
      <c r="W106" s="263">
        <f t="shared" si="12"/>
        <v>7915239.7569432193</v>
      </c>
      <c r="X106" s="263">
        <f>Q106-W106+H106-E106</f>
        <v>41769034.700075023</v>
      </c>
    </row>
    <row r="107" spans="2:24" x14ac:dyDescent="0.55000000000000004">
      <c r="B107" s="117" t="s">
        <v>147</v>
      </c>
      <c r="X107" s="251">
        <f>NPV(NomDiscRate,X84:X106)</f>
        <v>-7.8855298207192921E-9</v>
      </c>
    </row>
    <row r="108" spans="2:24" x14ac:dyDescent="0.55000000000000004">
      <c r="B108" s="117" t="s">
        <v>148</v>
      </c>
      <c r="X108" s="272">
        <f>IRR(X84:X106)</f>
        <v>0.12200000000000011</v>
      </c>
    </row>
  </sheetData>
  <sheetProtection algorithmName="SHA-512" hashValue="BWl/dANmwhqR7tDzEeVPPabmryeR0spjlADGc/w0lwGrwXoI6sTffj8pK5b9dVeL8aWFDEym4Za0h4eghmtl0w==" saltValue="s9s1oo001AKCqIGKnWEI9g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3"/>
  <sheetViews>
    <sheetView zoomScaleNormal="100" workbookViewId="0"/>
  </sheetViews>
  <sheetFormatPr defaultRowHeight="14.4" x14ac:dyDescent="0.55000000000000004"/>
  <cols>
    <col min="1" max="1" width="32.41796875" style="105" bestFit="1" customWidth="1"/>
    <col min="2" max="2" width="7.41796875" style="278" customWidth="1"/>
    <col min="3" max="3" width="26.41796875" style="278" bestFit="1" customWidth="1"/>
    <col min="4" max="4" width="25.20703125" style="105" bestFit="1" customWidth="1"/>
    <col min="5" max="5" width="13.1015625" style="105" bestFit="1" customWidth="1"/>
    <col min="6" max="6" width="18.3125" style="105" customWidth="1"/>
    <col min="7" max="7" width="14.1015625" style="105" bestFit="1" customWidth="1"/>
    <col min="8" max="10" width="13.1015625" style="105" bestFit="1" customWidth="1"/>
    <col min="11" max="16384" width="8.83984375" style="105"/>
  </cols>
  <sheetData>
    <row r="1" spans="1:7" x14ac:dyDescent="0.55000000000000004">
      <c r="A1" s="105" t="s">
        <v>99</v>
      </c>
      <c r="B1" s="163">
        <f>0.015*C12/1000000</f>
        <v>1.8064161198745368</v>
      </c>
      <c r="C1" s="123" t="s">
        <v>467</v>
      </c>
    </row>
    <row r="4" spans="1:7" x14ac:dyDescent="0.55000000000000004">
      <c r="A4" s="114" t="s">
        <v>107</v>
      </c>
      <c r="B4" s="115"/>
      <c r="C4" s="115" t="s">
        <v>231</v>
      </c>
      <c r="D4" s="116" t="s">
        <v>116</v>
      </c>
    </row>
    <row r="5" spans="1:7" x14ac:dyDescent="0.55000000000000004">
      <c r="A5" s="244" t="s">
        <v>438</v>
      </c>
      <c r="B5" s="120" t="s">
        <v>108</v>
      </c>
      <c r="C5" s="274">
        <f>FHRPrep!F2*1000000</f>
        <v>6312272.5001667244</v>
      </c>
      <c r="D5" s="160"/>
    </row>
    <row r="6" spans="1:7" x14ac:dyDescent="0.55000000000000004">
      <c r="A6" s="244" t="s">
        <v>434</v>
      </c>
      <c r="B6" s="120" t="s">
        <v>108</v>
      </c>
      <c r="C6" s="274">
        <f>(Coarse!F2+Fine!F2*1.1+Amorphous!F2*1.1)*1000000</f>
        <v>9300118.6419781297</v>
      </c>
      <c r="D6" s="275" t="s">
        <v>576</v>
      </c>
    </row>
    <row r="7" spans="1:7" x14ac:dyDescent="0.55000000000000004">
      <c r="A7" s="244" t="s">
        <v>385</v>
      </c>
      <c r="B7" s="120" t="s">
        <v>108</v>
      </c>
      <c r="C7" s="276">
        <f>Saccharification!F2*1000000</f>
        <v>5654316.3151998697</v>
      </c>
      <c r="D7" s="277"/>
    </row>
    <row r="8" spans="1:7" x14ac:dyDescent="0.55000000000000004">
      <c r="A8" s="278" t="s">
        <v>386</v>
      </c>
      <c r="B8" s="120" t="s">
        <v>108</v>
      </c>
      <c r="C8" s="276">
        <f>Pellets!F2*1000000</f>
        <v>2857085.0534726926</v>
      </c>
      <c r="D8" s="277"/>
    </row>
    <row r="9" spans="1:7" x14ac:dyDescent="0.55000000000000004">
      <c r="A9" s="279" t="s">
        <v>235</v>
      </c>
      <c r="B9" s="280"/>
      <c r="C9" s="281">
        <f>SUM(C5:C8)</f>
        <v>24123792.51081742</v>
      </c>
      <c r="D9" s="282"/>
      <c r="E9" s="283"/>
      <c r="F9" s="107"/>
      <c r="G9" s="284"/>
    </row>
    <row r="10" spans="1:7" x14ac:dyDescent="0.55000000000000004">
      <c r="A10" s="285" t="s">
        <v>109</v>
      </c>
      <c r="B10" s="286"/>
      <c r="C10" s="281">
        <f>C9*E10</f>
        <v>76210506.797745213</v>
      </c>
      <c r="D10" s="287" t="s">
        <v>233</v>
      </c>
      <c r="E10" s="288">
        <f>3.02-0.29+0.47-0.55*(1.3/17.5)</f>
        <v>3.1591428571428573</v>
      </c>
      <c r="F10" s="105" t="s">
        <v>575</v>
      </c>
      <c r="G10" s="289"/>
    </row>
    <row r="11" spans="1:7" x14ac:dyDescent="0.55000000000000004">
      <c r="A11" s="285" t="s">
        <v>110</v>
      </c>
      <c r="B11" s="286"/>
      <c r="C11" s="281">
        <f>C9*E11</f>
        <v>106606485.36137515</v>
      </c>
      <c r="D11" s="287" t="s">
        <v>234</v>
      </c>
      <c r="E11" s="288">
        <f>3.02-0.29+0.47+1.26-0.55*(1.3/17.5)</f>
        <v>4.419142857142857</v>
      </c>
      <c r="F11" s="105" t="s">
        <v>575</v>
      </c>
      <c r="G11" s="289"/>
    </row>
    <row r="12" spans="1:7" x14ac:dyDescent="0.55000000000000004">
      <c r="A12" s="285" t="s">
        <v>111</v>
      </c>
      <c r="B12" s="279"/>
      <c r="C12" s="281">
        <f>C11+CBA!J9*(OPEX!E3)*1000000</f>
        <v>120427741.32496913</v>
      </c>
      <c r="D12" s="287"/>
      <c r="E12" s="288"/>
      <c r="G12" s="289"/>
    </row>
    <row r="14" spans="1:7" x14ac:dyDescent="0.55000000000000004">
      <c r="F14" s="290"/>
      <c r="G14" s="166"/>
    </row>
    <row r="15" spans="1:7" x14ac:dyDescent="0.55000000000000004">
      <c r="A15" s="114" t="s">
        <v>107</v>
      </c>
      <c r="B15" s="115"/>
      <c r="C15" s="115" t="s">
        <v>225</v>
      </c>
      <c r="D15" s="116" t="s">
        <v>116</v>
      </c>
      <c r="E15" s="291"/>
    </row>
    <row r="16" spans="1:7" x14ac:dyDescent="0.55000000000000004">
      <c r="A16" s="244" t="s">
        <v>438</v>
      </c>
      <c r="B16" s="120" t="s">
        <v>108</v>
      </c>
      <c r="C16" s="292">
        <f>C5/1000000</f>
        <v>6.3122725001667241</v>
      </c>
      <c r="D16" s="166"/>
      <c r="E16" s="291"/>
      <c r="F16" s="126"/>
    </row>
    <row r="17" spans="1:5" x14ac:dyDescent="0.55000000000000004">
      <c r="A17" s="244" t="s">
        <v>434</v>
      </c>
      <c r="B17" s="120" t="s">
        <v>108</v>
      </c>
      <c r="C17" s="292">
        <f>C6/1000000</f>
        <v>9.3001186419781305</v>
      </c>
      <c r="D17" s="275" t="s">
        <v>435</v>
      </c>
      <c r="E17" s="291"/>
    </row>
    <row r="18" spans="1:5" x14ac:dyDescent="0.55000000000000004">
      <c r="A18" s="244" t="s">
        <v>281</v>
      </c>
      <c r="B18" s="120" t="s">
        <v>108</v>
      </c>
      <c r="C18" s="292">
        <f>C7/1000000</f>
        <v>5.6543163151998694</v>
      </c>
      <c r="D18" s="166"/>
      <c r="E18" s="123"/>
    </row>
    <row r="19" spans="1:5" x14ac:dyDescent="0.55000000000000004">
      <c r="A19" s="278" t="s">
        <v>386</v>
      </c>
      <c r="B19" s="120" t="s">
        <v>108</v>
      </c>
      <c r="C19" s="292">
        <f>C8/1000000</f>
        <v>2.8570850534726926</v>
      </c>
      <c r="D19" s="166"/>
      <c r="E19" s="123"/>
    </row>
    <row r="20" spans="1:5" x14ac:dyDescent="0.55000000000000004">
      <c r="A20" s="285" t="s">
        <v>282</v>
      </c>
      <c r="B20" s="280"/>
      <c r="C20" s="293">
        <f t="shared" ref="C20" si="0">C9/1000000</f>
        <v>24.12379251081742</v>
      </c>
    </row>
    <row r="21" spans="1:5" x14ac:dyDescent="0.55000000000000004">
      <c r="A21" s="285" t="s">
        <v>109</v>
      </c>
      <c r="B21" s="286"/>
      <c r="C21" s="293">
        <f t="shared" ref="C21:C23" si="1">C10/1000000</f>
        <v>76.210506797745211</v>
      </c>
    </row>
    <row r="22" spans="1:5" x14ac:dyDescent="0.55000000000000004">
      <c r="A22" s="285" t="s">
        <v>110</v>
      </c>
      <c r="B22" s="286"/>
      <c r="C22" s="293">
        <f t="shared" si="1"/>
        <v>106.60648536137515</v>
      </c>
    </row>
    <row r="23" spans="1:5" x14ac:dyDescent="0.55000000000000004">
      <c r="A23" s="285" t="s">
        <v>111</v>
      </c>
      <c r="B23" s="279"/>
      <c r="C23" s="293">
        <f t="shared" si="1"/>
        <v>120.42774132496913</v>
      </c>
    </row>
  </sheetData>
  <sheetProtection algorithmName="SHA-512" hashValue="rFOMTw6p5weykhmVtyBrOeIpIy5yfy6HEfjX9jwYMI8tdu+OJ0vDgHlqRUml1wTyq5wFdF5vepA6mks2BinlfA==" saltValue="FLfjdxOorPbYk4xfTKjZQA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72"/>
  <sheetViews>
    <sheetView zoomScaleNormal="100" workbookViewId="0">
      <selection sqref="A1:XFD1048576"/>
    </sheetView>
  </sheetViews>
  <sheetFormatPr defaultRowHeight="14.4" x14ac:dyDescent="0.55000000000000004"/>
  <cols>
    <col min="1" max="1" width="36.7890625" style="105" customWidth="1"/>
    <col min="2" max="2" width="15" style="105" customWidth="1"/>
    <col min="3" max="3" width="15.20703125" style="105" customWidth="1"/>
    <col min="4" max="4" width="17.05078125" style="105" customWidth="1"/>
    <col min="5" max="5" width="13.1015625" style="105" customWidth="1"/>
    <col min="6" max="6" width="15.5234375" style="105" bestFit="1" customWidth="1"/>
    <col min="7" max="7" width="16.41796875" style="105" bestFit="1" customWidth="1"/>
    <col min="8" max="8" width="11.5234375" style="125" bestFit="1" customWidth="1"/>
    <col min="9" max="9" width="9.47265625" style="105" customWidth="1"/>
    <col min="10" max="10" width="14.5234375" style="105" customWidth="1"/>
    <col min="11" max="16384" width="8.83984375" style="105"/>
  </cols>
  <sheetData>
    <row r="1" spans="1:12" x14ac:dyDescent="0.55000000000000004">
      <c r="A1" s="294"/>
    </row>
    <row r="2" spans="1:12" ht="14.7" thickBot="1" x14ac:dyDescent="0.6">
      <c r="G2" s="107"/>
      <c r="H2" s="295"/>
      <c r="I2" s="107"/>
    </row>
    <row r="3" spans="1:12" ht="14.7" thickBot="1" x14ac:dyDescent="0.6">
      <c r="A3" s="113" t="s">
        <v>28</v>
      </c>
      <c r="B3" s="164">
        <f>FeedYrBFLoss*FeedCost*1000/1000000</f>
        <v>14.169204233098878</v>
      </c>
      <c r="D3" s="296" t="s">
        <v>32</v>
      </c>
      <c r="E3" s="297">
        <f>B3+D21+B14</f>
        <v>69.106279817969892</v>
      </c>
      <c r="G3" s="298"/>
      <c r="H3" s="295"/>
      <c r="I3" s="107"/>
    </row>
    <row r="4" spans="1:12" x14ac:dyDescent="0.55000000000000004">
      <c r="B4" s="299"/>
      <c r="C4" s="126"/>
      <c r="D4" s="165"/>
      <c r="E4" s="166"/>
      <c r="G4" s="107"/>
      <c r="H4" s="300"/>
      <c r="I4" s="107"/>
    </row>
    <row r="5" spans="1:12" x14ac:dyDescent="0.55000000000000004">
      <c r="B5" s="132"/>
      <c r="C5" s="250"/>
      <c r="G5" s="107"/>
      <c r="H5" s="300"/>
      <c r="I5" s="107"/>
    </row>
    <row r="6" spans="1:12" x14ac:dyDescent="0.55000000000000004">
      <c r="A6" s="114" t="s">
        <v>226</v>
      </c>
      <c r="B6" s="116" t="s">
        <v>227</v>
      </c>
      <c r="C6" s="278"/>
      <c r="D6" s="301"/>
      <c r="E6" s="302"/>
      <c r="F6" s="303"/>
      <c r="G6" s="252"/>
      <c r="H6" s="304"/>
      <c r="I6" s="117"/>
      <c r="J6" s="117"/>
      <c r="K6" s="117"/>
      <c r="L6" s="117"/>
    </row>
    <row r="7" spans="1:12" x14ac:dyDescent="0.55000000000000004">
      <c r="A7" s="153" t="s">
        <v>438</v>
      </c>
      <c r="B7" s="122">
        <f>FHRPrep!F3</f>
        <v>5.7469553310890555</v>
      </c>
      <c r="C7" s="278"/>
      <c r="D7" s="301"/>
      <c r="E7" s="302"/>
      <c r="F7" s="303"/>
      <c r="H7" s="305"/>
      <c r="I7" s="306"/>
      <c r="J7" s="117"/>
      <c r="K7" s="117"/>
      <c r="L7" s="117"/>
    </row>
    <row r="8" spans="1:12" x14ac:dyDescent="0.55000000000000004">
      <c r="A8" s="153" t="s">
        <v>434</v>
      </c>
      <c r="B8" s="122">
        <f>Coarse!F3+Fine!F3+Amorphous!F3</f>
        <v>13.989489418080002</v>
      </c>
      <c r="C8" s="154" t="s">
        <v>435</v>
      </c>
      <c r="D8" s="301"/>
      <c r="E8" s="302"/>
      <c r="F8" s="303"/>
      <c r="G8" s="307"/>
      <c r="H8" s="304"/>
      <c r="I8" s="308"/>
      <c r="J8" s="117"/>
      <c r="K8" s="117"/>
      <c r="L8" s="117"/>
    </row>
    <row r="9" spans="1:12" x14ac:dyDescent="0.55000000000000004">
      <c r="A9" s="118" t="s">
        <v>385</v>
      </c>
      <c r="B9" s="130">
        <f>Saccharification!F3</f>
        <v>4.2210672447273829</v>
      </c>
      <c r="C9" s="309"/>
      <c r="D9" s="244"/>
      <c r="E9" s="310"/>
      <c r="F9" s="124"/>
      <c r="H9" s="305"/>
      <c r="I9" s="308"/>
      <c r="J9" s="117"/>
      <c r="K9" s="117"/>
      <c r="L9" s="117"/>
    </row>
    <row r="10" spans="1:12" x14ac:dyDescent="0.55000000000000004">
      <c r="A10" s="118" t="s">
        <v>386</v>
      </c>
      <c r="B10" s="122">
        <f>Pellets!F3</f>
        <v>9.2374866525539332</v>
      </c>
      <c r="C10" s="309"/>
      <c r="D10" s="311"/>
      <c r="E10" s="312"/>
      <c r="F10" s="124"/>
      <c r="G10" s="117"/>
      <c r="H10" s="305"/>
      <c r="I10" s="308"/>
      <c r="J10" s="117"/>
      <c r="K10" s="117"/>
      <c r="L10" s="117"/>
    </row>
    <row r="11" spans="1:12" x14ac:dyDescent="0.55000000000000004">
      <c r="A11" s="118" t="s">
        <v>387</v>
      </c>
      <c r="B11" s="130">
        <f>WWT!F3</f>
        <v>0.72774876461760007</v>
      </c>
      <c r="C11" s="309"/>
      <c r="D11" s="244"/>
      <c r="E11" s="310"/>
      <c r="F11" s="124"/>
      <c r="G11" s="117"/>
      <c r="H11" s="304"/>
      <c r="I11" s="308"/>
      <c r="J11" s="117"/>
      <c r="K11" s="117"/>
      <c r="L11" s="117"/>
    </row>
    <row r="12" spans="1:12" x14ac:dyDescent="0.55000000000000004">
      <c r="A12" s="118" t="s">
        <v>388</v>
      </c>
      <c r="B12" s="122">
        <f>Utilities!F3</f>
        <v>0.75532843589680809</v>
      </c>
      <c r="C12" s="250"/>
      <c r="D12" s="117"/>
      <c r="E12" s="313"/>
      <c r="F12" s="314"/>
      <c r="G12" s="117"/>
      <c r="H12" s="304"/>
      <c r="I12" s="308"/>
      <c r="J12" s="117"/>
      <c r="K12" s="117"/>
      <c r="L12" s="117"/>
    </row>
    <row r="13" spans="1:12" x14ac:dyDescent="0.55000000000000004">
      <c r="A13" s="129" t="s">
        <v>395</v>
      </c>
      <c r="B13" s="124">
        <f>EnzCost*6.4</f>
        <v>3.2</v>
      </c>
      <c r="C13" s="315" t="s">
        <v>603</v>
      </c>
      <c r="D13" s="117"/>
      <c r="E13" s="313"/>
      <c r="F13" s="314"/>
      <c r="G13" s="117"/>
      <c r="H13" s="305"/>
      <c r="I13" s="308"/>
      <c r="J13" s="117"/>
      <c r="K13" s="117"/>
      <c r="L13" s="117"/>
    </row>
    <row r="14" spans="1:12" x14ac:dyDescent="0.55000000000000004">
      <c r="A14" s="131" t="s">
        <v>29</v>
      </c>
      <c r="B14" s="132">
        <f>SUM(B7:B13)</f>
        <v>37.878075846964784</v>
      </c>
      <c r="C14" s="250"/>
      <c r="D14" s="316"/>
      <c r="E14" s="310"/>
      <c r="F14" s="317"/>
      <c r="G14" s="123"/>
      <c r="H14" s="305"/>
      <c r="I14" s="308"/>
      <c r="J14" s="117"/>
      <c r="K14" s="117"/>
      <c r="L14" s="117"/>
    </row>
    <row r="15" spans="1:12" x14ac:dyDescent="0.55000000000000004">
      <c r="B15" s="318"/>
      <c r="C15" s="319"/>
      <c r="D15" s="316"/>
      <c r="E15" s="320"/>
      <c r="F15" s="321"/>
      <c r="G15" s="117"/>
      <c r="H15" s="305"/>
    </row>
    <row r="16" spans="1:12" x14ac:dyDescent="0.55000000000000004">
      <c r="B16" s="318"/>
      <c r="C16" s="319"/>
      <c r="D16" s="316"/>
      <c r="E16" s="302"/>
      <c r="F16" s="303"/>
      <c r="G16" s="117"/>
    </row>
    <row r="17" spans="1:9" x14ac:dyDescent="0.55000000000000004">
      <c r="A17" s="243" t="s">
        <v>30</v>
      </c>
      <c r="I17" s="126"/>
    </row>
    <row r="18" spans="1:9" x14ac:dyDescent="0.55000000000000004">
      <c r="A18" s="322" t="s">
        <v>31</v>
      </c>
      <c r="B18" s="323">
        <v>0.06</v>
      </c>
      <c r="C18" s="324" t="s">
        <v>126</v>
      </c>
      <c r="D18" s="325">
        <f>B18*CAPEX!C11/1000000+(Coarse!G16+Fine!G15+Amorphous!G15)/1000000</f>
        <v>6.7510573841123183</v>
      </c>
      <c r="E18" s="107" t="s">
        <v>547</v>
      </c>
    </row>
    <row r="19" spans="1:9" x14ac:dyDescent="0.55000000000000004">
      <c r="A19" s="326" t="s">
        <v>142</v>
      </c>
      <c r="B19" s="327"/>
      <c r="C19" s="328"/>
      <c r="D19" s="329">
        <f>(D36+D36*B25)/1000000*CostYear!O11/CostYear!O7</f>
        <v>7.6427802197595289</v>
      </c>
      <c r="E19" s="107" t="s">
        <v>577</v>
      </c>
      <c r="H19" s="330"/>
    </row>
    <row r="20" spans="1:9" x14ac:dyDescent="0.55000000000000004">
      <c r="A20" s="326" t="s">
        <v>127</v>
      </c>
      <c r="B20" s="331">
        <v>2.5000000000000001E-2</v>
      </c>
      <c r="C20" s="332" t="s">
        <v>126</v>
      </c>
      <c r="D20" s="333">
        <f>B20*CAPEX!C11/1000000</f>
        <v>2.6651621340343787</v>
      </c>
      <c r="E20" s="107" t="s">
        <v>543</v>
      </c>
      <c r="F20" s="107"/>
      <c r="G20" s="107"/>
    </row>
    <row r="21" spans="1:9" s="107" customFormat="1" x14ac:dyDescent="0.55000000000000004">
      <c r="A21" s="334"/>
      <c r="B21" s="334"/>
      <c r="C21" s="335" t="s">
        <v>29</v>
      </c>
      <c r="D21" s="336">
        <f>SUM(D18:D20)</f>
        <v>17.058999737906227</v>
      </c>
      <c r="F21" s="330"/>
      <c r="G21" s="105"/>
      <c r="H21" s="295"/>
    </row>
    <row r="22" spans="1:9" x14ac:dyDescent="0.55000000000000004">
      <c r="F22" s="330"/>
    </row>
    <row r="23" spans="1:9" x14ac:dyDescent="0.55000000000000004">
      <c r="A23" s="337" t="s">
        <v>578</v>
      </c>
      <c r="F23" s="338"/>
      <c r="G23" s="126"/>
    </row>
    <row r="24" spans="1:9" x14ac:dyDescent="0.55000000000000004">
      <c r="A24" s="339" t="s">
        <v>131</v>
      </c>
      <c r="B24" s="340">
        <f>Inputs!C11</f>
        <v>328.5</v>
      </c>
      <c r="C24" s="107"/>
      <c r="F24" s="117"/>
      <c r="G24" s="126"/>
    </row>
    <row r="25" spans="1:9" x14ac:dyDescent="0.55000000000000004">
      <c r="A25" s="341" t="s">
        <v>132</v>
      </c>
      <c r="B25" s="342">
        <v>0.6</v>
      </c>
      <c r="C25" s="107" t="s">
        <v>152</v>
      </c>
    </row>
    <row r="26" spans="1:9" x14ac:dyDescent="0.55000000000000004">
      <c r="A26" s="343" t="s">
        <v>133</v>
      </c>
      <c r="B26" s="344" t="s">
        <v>138</v>
      </c>
      <c r="C26" s="115" t="s">
        <v>139</v>
      </c>
      <c r="D26" s="116" t="s">
        <v>140</v>
      </c>
    </row>
    <row r="27" spans="1:9" x14ac:dyDescent="0.55000000000000004">
      <c r="A27" s="345" t="s">
        <v>389</v>
      </c>
      <c r="B27" s="120">
        <v>161400</v>
      </c>
      <c r="C27" s="120">
        <v>1</v>
      </c>
      <c r="D27" s="160">
        <f t="shared" ref="D27:D35" si="0">B27*C27</f>
        <v>161400</v>
      </c>
    </row>
    <row r="28" spans="1:9" x14ac:dyDescent="0.55000000000000004">
      <c r="A28" s="105" t="s">
        <v>390</v>
      </c>
      <c r="B28" s="120">
        <v>76800</v>
      </c>
      <c r="C28" s="120">
        <v>2</v>
      </c>
      <c r="D28" s="160">
        <f t="shared" si="0"/>
        <v>153600</v>
      </c>
    </row>
    <row r="29" spans="1:9" x14ac:dyDescent="0.55000000000000004">
      <c r="A29" s="105" t="s">
        <v>135</v>
      </c>
      <c r="B29" s="120">
        <v>52700</v>
      </c>
      <c r="C29" s="120">
        <v>8</v>
      </c>
      <c r="D29" s="160">
        <f t="shared" si="0"/>
        <v>421600</v>
      </c>
    </row>
    <row r="30" spans="1:9" x14ac:dyDescent="0.55000000000000004">
      <c r="A30" s="123" t="s">
        <v>391</v>
      </c>
      <c r="B30" s="120">
        <v>61500</v>
      </c>
      <c r="C30" s="120">
        <v>1</v>
      </c>
      <c r="D30" s="160">
        <f t="shared" si="0"/>
        <v>61500</v>
      </c>
    </row>
    <row r="31" spans="1:9" x14ac:dyDescent="0.55000000000000004">
      <c r="A31" s="105" t="s">
        <v>136</v>
      </c>
      <c r="B31" s="120">
        <v>43900</v>
      </c>
      <c r="C31" s="120">
        <v>4</v>
      </c>
      <c r="D31" s="160">
        <f t="shared" si="0"/>
        <v>175600</v>
      </c>
    </row>
    <row r="32" spans="1:9" x14ac:dyDescent="0.55000000000000004">
      <c r="A32" s="105" t="s">
        <v>137</v>
      </c>
      <c r="B32" s="120">
        <v>52700</v>
      </c>
      <c r="C32" s="120">
        <v>45</v>
      </c>
      <c r="D32" s="160">
        <f t="shared" si="0"/>
        <v>2371500</v>
      </c>
    </row>
    <row r="33" spans="1:14" x14ac:dyDescent="0.55000000000000004">
      <c r="A33" s="118" t="s">
        <v>286</v>
      </c>
      <c r="B33" s="120">
        <v>28000</v>
      </c>
      <c r="C33" s="120">
        <v>3</v>
      </c>
      <c r="D33" s="160">
        <f>B33*C33</f>
        <v>84000</v>
      </c>
    </row>
    <row r="34" spans="1:14" x14ac:dyDescent="0.55000000000000004">
      <c r="A34" s="129" t="s">
        <v>392</v>
      </c>
      <c r="B34" s="120"/>
      <c r="C34" s="120"/>
      <c r="D34" s="226">
        <f>A40*(1-0.2)*1000000*CostYear!O7/CostYear!O9</f>
        <v>1065168.5814066369</v>
      </c>
      <c r="E34" s="162" t="s">
        <v>606</v>
      </c>
    </row>
    <row r="35" spans="1:14" x14ac:dyDescent="0.55000000000000004">
      <c r="A35" s="105" t="s">
        <v>230</v>
      </c>
      <c r="B35" s="120">
        <v>39500</v>
      </c>
      <c r="C35" s="120">
        <v>2</v>
      </c>
      <c r="D35" s="160">
        <f t="shared" si="0"/>
        <v>79000</v>
      </c>
    </row>
    <row r="36" spans="1:14" x14ac:dyDescent="0.55000000000000004">
      <c r="B36" s="244"/>
      <c r="C36" s="346">
        <f>SUM(C28:C35)</f>
        <v>65</v>
      </c>
      <c r="D36" s="347">
        <f>SUM(D28:D35)</f>
        <v>4411968.5814066371</v>
      </c>
    </row>
    <row r="38" spans="1:14" x14ac:dyDescent="0.55000000000000004">
      <c r="A38" s="105" t="s">
        <v>531</v>
      </c>
    </row>
    <row r="39" spans="1:14" x14ac:dyDescent="0.55000000000000004">
      <c r="A39" s="222" t="s">
        <v>394</v>
      </c>
    </row>
    <row r="40" spans="1:14" x14ac:dyDescent="0.55000000000000004">
      <c r="A40" s="250">
        <v>1.3830067785159992</v>
      </c>
      <c r="H40" s="295"/>
      <c r="I40" s="107"/>
      <c r="J40" s="107"/>
      <c r="K40" s="107"/>
      <c r="L40" s="107"/>
      <c r="M40" s="107"/>
    </row>
    <row r="41" spans="1:14" x14ac:dyDescent="0.55000000000000004">
      <c r="I41" s="107"/>
      <c r="J41" s="107"/>
      <c r="K41" s="107"/>
      <c r="L41" s="107"/>
      <c r="M41" s="107"/>
      <c r="N41" s="107"/>
    </row>
    <row r="42" spans="1:14" x14ac:dyDescent="0.55000000000000004">
      <c r="I42" s="107"/>
      <c r="J42" s="107"/>
      <c r="K42" s="107"/>
      <c r="L42" s="107"/>
      <c r="M42" s="107"/>
      <c r="N42" s="107"/>
    </row>
    <row r="43" spans="1:14" x14ac:dyDescent="0.55000000000000004">
      <c r="I43" s="107"/>
      <c r="J43" s="107"/>
      <c r="K43" s="107"/>
      <c r="L43" s="107"/>
      <c r="M43" s="107"/>
      <c r="N43" s="107"/>
    </row>
    <row r="44" spans="1:14" x14ac:dyDescent="0.55000000000000004">
      <c r="I44" s="107"/>
      <c r="J44" s="107"/>
      <c r="K44" s="107"/>
      <c r="L44" s="107"/>
      <c r="M44" s="107"/>
      <c r="N44" s="107"/>
    </row>
    <row r="45" spans="1:14" x14ac:dyDescent="0.55000000000000004">
      <c r="I45" s="107"/>
      <c r="J45" s="107"/>
      <c r="K45" s="107"/>
      <c r="L45" s="107"/>
      <c r="M45" s="107"/>
      <c r="N45" s="107"/>
    </row>
    <row r="46" spans="1:14" x14ac:dyDescent="0.55000000000000004">
      <c r="I46" s="107"/>
      <c r="J46" s="107"/>
      <c r="K46" s="107"/>
      <c r="L46" s="107"/>
      <c r="M46" s="107"/>
      <c r="N46" s="107"/>
    </row>
    <row r="47" spans="1:14" x14ac:dyDescent="0.55000000000000004">
      <c r="I47" s="107"/>
      <c r="J47" s="107"/>
      <c r="K47" s="107"/>
      <c r="L47" s="107"/>
      <c r="M47" s="107"/>
      <c r="N47" s="107"/>
    </row>
    <row r="48" spans="1:14" x14ac:dyDescent="0.55000000000000004">
      <c r="I48" s="107"/>
      <c r="J48" s="107"/>
      <c r="K48" s="107"/>
      <c r="L48" s="107"/>
      <c r="M48" s="107"/>
      <c r="N48" s="107"/>
    </row>
    <row r="49" spans="9:14" x14ac:dyDescent="0.55000000000000004">
      <c r="I49" s="107"/>
      <c r="J49" s="107"/>
      <c r="K49" s="107"/>
      <c r="L49" s="107"/>
      <c r="M49" s="107"/>
      <c r="N49" s="107"/>
    </row>
    <row r="50" spans="9:14" x14ac:dyDescent="0.55000000000000004">
      <c r="I50" s="107"/>
      <c r="J50" s="107"/>
      <c r="K50" s="107"/>
      <c r="L50" s="107"/>
      <c r="M50" s="107"/>
      <c r="N50" s="107"/>
    </row>
    <row r="51" spans="9:14" x14ac:dyDescent="0.55000000000000004">
      <c r="I51" s="107"/>
      <c r="J51" s="107"/>
      <c r="K51" s="107"/>
      <c r="L51" s="107"/>
      <c r="M51" s="107"/>
      <c r="N51" s="107"/>
    </row>
    <row r="52" spans="9:14" x14ac:dyDescent="0.55000000000000004">
      <c r="I52" s="107"/>
      <c r="J52" s="107"/>
      <c r="K52" s="107"/>
      <c r="L52" s="107"/>
      <c r="M52" s="107"/>
      <c r="N52" s="107"/>
    </row>
    <row r="53" spans="9:14" x14ac:dyDescent="0.55000000000000004">
      <c r="I53" s="107"/>
      <c r="J53" s="107"/>
      <c r="K53" s="107"/>
      <c r="L53" s="107"/>
      <c r="M53" s="107"/>
      <c r="N53" s="107"/>
    </row>
    <row r="54" spans="9:14" x14ac:dyDescent="0.55000000000000004">
      <c r="I54" s="107"/>
      <c r="J54" s="107"/>
      <c r="K54" s="107"/>
      <c r="L54" s="107"/>
      <c r="M54" s="107"/>
      <c r="N54" s="107"/>
    </row>
    <row r="55" spans="9:14" x14ac:dyDescent="0.55000000000000004">
      <c r="I55" s="107"/>
      <c r="J55" s="107"/>
      <c r="K55" s="107"/>
      <c r="L55" s="107"/>
      <c r="M55" s="107"/>
      <c r="N55" s="107"/>
    </row>
    <row r="56" spans="9:14" x14ac:dyDescent="0.55000000000000004">
      <c r="I56" s="107"/>
      <c r="J56" s="107"/>
      <c r="K56" s="107"/>
      <c r="L56" s="107"/>
      <c r="M56" s="107"/>
      <c r="N56" s="107"/>
    </row>
    <row r="57" spans="9:14" x14ac:dyDescent="0.55000000000000004">
      <c r="I57" s="107"/>
      <c r="J57" s="107"/>
      <c r="K57" s="107"/>
      <c r="L57" s="107"/>
      <c r="M57" s="107"/>
      <c r="N57" s="107"/>
    </row>
    <row r="58" spans="9:14" x14ac:dyDescent="0.55000000000000004">
      <c r="I58" s="107"/>
      <c r="J58" s="107"/>
      <c r="K58" s="107"/>
      <c r="L58" s="107"/>
      <c r="M58" s="107"/>
      <c r="N58" s="107"/>
    </row>
    <row r="59" spans="9:14" x14ac:dyDescent="0.55000000000000004">
      <c r="I59" s="107"/>
      <c r="J59" s="107"/>
      <c r="K59" s="107"/>
      <c r="L59" s="107"/>
      <c r="M59" s="107"/>
      <c r="N59" s="107"/>
    </row>
    <row r="60" spans="9:14" x14ac:dyDescent="0.55000000000000004">
      <c r="I60" s="107"/>
      <c r="J60" s="107"/>
      <c r="K60" s="107"/>
      <c r="L60" s="107"/>
      <c r="M60" s="107"/>
      <c r="N60" s="107"/>
    </row>
    <row r="61" spans="9:14" x14ac:dyDescent="0.55000000000000004">
      <c r="I61" s="107"/>
      <c r="J61" s="107"/>
      <c r="K61" s="107"/>
      <c r="L61" s="107"/>
      <c r="M61" s="107"/>
      <c r="N61" s="107"/>
    </row>
    <row r="62" spans="9:14" x14ac:dyDescent="0.55000000000000004">
      <c r="I62" s="107"/>
      <c r="J62" s="107"/>
      <c r="K62" s="107"/>
      <c r="L62" s="107"/>
      <c r="M62" s="107"/>
      <c r="N62" s="107"/>
    </row>
    <row r="63" spans="9:14" x14ac:dyDescent="0.55000000000000004">
      <c r="I63" s="107"/>
      <c r="J63" s="107"/>
      <c r="K63" s="107"/>
      <c r="L63" s="107"/>
      <c r="M63" s="107"/>
      <c r="N63" s="107"/>
    </row>
    <row r="64" spans="9:14" x14ac:dyDescent="0.55000000000000004">
      <c r="I64" s="107"/>
      <c r="J64" s="107"/>
      <c r="K64" s="107"/>
      <c r="L64" s="107"/>
      <c r="M64" s="107"/>
      <c r="N64" s="107"/>
    </row>
    <row r="65" spans="9:14" x14ac:dyDescent="0.55000000000000004">
      <c r="I65" s="107"/>
      <c r="J65" s="107"/>
      <c r="K65" s="107"/>
      <c r="L65" s="107"/>
      <c r="M65" s="107"/>
      <c r="N65" s="107"/>
    </row>
    <row r="66" spans="9:14" x14ac:dyDescent="0.55000000000000004">
      <c r="I66" s="107"/>
      <c r="J66" s="107"/>
      <c r="K66" s="107"/>
      <c r="L66" s="107"/>
      <c r="M66" s="107"/>
      <c r="N66" s="107"/>
    </row>
    <row r="67" spans="9:14" x14ac:dyDescent="0.55000000000000004">
      <c r="I67" s="107"/>
      <c r="J67" s="107"/>
      <c r="K67" s="107"/>
      <c r="L67" s="107"/>
      <c r="M67" s="107"/>
      <c r="N67" s="107"/>
    </row>
    <row r="68" spans="9:14" x14ac:dyDescent="0.55000000000000004">
      <c r="I68" s="107"/>
      <c r="J68" s="107"/>
      <c r="K68" s="107"/>
      <c r="L68" s="107"/>
      <c r="M68" s="107"/>
      <c r="N68" s="107"/>
    </row>
    <row r="69" spans="9:14" x14ac:dyDescent="0.55000000000000004">
      <c r="I69" s="107"/>
      <c r="J69" s="107"/>
      <c r="K69" s="107"/>
      <c r="L69" s="107"/>
      <c r="M69" s="107"/>
      <c r="N69" s="107"/>
    </row>
    <row r="70" spans="9:14" x14ac:dyDescent="0.55000000000000004">
      <c r="I70" s="107"/>
      <c r="J70" s="107"/>
      <c r="K70" s="107"/>
      <c r="L70" s="107"/>
      <c r="M70" s="107"/>
      <c r="N70" s="107"/>
    </row>
    <row r="71" spans="9:14" x14ac:dyDescent="0.55000000000000004">
      <c r="I71" s="107"/>
      <c r="J71" s="107"/>
      <c r="K71" s="107"/>
      <c r="L71" s="107"/>
      <c r="M71" s="107"/>
      <c r="N71" s="107"/>
    </row>
    <row r="72" spans="9:14" x14ac:dyDescent="0.55000000000000004">
      <c r="I72" s="107"/>
      <c r="J72" s="107"/>
      <c r="K72" s="107"/>
      <c r="L72" s="107"/>
      <c r="M72" s="107"/>
      <c r="N72" s="107"/>
    </row>
  </sheetData>
  <sheetProtection algorithmName="SHA-512" hashValue="hsaSxyrt6sFaHfqbj6s1VAcI6XK+54ka7ba4eQ0YTQ3my8VxHHuLcFTHdkfjKr2h/I7WPeLfqiCihnjW7QcufQ==" saltValue="7AtMhyHupF29sgxq1VHo+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H22"/>
  <sheetViews>
    <sheetView zoomScaleNormal="100" workbookViewId="0">
      <selection sqref="A1:XFD1048576"/>
    </sheetView>
  </sheetViews>
  <sheetFormatPr defaultRowHeight="14.4" x14ac:dyDescent="0.55000000000000004"/>
  <cols>
    <col min="1" max="1" width="22.68359375" style="105" customWidth="1"/>
    <col min="2" max="2" width="8.83984375" style="105"/>
    <col min="3" max="3" width="10.15625" style="105" bestFit="1" customWidth="1"/>
    <col min="4" max="4" width="22.89453125" style="105" bestFit="1" customWidth="1"/>
    <col min="5" max="5" width="16.41796875" style="105" customWidth="1"/>
    <col min="6" max="6" width="12.1015625" style="105" bestFit="1" customWidth="1"/>
    <col min="7" max="7" width="12.5234375" style="105" bestFit="1" customWidth="1"/>
    <col min="8" max="16384" width="8.83984375" style="105"/>
  </cols>
  <sheetData>
    <row r="1" spans="1:8" x14ac:dyDescent="0.55000000000000004">
      <c r="A1" s="294"/>
      <c r="C1" s="294"/>
    </row>
    <row r="2" spans="1:8" x14ac:dyDescent="0.55000000000000004">
      <c r="E2" s="131" t="s">
        <v>232</v>
      </c>
      <c r="F2" s="132">
        <f>G14/1000000</f>
        <v>6.3122725001667241</v>
      </c>
    </row>
    <row r="3" spans="1:8" x14ac:dyDescent="0.55000000000000004">
      <c r="B3" s="107"/>
      <c r="E3" s="131" t="s">
        <v>220</v>
      </c>
      <c r="F3" s="132">
        <f>F21/1000000</f>
        <v>5.7469553310890555</v>
      </c>
    </row>
    <row r="4" spans="1:8" x14ac:dyDescent="0.55000000000000004">
      <c r="A4" s="105" t="s">
        <v>115</v>
      </c>
      <c r="B4" s="107"/>
      <c r="E4" s="131"/>
    </row>
    <row r="6" spans="1:8" x14ac:dyDescent="0.55000000000000004">
      <c r="A6" s="348" t="s">
        <v>105</v>
      </c>
      <c r="B6" s="115" t="s">
        <v>403</v>
      </c>
      <c r="C6" s="115" t="s">
        <v>277</v>
      </c>
      <c r="D6" s="115" t="s">
        <v>404</v>
      </c>
      <c r="E6" s="115" t="s">
        <v>222</v>
      </c>
      <c r="F6" s="115" t="s">
        <v>424</v>
      </c>
      <c r="G6" s="349" t="s">
        <v>280</v>
      </c>
      <c r="H6" s="349" t="s">
        <v>218</v>
      </c>
    </row>
    <row r="7" spans="1:8" x14ac:dyDescent="0.55000000000000004">
      <c r="A7" s="350" t="s">
        <v>405</v>
      </c>
      <c r="B7" s="351">
        <v>2</v>
      </c>
      <c r="C7" s="352">
        <v>100000</v>
      </c>
      <c r="D7" s="353" t="s">
        <v>406</v>
      </c>
      <c r="E7" s="120">
        <v>2010</v>
      </c>
      <c r="F7" s="120">
        <v>0.6</v>
      </c>
      <c r="G7" s="276">
        <f>B7*C7*CY2015_/CY2010_</f>
        <v>202178.64923747277</v>
      </c>
      <c r="H7" s="105" t="s">
        <v>542</v>
      </c>
    </row>
    <row r="8" spans="1:8" x14ac:dyDescent="0.55000000000000004">
      <c r="A8" s="350" t="s">
        <v>407</v>
      </c>
      <c r="B8" s="351">
        <v>2</v>
      </c>
      <c r="C8" s="352">
        <v>416700</v>
      </c>
      <c r="D8" s="120" t="s">
        <v>408</v>
      </c>
      <c r="E8" s="120">
        <v>2010</v>
      </c>
      <c r="F8" s="120">
        <v>0.6</v>
      </c>
      <c r="G8" s="276">
        <f>B8*C8*CY2015_/CY2010_</f>
        <v>842478.43137254904</v>
      </c>
      <c r="H8" s="105" t="s">
        <v>542</v>
      </c>
    </row>
    <row r="9" spans="1:8" x14ac:dyDescent="0.55000000000000004">
      <c r="A9" s="354" t="s">
        <v>409</v>
      </c>
      <c r="B9" s="120"/>
      <c r="C9" s="120" t="s">
        <v>410</v>
      </c>
      <c r="D9" s="120"/>
      <c r="E9" s="120"/>
      <c r="F9" s="120">
        <v>0.6</v>
      </c>
      <c r="G9" s="276"/>
    </row>
    <row r="10" spans="1:8" x14ac:dyDescent="0.55000000000000004">
      <c r="A10" s="354" t="s">
        <v>411</v>
      </c>
      <c r="B10" s="120"/>
      <c r="C10" s="120" t="s">
        <v>410</v>
      </c>
      <c r="D10" s="120"/>
      <c r="E10" s="120"/>
      <c r="F10" s="120">
        <v>0.6</v>
      </c>
      <c r="G10" s="276"/>
    </row>
    <row r="11" spans="1:8" x14ac:dyDescent="0.55000000000000004">
      <c r="A11" s="354" t="s">
        <v>412</v>
      </c>
      <c r="B11" s="120">
        <v>2</v>
      </c>
      <c r="C11" s="352">
        <v>1558880</v>
      </c>
      <c r="D11" s="120" t="s">
        <v>413</v>
      </c>
      <c r="E11" s="120">
        <v>2014</v>
      </c>
      <c r="F11" s="120">
        <v>0.6</v>
      </c>
      <c r="G11" s="276">
        <f>B11*C11*(((FeedPerYr*1000/DaysPrYr)/B11)/(150*0.907185))^F11*CY2015_/CY2014_</f>
        <v>5267615.4195567025</v>
      </c>
      <c r="H11" s="105" t="s">
        <v>519</v>
      </c>
    </row>
    <row r="12" spans="1:8" x14ac:dyDescent="0.55000000000000004">
      <c r="A12" s="354" t="s">
        <v>414</v>
      </c>
      <c r="B12" s="120"/>
      <c r="C12" s="120" t="s">
        <v>410</v>
      </c>
      <c r="D12" s="120"/>
      <c r="E12" s="120"/>
      <c r="F12" s="120">
        <v>0.6</v>
      </c>
      <c r="G12" s="276"/>
    </row>
    <row r="13" spans="1:8" x14ac:dyDescent="0.55000000000000004">
      <c r="A13" s="354" t="s">
        <v>415</v>
      </c>
      <c r="B13" s="355"/>
      <c r="C13" s="120" t="s">
        <v>410</v>
      </c>
      <c r="D13" s="355"/>
      <c r="E13" s="355"/>
      <c r="F13" s="355"/>
      <c r="G13" s="276"/>
    </row>
    <row r="14" spans="1:8" x14ac:dyDescent="0.55000000000000004">
      <c r="A14" s="107"/>
      <c r="D14" s="153"/>
      <c r="F14" s="356" t="s">
        <v>282</v>
      </c>
      <c r="G14" s="357">
        <f>SUM(G7:G13)</f>
        <v>6312272.5001667244</v>
      </c>
    </row>
    <row r="15" spans="1:8" x14ac:dyDescent="0.55000000000000004">
      <c r="A15" s="107"/>
      <c r="B15" s="107"/>
      <c r="C15" s="107"/>
      <c r="D15" s="107"/>
      <c r="E15" s="356"/>
    </row>
    <row r="16" spans="1:8" x14ac:dyDescent="0.55000000000000004">
      <c r="A16" s="107" t="s">
        <v>416</v>
      </c>
      <c r="B16" s="107"/>
      <c r="C16" s="107"/>
      <c r="D16" s="107"/>
      <c r="E16" s="107"/>
    </row>
    <row r="17" spans="1:7" x14ac:dyDescent="0.55000000000000004">
      <c r="A17" s="223" t="s">
        <v>223</v>
      </c>
      <c r="B17" s="115" t="s">
        <v>417</v>
      </c>
      <c r="C17" s="115" t="s">
        <v>418</v>
      </c>
      <c r="D17" s="115" t="s">
        <v>419</v>
      </c>
      <c r="E17" s="344" t="s">
        <v>420</v>
      </c>
      <c r="F17" s="344" t="s">
        <v>283</v>
      </c>
      <c r="G17" s="358" t="s">
        <v>218</v>
      </c>
    </row>
    <row r="18" spans="1:7" x14ac:dyDescent="0.55000000000000004">
      <c r="A18" s="359" t="s">
        <v>412</v>
      </c>
      <c r="B18" s="120">
        <v>3.8199999999999998E-2</v>
      </c>
      <c r="C18" s="360" t="s">
        <v>421</v>
      </c>
      <c r="D18" s="361">
        <f>B18*kgPrHr*DaysPrYr*HrsPrDay</f>
        <v>8663616.75</v>
      </c>
      <c r="E18" s="362">
        <f>ElecCost</f>
        <v>4.224E-2</v>
      </c>
      <c r="F18" s="352">
        <f>D18*E18</f>
        <v>365951.17151999997</v>
      </c>
    </row>
    <row r="19" spans="1:7" x14ac:dyDescent="0.55000000000000004">
      <c r="A19" s="359" t="s">
        <v>412</v>
      </c>
      <c r="B19" s="363">
        <f>14.4*((FeedPerYr/0.907185*1000/DaysPrYr)/B11)/150*2</f>
        <v>73.05936073059361</v>
      </c>
      <c r="C19" s="360" t="s">
        <v>422</v>
      </c>
      <c r="D19" s="364">
        <f>B19*DaysPrYr*HrsPrDay</f>
        <v>576000</v>
      </c>
      <c r="E19" s="365">
        <f>NGMMbtuCost</f>
        <v>8.5739299610894939</v>
      </c>
      <c r="F19" s="352">
        <f>D19*E19</f>
        <v>4938583.6575875487</v>
      </c>
      <c r="G19" s="366" t="s">
        <v>579</v>
      </c>
    </row>
    <row r="20" spans="1:7" x14ac:dyDescent="0.55000000000000004">
      <c r="A20" s="118" t="s">
        <v>425</v>
      </c>
      <c r="B20" s="367">
        <v>60</v>
      </c>
      <c r="C20" s="230" t="s">
        <v>426</v>
      </c>
      <c r="D20" s="120">
        <f>B20*HrsPrDay*DaysPrYr</f>
        <v>473040</v>
      </c>
      <c r="E20" s="368">
        <f>Diesel/3.785</f>
        <v>0.93527080581241739</v>
      </c>
      <c r="F20" s="352">
        <f>D20*E20</f>
        <v>442420.50198150595</v>
      </c>
    </row>
    <row r="21" spans="1:7" x14ac:dyDescent="0.55000000000000004">
      <c r="E21" s="131" t="s">
        <v>423</v>
      </c>
      <c r="F21" s="357">
        <f>SUM(F18:F20)</f>
        <v>5746955.3310890552</v>
      </c>
    </row>
    <row r="22" spans="1:7" x14ac:dyDescent="0.55000000000000004">
      <c r="A22" s="244"/>
      <c r="B22" s="244"/>
      <c r="C22" s="244"/>
    </row>
  </sheetData>
  <sheetProtection algorithmName="SHA-512" hashValue="+pBfS400soXs0JyRo0WaXkm3Bc21qXEuItiic5cPTA8csfQytpm/k3TbxB1yuAU1UVAn31hrgf60aUzQtSwstg==" saltValue="6AZ97Gbl0YwNDBMSVoGF2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H17"/>
  <sheetViews>
    <sheetView zoomScaleNormal="100" workbookViewId="0">
      <selection sqref="A1:XFD1048576"/>
    </sheetView>
  </sheetViews>
  <sheetFormatPr defaultRowHeight="14.4" x14ac:dyDescent="0.55000000000000004"/>
  <cols>
    <col min="1" max="1" width="27.3671875" style="105" customWidth="1"/>
    <col min="2" max="2" width="9.83984375" style="105" customWidth="1"/>
    <col min="3" max="3" width="21.578125" style="105" customWidth="1"/>
    <col min="4" max="4" width="17.26171875" style="105" customWidth="1"/>
    <col min="5" max="5" width="14.89453125" style="105" customWidth="1"/>
    <col min="6" max="6" width="19.578125" style="105" bestFit="1" customWidth="1"/>
    <col min="7" max="7" width="13.62890625" style="105" customWidth="1"/>
    <col min="8" max="16384" width="8.83984375" style="105"/>
  </cols>
  <sheetData>
    <row r="1" spans="1:8" ht="15.6" x14ac:dyDescent="0.55000000000000004">
      <c r="A1" s="369"/>
    </row>
    <row r="2" spans="1:8" x14ac:dyDescent="0.55000000000000004">
      <c r="A2" s="125" t="s">
        <v>439</v>
      </c>
      <c r="B2" s="370">
        <f>2650*0.907185</f>
        <v>2404.04025</v>
      </c>
      <c r="C2" s="105" t="s">
        <v>441</v>
      </c>
      <c r="E2" s="131" t="s">
        <v>232</v>
      </c>
      <c r="F2" s="132">
        <f>G11/1000000</f>
        <v>1.3398328129188857</v>
      </c>
    </row>
    <row r="3" spans="1:8" x14ac:dyDescent="0.55000000000000004">
      <c r="A3" s="125" t="s">
        <v>440</v>
      </c>
      <c r="B3" s="370">
        <f>FeedPerYr*1000/DaysPrYr</f>
        <v>690.39954337899553</v>
      </c>
      <c r="C3" s="105" t="s">
        <v>520</v>
      </c>
      <c r="E3" s="131" t="s">
        <v>224</v>
      </c>
      <c r="F3" s="132">
        <f>G17/1000000</f>
        <v>1.83550378176</v>
      </c>
    </row>
    <row r="5" spans="1:8" x14ac:dyDescent="0.55000000000000004">
      <c r="A5" s="105" t="s">
        <v>115</v>
      </c>
    </row>
    <row r="7" spans="1:8" x14ac:dyDescent="0.55000000000000004">
      <c r="A7" s="348" t="s">
        <v>105</v>
      </c>
      <c r="B7" s="115" t="s">
        <v>403</v>
      </c>
      <c r="C7" s="115" t="s">
        <v>442</v>
      </c>
      <c r="D7" s="115" t="s">
        <v>404</v>
      </c>
      <c r="E7" s="115" t="s">
        <v>222</v>
      </c>
      <c r="F7" s="115" t="s">
        <v>424</v>
      </c>
      <c r="G7" s="115" t="s">
        <v>280</v>
      </c>
    </row>
    <row r="8" spans="1:8" x14ac:dyDescent="0.55000000000000004">
      <c r="A8" s="371" t="s">
        <v>443</v>
      </c>
      <c r="B8" s="120">
        <v>2</v>
      </c>
      <c r="C8" s="352">
        <v>416700</v>
      </c>
      <c r="D8" s="120" t="s">
        <v>408</v>
      </c>
      <c r="E8" s="120">
        <v>2010</v>
      </c>
      <c r="F8" s="120">
        <v>0.6</v>
      </c>
      <c r="G8" s="276">
        <f>B8*C8*(B3/2/B2)^F8*CY2015_/CY2010_</f>
        <v>262927.52313918062</v>
      </c>
    </row>
    <row r="9" spans="1:8" x14ac:dyDescent="0.55000000000000004">
      <c r="A9" s="371" t="s">
        <v>444</v>
      </c>
      <c r="B9" s="120">
        <v>3</v>
      </c>
      <c r="C9" s="352">
        <v>275000</v>
      </c>
      <c r="D9" s="120" t="s">
        <v>521</v>
      </c>
      <c r="E9" s="120">
        <v>2010</v>
      </c>
      <c r="F9" s="120">
        <v>0.6</v>
      </c>
      <c r="G9" s="276">
        <f>B9*C9*(B3/B9/HrsPrDay/(9.2*0.907185))^0.6*CY2015_/CY2010_</f>
        <v>906420.73168599885</v>
      </c>
    </row>
    <row r="10" spans="1:8" x14ac:dyDescent="0.55000000000000004">
      <c r="A10" s="371" t="s">
        <v>445</v>
      </c>
      <c r="B10" s="120">
        <v>3</v>
      </c>
      <c r="C10" s="352">
        <v>100000</v>
      </c>
      <c r="D10" s="120" t="s">
        <v>406</v>
      </c>
      <c r="E10" s="120">
        <v>2010</v>
      </c>
      <c r="F10" s="120">
        <v>0.6</v>
      </c>
      <c r="G10" s="276">
        <f>B10*C10*((B3/B10)/(B2/4))^F10*CY2015_/CY2010_</f>
        <v>170484.5580937062</v>
      </c>
    </row>
    <row r="11" spans="1:8" x14ac:dyDescent="0.55000000000000004">
      <c r="F11" s="313" t="s">
        <v>446</v>
      </c>
      <c r="G11" s="357">
        <f>SUM(G8:G10)</f>
        <v>1339832.8129188856</v>
      </c>
    </row>
    <row r="13" spans="1:8" x14ac:dyDescent="0.55000000000000004">
      <c r="A13" s="372" t="s">
        <v>217</v>
      </c>
    </row>
    <row r="14" spans="1:8" x14ac:dyDescent="0.55000000000000004">
      <c r="A14" s="348" t="s">
        <v>105</v>
      </c>
      <c r="B14" s="373" t="s">
        <v>447</v>
      </c>
      <c r="C14" s="374" t="s">
        <v>418</v>
      </c>
      <c r="D14" s="374" t="s">
        <v>419</v>
      </c>
      <c r="E14" s="375" t="s">
        <v>420</v>
      </c>
      <c r="F14" s="375" t="s">
        <v>449</v>
      </c>
      <c r="G14" s="375" t="s">
        <v>450</v>
      </c>
      <c r="H14" s="376" t="s">
        <v>218</v>
      </c>
    </row>
    <row r="15" spans="1:8" x14ac:dyDescent="0.55000000000000004">
      <c r="A15" s="371" t="s">
        <v>444</v>
      </c>
      <c r="B15" s="377">
        <v>0.19159999999999999</v>
      </c>
      <c r="C15" s="378" t="s">
        <v>448</v>
      </c>
      <c r="D15" s="119">
        <f>B15*kgPrHr*HrsPrDay*DaysPrYr</f>
        <v>43454161.5</v>
      </c>
      <c r="E15" s="379">
        <f>ElecCost</f>
        <v>4.224E-2</v>
      </c>
      <c r="F15" s="355"/>
      <c r="G15" s="352">
        <f>D15*E15</f>
        <v>1835503.7817599999</v>
      </c>
      <c r="H15" s="380" t="s">
        <v>580</v>
      </c>
    </row>
    <row r="16" spans="1:8" x14ac:dyDescent="0.55000000000000004">
      <c r="A16" s="381" t="s">
        <v>444</v>
      </c>
      <c r="B16" s="355"/>
      <c r="C16" s="355"/>
      <c r="D16" s="355"/>
      <c r="E16" s="355"/>
      <c r="F16" s="382">
        <v>0.04</v>
      </c>
      <c r="G16" s="352">
        <f>F16*G9</f>
        <v>36256.829267439956</v>
      </c>
      <c r="H16" s="277" t="s">
        <v>451</v>
      </c>
    </row>
    <row r="17" spans="6:7" x14ac:dyDescent="0.55000000000000004">
      <c r="F17" s="131" t="s">
        <v>423</v>
      </c>
      <c r="G17" s="357">
        <f>G15</f>
        <v>1835503.7817599999</v>
      </c>
    </row>
  </sheetData>
  <sheetProtection algorithmName="SHA-512" hashValue="BHRNKlpUCKDMl91b1LXy+QjP6OCF791CfgucEGBIw/wF89gBCuYWrgSKV/nPJ01t0QQHaS5Aj73tucE6bQbR8Q==" saltValue="KFsMLMwcs0dAiTg/w93NrQ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A1:H16"/>
  <sheetViews>
    <sheetView zoomScaleNormal="100" workbookViewId="0">
      <selection sqref="A1:XFD1048576"/>
    </sheetView>
  </sheetViews>
  <sheetFormatPr defaultRowHeight="14.4" x14ac:dyDescent="0.55000000000000004"/>
  <cols>
    <col min="1" max="1" width="15.83984375" style="105" bestFit="1" customWidth="1"/>
    <col min="2" max="2" width="9.578125" style="105" customWidth="1"/>
    <col min="3" max="3" width="19.62890625" style="105" bestFit="1" customWidth="1"/>
    <col min="4" max="4" width="15.47265625" style="105" bestFit="1" customWidth="1"/>
    <col min="5" max="5" width="19.83984375" style="105" customWidth="1"/>
    <col min="6" max="6" width="19.578125" style="105" bestFit="1" customWidth="1"/>
    <col min="7" max="7" width="12.7890625" style="105" bestFit="1" customWidth="1"/>
    <col min="8" max="16384" width="8.83984375" style="105"/>
  </cols>
  <sheetData>
    <row r="1" spans="1:8" x14ac:dyDescent="0.55000000000000004">
      <c r="A1" s="294"/>
    </row>
    <row r="2" spans="1:8" x14ac:dyDescent="0.55000000000000004">
      <c r="A2" s="383"/>
      <c r="E2" s="131" t="s">
        <v>232</v>
      </c>
      <c r="F2" s="132">
        <f>G9/1000000</f>
        <v>2.75</v>
      </c>
    </row>
    <row r="3" spans="1:8" x14ac:dyDescent="0.55000000000000004">
      <c r="C3" s="370"/>
      <c r="E3" s="131" t="s">
        <v>224</v>
      </c>
      <c r="F3" s="132">
        <f>G16/1000000</f>
        <v>6.6934576843200011</v>
      </c>
    </row>
    <row r="4" spans="1:8" x14ac:dyDescent="0.55000000000000004">
      <c r="A4" s="107" t="s">
        <v>115</v>
      </c>
    </row>
    <row r="6" spans="1:8" x14ac:dyDescent="0.55000000000000004">
      <c r="A6" s="348" t="s">
        <v>105</v>
      </c>
      <c r="B6" s="115" t="s">
        <v>403</v>
      </c>
      <c r="C6" s="115" t="s">
        <v>442</v>
      </c>
      <c r="D6" s="115" t="s">
        <v>404</v>
      </c>
      <c r="E6" s="115" t="s">
        <v>222</v>
      </c>
      <c r="F6" s="115" t="s">
        <v>424</v>
      </c>
      <c r="G6" s="344" t="s">
        <v>456</v>
      </c>
      <c r="H6" s="349" t="s">
        <v>116</v>
      </c>
    </row>
    <row r="7" spans="1:8" x14ac:dyDescent="0.55000000000000004">
      <c r="A7" s="118" t="s">
        <v>452</v>
      </c>
      <c r="B7" s="120">
        <f>ROUNDUP(FeedPerYr*1000/DaysPrYr/HrsPrDay/(1.3*0.907185),0)</f>
        <v>25</v>
      </c>
      <c r="C7" s="352">
        <v>110000</v>
      </c>
      <c r="D7" s="120" t="s">
        <v>453</v>
      </c>
      <c r="E7" s="120">
        <v>2015</v>
      </c>
      <c r="F7" s="120">
        <v>0.6</v>
      </c>
      <c r="G7" s="384">
        <f>B7*C7</f>
        <v>2750000</v>
      </c>
      <c r="H7" s="380" t="s">
        <v>530</v>
      </c>
    </row>
    <row r="8" spans="1:8" x14ac:dyDescent="0.55000000000000004">
      <c r="A8" s="118" t="s">
        <v>454</v>
      </c>
      <c r="B8" s="120"/>
      <c r="C8" s="120" t="s">
        <v>455</v>
      </c>
      <c r="D8" s="120"/>
      <c r="E8" s="120"/>
      <c r="F8" s="120">
        <v>0.6</v>
      </c>
    </row>
    <row r="9" spans="1:8" x14ac:dyDescent="0.55000000000000004">
      <c r="F9" s="313" t="s">
        <v>446</v>
      </c>
      <c r="G9" s="384">
        <f>SUM(G7:G8)</f>
        <v>2750000</v>
      </c>
    </row>
    <row r="11" spans="1:8" x14ac:dyDescent="0.55000000000000004">
      <c r="A11" s="105" t="s">
        <v>217</v>
      </c>
    </row>
    <row r="13" spans="1:8" x14ac:dyDescent="0.55000000000000004">
      <c r="A13" s="348" t="s">
        <v>105</v>
      </c>
      <c r="B13" s="373" t="s">
        <v>447</v>
      </c>
      <c r="C13" s="374" t="s">
        <v>418</v>
      </c>
      <c r="D13" s="374" t="s">
        <v>419</v>
      </c>
      <c r="E13" s="375" t="s">
        <v>420</v>
      </c>
      <c r="F13" s="375" t="s">
        <v>449</v>
      </c>
      <c r="G13" s="375" t="s">
        <v>450</v>
      </c>
      <c r="H13" s="376" t="s">
        <v>218</v>
      </c>
    </row>
    <row r="14" spans="1:8" x14ac:dyDescent="0.55000000000000004">
      <c r="A14" s="118" t="s">
        <v>457</v>
      </c>
      <c r="B14" s="385">
        <v>0.69869999999999999</v>
      </c>
      <c r="C14" s="120" t="s">
        <v>421</v>
      </c>
      <c r="D14" s="120">
        <f>B14*kgPrHr*DaysPrYr*HrsPrDay</f>
        <v>158462539.87500003</v>
      </c>
      <c r="E14" s="120">
        <f>ElecCost</f>
        <v>4.224E-2</v>
      </c>
      <c r="F14" s="355"/>
      <c r="G14" s="352">
        <f>D14*E14</f>
        <v>6693457.6843200009</v>
      </c>
      <c r="H14" s="380" t="s">
        <v>580</v>
      </c>
    </row>
    <row r="15" spans="1:8" x14ac:dyDescent="0.55000000000000004">
      <c r="A15" s="118" t="s">
        <v>457</v>
      </c>
      <c r="B15" s="355"/>
      <c r="C15" s="355"/>
      <c r="D15" s="355"/>
      <c r="E15" s="355"/>
      <c r="F15" s="382">
        <v>0.04</v>
      </c>
      <c r="G15" s="352">
        <f>G7*F15*1.1</f>
        <v>121000.00000000001</v>
      </c>
      <c r="H15" s="277"/>
    </row>
    <row r="16" spans="1:8" x14ac:dyDescent="0.55000000000000004">
      <c r="F16" s="131" t="s">
        <v>423</v>
      </c>
      <c r="G16" s="357">
        <f>G14</f>
        <v>6693457.6843200009</v>
      </c>
    </row>
  </sheetData>
  <sheetProtection algorithmName="SHA-512" hashValue="8e8sO6ypWM2bfRfdAtzJdSELiW+Vqu0LESGrN2f+K7aerg59MgKonSaDnmoZngDsbctB/Njmuk41tRcyHG+Xgw==" saltValue="zEMvZqL5xNLhUPw/HKxAUw==" spinCount="100000" sheet="1" objects="1" scenarios="1"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H16"/>
  <sheetViews>
    <sheetView zoomScaleNormal="100" workbookViewId="0">
      <selection sqref="A1:XFD1048576"/>
    </sheetView>
  </sheetViews>
  <sheetFormatPr defaultRowHeight="14.4" x14ac:dyDescent="0.55000000000000004"/>
  <cols>
    <col min="1" max="1" width="17.3125" style="105" bestFit="1" customWidth="1"/>
    <col min="2" max="2" width="10.3125" style="105" customWidth="1"/>
    <col min="3" max="3" width="22.734375" style="105" customWidth="1"/>
    <col min="4" max="4" width="17.20703125" style="105" customWidth="1"/>
    <col min="5" max="5" width="23.83984375" style="105" bestFit="1" customWidth="1"/>
    <col min="6" max="6" width="19.578125" style="105" bestFit="1" customWidth="1"/>
    <col min="7" max="7" width="16.41796875" style="105" customWidth="1"/>
    <col min="8" max="16384" width="8.83984375" style="105"/>
  </cols>
  <sheetData>
    <row r="1" spans="1:8" ht="15.6" x14ac:dyDescent="0.55000000000000004">
      <c r="A1" s="369"/>
    </row>
    <row r="2" spans="1:8" x14ac:dyDescent="0.55000000000000004">
      <c r="E2" s="131" t="s">
        <v>232</v>
      </c>
      <c r="F2" s="132">
        <f>F9/1000000</f>
        <v>4.4866234809629502</v>
      </c>
    </row>
    <row r="3" spans="1:8" x14ac:dyDescent="0.55000000000000004">
      <c r="E3" s="131" t="s">
        <v>224</v>
      </c>
      <c r="F3" s="132">
        <f>G16/1000000</f>
        <v>5.4605279519999987</v>
      </c>
    </row>
    <row r="4" spans="1:8" x14ac:dyDescent="0.55000000000000004">
      <c r="A4" s="105" t="s">
        <v>115</v>
      </c>
    </row>
    <row r="6" spans="1:8" x14ac:dyDescent="0.55000000000000004">
      <c r="A6" s="348" t="s">
        <v>105</v>
      </c>
      <c r="B6" s="115" t="s">
        <v>403</v>
      </c>
      <c r="C6" s="115" t="s">
        <v>442</v>
      </c>
      <c r="D6" s="115" t="s">
        <v>404</v>
      </c>
      <c r="E6" s="115" t="s">
        <v>222</v>
      </c>
      <c r="F6" s="344" t="s">
        <v>456</v>
      </c>
      <c r="G6" s="349" t="s">
        <v>116</v>
      </c>
    </row>
    <row r="7" spans="1:8" x14ac:dyDescent="0.55000000000000004">
      <c r="A7" s="355" t="s">
        <v>465</v>
      </c>
      <c r="B7" s="120">
        <f>ROUNDUP(FeedPerYr*1000/DaysPrYr/HrsPrDay/4,0)</f>
        <v>8</v>
      </c>
      <c r="C7" s="352">
        <v>589937</v>
      </c>
      <c r="D7" s="386" t="s">
        <v>458</v>
      </c>
      <c r="E7" s="120">
        <v>2011</v>
      </c>
      <c r="F7" s="352">
        <f>B7*C7*CY2015_/CY2011_</f>
        <v>4486623.4809629498</v>
      </c>
      <c r="G7" s="277" t="s">
        <v>522</v>
      </c>
    </row>
    <row r="8" spans="1:8" x14ac:dyDescent="0.55000000000000004">
      <c r="A8" s="355" t="s">
        <v>466</v>
      </c>
      <c r="B8" s="355"/>
      <c r="C8" s="355"/>
      <c r="D8" s="355"/>
      <c r="E8" s="355"/>
      <c r="F8" s="355"/>
      <c r="G8" s="277"/>
    </row>
    <row r="9" spans="1:8" x14ac:dyDescent="0.55000000000000004">
      <c r="E9" s="313" t="s">
        <v>459</v>
      </c>
      <c r="F9" s="357">
        <f>F7</f>
        <v>4486623.4809629498</v>
      </c>
    </row>
    <row r="12" spans="1:8" x14ac:dyDescent="0.55000000000000004">
      <c r="A12" s="372" t="s">
        <v>217</v>
      </c>
    </row>
    <row r="13" spans="1:8" x14ac:dyDescent="0.55000000000000004">
      <c r="A13" s="348" t="s">
        <v>105</v>
      </c>
      <c r="B13" s="373" t="s">
        <v>447</v>
      </c>
      <c r="C13" s="374" t="s">
        <v>418</v>
      </c>
      <c r="D13" s="374" t="s">
        <v>419</v>
      </c>
      <c r="E13" s="375" t="s">
        <v>420</v>
      </c>
      <c r="F13" s="375" t="s">
        <v>449</v>
      </c>
      <c r="G13" s="375" t="s">
        <v>450</v>
      </c>
      <c r="H13" s="376" t="s">
        <v>218</v>
      </c>
    </row>
    <row r="14" spans="1:8" x14ac:dyDescent="0.55000000000000004">
      <c r="A14" s="118" t="s">
        <v>464</v>
      </c>
      <c r="B14" s="385">
        <f>0.57</f>
        <v>0.56999999999999995</v>
      </c>
      <c r="C14" s="378" t="s">
        <v>448</v>
      </c>
      <c r="D14" s="119">
        <f>B14*kgPrHr*DaysPrYr*HrsPrDay</f>
        <v>129273862.49999997</v>
      </c>
      <c r="E14" s="379">
        <f>ElecCost</f>
        <v>4.224E-2</v>
      </c>
      <c r="F14" s="355"/>
      <c r="G14" s="352">
        <f>D14*E14</f>
        <v>5460527.9519999987</v>
      </c>
      <c r="H14" s="380" t="s">
        <v>580</v>
      </c>
    </row>
    <row r="15" spans="1:8" x14ac:dyDescent="0.55000000000000004">
      <c r="A15" s="118" t="s">
        <v>464</v>
      </c>
      <c r="B15" s="355"/>
      <c r="C15" s="355"/>
      <c r="D15" s="355"/>
      <c r="E15" s="355"/>
      <c r="F15" s="382">
        <v>0.04</v>
      </c>
      <c r="G15" s="352">
        <f>F15*F7*1.1</f>
        <v>197411.43316236979</v>
      </c>
      <c r="H15" s="277"/>
    </row>
    <row r="16" spans="1:8" x14ac:dyDescent="0.55000000000000004">
      <c r="F16" s="131" t="s">
        <v>423</v>
      </c>
      <c r="G16" s="357">
        <f>G14</f>
        <v>5460527.9519999987</v>
      </c>
    </row>
  </sheetData>
  <sheetProtection algorithmName="SHA-512" hashValue="PQupQWApXGqvcdt/JnFaT92bV/QW6vw+/8t+RJ51PvUHf9ckWLdbMhdV783Q9rdC7D48yy13vRA3ioLgq/SsMA==" saltValue="zvqLIyliDk92onqaZ1rbU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67</vt:i4>
      </vt:variant>
    </vt:vector>
  </HeadingPairs>
  <TitlesOfParts>
    <vt:vector size="83" baseType="lpstr">
      <vt:lpstr>SUMMARY</vt:lpstr>
      <vt:lpstr>Inputs</vt:lpstr>
      <vt:lpstr>CBA</vt:lpstr>
      <vt:lpstr>CAPEX</vt:lpstr>
      <vt:lpstr>OPEX</vt:lpstr>
      <vt:lpstr>FHRPrep</vt:lpstr>
      <vt:lpstr>Coarse</vt:lpstr>
      <vt:lpstr>Fine</vt:lpstr>
      <vt:lpstr>Amorphous</vt:lpstr>
      <vt:lpstr>Saccharification</vt:lpstr>
      <vt:lpstr>Pellets</vt:lpstr>
      <vt:lpstr>WWT</vt:lpstr>
      <vt:lpstr>Utilities</vt:lpstr>
      <vt:lpstr>References</vt:lpstr>
      <vt:lpstr>CostYear</vt:lpstr>
      <vt:lpstr>DCFROR</vt:lpstr>
      <vt:lpstr>ConstYrs</vt:lpstr>
      <vt:lpstr>CostYr</vt:lpstr>
      <vt:lpstr>CY1990_</vt:lpstr>
      <vt:lpstr>CY1991_</vt:lpstr>
      <vt:lpstr>CY1992_</vt:lpstr>
      <vt:lpstr>CY1993_</vt:lpstr>
      <vt:lpstr>CY1994_</vt:lpstr>
      <vt:lpstr>CY1995_</vt:lpstr>
      <vt:lpstr>CY1996_</vt:lpstr>
      <vt:lpstr>CY1997_</vt:lpstr>
      <vt:lpstr>CY1998_</vt:lpstr>
      <vt:lpstr>CY1999_</vt:lpstr>
      <vt:lpstr>CY2000_</vt:lpstr>
      <vt:lpstr>CY2001_</vt:lpstr>
      <vt:lpstr>CY2002_</vt:lpstr>
      <vt:lpstr>CY2003_</vt:lpstr>
      <vt:lpstr>CY2004_</vt:lpstr>
      <vt:lpstr>CY2005_</vt:lpstr>
      <vt:lpstr>CY2006_</vt:lpstr>
      <vt:lpstr>CY2007_</vt:lpstr>
      <vt:lpstr>CY2008_</vt:lpstr>
      <vt:lpstr>CY2009_</vt:lpstr>
      <vt:lpstr>CY2010_</vt:lpstr>
      <vt:lpstr>CY2011_</vt:lpstr>
      <vt:lpstr>CY2012_</vt:lpstr>
      <vt:lpstr>CY2013_</vt:lpstr>
      <vt:lpstr>CY2014_</vt:lpstr>
      <vt:lpstr>CY2015_</vt:lpstr>
      <vt:lpstr>DaysPrYr</vt:lpstr>
      <vt:lpstr>Dep7yr</vt:lpstr>
      <vt:lpstr>DepLife</vt:lpstr>
      <vt:lpstr>Diesel</vt:lpstr>
      <vt:lpstr>ElecCost</vt:lpstr>
      <vt:lpstr>EnzCost</vt:lpstr>
      <vt:lpstr>Equity</vt:lpstr>
      <vt:lpstr>FCI</vt:lpstr>
      <vt:lpstr>FeedCost</vt:lpstr>
      <vt:lpstr>FeedPerD</vt:lpstr>
      <vt:lpstr>FeedPerYr</vt:lpstr>
      <vt:lpstr>FeedYrBFLoss</vt:lpstr>
      <vt:lpstr>HogFuel</vt:lpstr>
      <vt:lpstr>HrsPrDay</vt:lpstr>
      <vt:lpstr>InfRate</vt:lpstr>
      <vt:lpstr>InTaxRate</vt:lpstr>
      <vt:lpstr>kgPrHr</vt:lpstr>
      <vt:lpstr>LandCost</vt:lpstr>
      <vt:lpstr>LoanInt</vt:lpstr>
      <vt:lpstr>LoanPayment</vt:lpstr>
      <vt:lpstr>LoanYrs</vt:lpstr>
      <vt:lpstr>MiconYield</vt:lpstr>
      <vt:lpstr>NGkcfCost</vt:lpstr>
      <vt:lpstr>NGMMbtuCost</vt:lpstr>
      <vt:lpstr>NomDiscRate</vt:lpstr>
      <vt:lpstr>PelletYield</vt:lpstr>
      <vt:lpstr>ProdRamp</vt:lpstr>
      <vt:lpstr>RealDiscRate</vt:lpstr>
      <vt:lpstr>ScreenLoss</vt:lpstr>
      <vt:lpstr>SpendYr1</vt:lpstr>
      <vt:lpstr>SpendYr2</vt:lpstr>
      <vt:lpstr>SpendYr3</vt:lpstr>
      <vt:lpstr>StartUp</vt:lpstr>
      <vt:lpstr>StartupFuel</vt:lpstr>
      <vt:lpstr>StartupVar</vt:lpstr>
      <vt:lpstr>SugarProd</vt:lpstr>
      <vt:lpstr>SugarYield</vt:lpstr>
      <vt:lpstr>TotalRevenue</vt:lpstr>
      <vt:lpstr>TPI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</dc:creator>
  <cp:lastModifiedBy>Kristin Brandt</cp:lastModifiedBy>
  <dcterms:created xsi:type="dcterms:W3CDTF">2016-02-24T16:58:02Z</dcterms:created>
  <dcterms:modified xsi:type="dcterms:W3CDTF">2018-07-25T18:40:41Z</dcterms:modified>
  <cp:contentStatus/>
</cp:coreProperties>
</file>