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Takahiro Hosono\Desktop\Article for Contribution\CO-AUTHOR\Frontier_Taniguchi\1st revision\Resubmission\"/>
    </mc:Choice>
  </mc:AlternateContent>
  <xr:revisionPtr revIDLastSave="0" documentId="13_ncr:1_{A3BBCB14-C880-4A0E-9183-E88CA8A241C3}" xr6:coauthVersionLast="38" xr6:coauthVersionMax="40" xr10:uidLastSave="{00000000-0000-0000-0000-000000000000}"/>
  <bookViews>
    <workbookView xWindow="39060" yWindow="2496" windowWidth="34776" windowHeight="21144" xr2:uid="{00000000-000D-0000-FFFF-FFFF00000000}"/>
  </bookViews>
  <sheets>
    <sheet name="Obs wells head and precip" sheetId="1" r:id="rId1"/>
    <sheet name="Water depth and pump costs" sheetId="4" r:id="rId2"/>
    <sheet name="Kumamoto pumping" sheetId="8" r:id="rId3"/>
    <sheet name="Midstream area recharge" sheetId="7" state="hidden" r:id="rId4"/>
    <sheet name="Hydrology parameters" sheetId="3" state="hidden" r:id="rId5"/>
    <sheet name="Mashiki pumping" sheetId="5" r:id="rId6"/>
    <sheet name="Subsidy and recharge" sheetId="2" r:id="rId7"/>
    <sheet name="Sharp interface calcs" sheetId="6" state="hidden" r:id="rId8"/>
    <sheet name="Trends" sheetId="10" r:id="rId9"/>
    <sheet name="Farmer Income" sheetId="11" r:id="rId10"/>
    <sheet name="Scenarios" sheetId="9" r:id="rId11"/>
    <sheet name="Pumping synergy loss" sheetId="12" r:id="rId12"/>
    <sheet name="Farmer synergy loss" sheetId="13" r:id="rId13"/>
    <sheet name="5-m head drop" sheetId="14" r:id="rId14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" i="2" l="1"/>
  <c r="E5" i="13" l="1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4" i="13"/>
  <c r="M105" i="12" l="1"/>
  <c r="M107" i="12"/>
  <c r="M108" i="12"/>
  <c r="M109" i="12"/>
  <c r="M110" i="12"/>
  <c r="M111" i="12"/>
  <c r="M112" i="12"/>
  <c r="M113" i="12"/>
  <c r="M114" i="12"/>
  <c r="M115" i="12"/>
  <c r="M116" i="12"/>
  <c r="M117" i="12"/>
  <c r="M104" i="12"/>
  <c r="J98" i="12"/>
  <c r="J99" i="12"/>
  <c r="J100" i="12"/>
  <c r="J101" i="12"/>
  <c r="J102" i="12"/>
  <c r="J103" i="12"/>
  <c r="J104" i="12"/>
  <c r="J105" i="12"/>
  <c r="J107" i="12"/>
  <c r="J108" i="12"/>
  <c r="J109" i="12"/>
  <c r="J110" i="12"/>
  <c r="J111" i="12"/>
  <c r="J112" i="12"/>
  <c r="J113" i="12"/>
  <c r="J114" i="12"/>
  <c r="J115" i="12"/>
  <c r="J116" i="12"/>
  <c r="J117" i="12"/>
  <c r="J97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7" i="12"/>
  <c r="G108" i="12"/>
  <c r="G109" i="12"/>
  <c r="G110" i="12"/>
  <c r="G111" i="12"/>
  <c r="G112" i="12"/>
  <c r="G113" i="12"/>
  <c r="G114" i="12"/>
  <c r="G115" i="12"/>
  <c r="G116" i="12"/>
  <c r="G117" i="12"/>
  <c r="G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7" i="12"/>
  <c r="D108" i="12"/>
  <c r="D109" i="12"/>
  <c r="D110" i="12"/>
  <c r="D111" i="12"/>
  <c r="D112" i="12"/>
  <c r="D113" i="12"/>
  <c r="D114" i="12"/>
  <c r="D115" i="12"/>
  <c r="D116" i="12"/>
  <c r="D117" i="12"/>
  <c r="D83" i="12"/>
  <c r="E46" i="12"/>
  <c r="E49" i="12"/>
  <c r="E50" i="12"/>
  <c r="E53" i="12"/>
  <c r="E54" i="12"/>
  <c r="E57" i="12"/>
  <c r="E58" i="12"/>
  <c r="E61" i="12"/>
  <c r="E62" i="12"/>
  <c r="E65" i="12"/>
  <c r="E66" i="12"/>
  <c r="E69" i="12"/>
  <c r="E70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45" i="12"/>
  <c r="H10" i="12"/>
  <c r="H11" i="12"/>
  <c r="H12" i="12"/>
  <c r="H14" i="12"/>
  <c r="H15" i="12"/>
  <c r="H16" i="12"/>
  <c r="H18" i="12"/>
  <c r="H19" i="12"/>
  <c r="H20" i="12"/>
  <c r="H22" i="12"/>
  <c r="H23" i="12"/>
  <c r="H24" i="12"/>
  <c r="H26" i="12"/>
  <c r="H27" i="12"/>
  <c r="H28" i="12"/>
  <c r="H30" i="12"/>
  <c r="H31" i="12"/>
  <c r="H32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8" i="12"/>
  <c r="E9" i="12"/>
  <c r="E10" i="12"/>
  <c r="E11" i="12"/>
  <c r="E13" i="12"/>
  <c r="E14" i="12"/>
  <c r="E15" i="12"/>
  <c r="E17" i="12"/>
  <c r="E18" i="12"/>
  <c r="E19" i="12"/>
  <c r="E21" i="12"/>
  <c r="E22" i="12"/>
  <c r="E23" i="12"/>
  <c r="E25" i="12"/>
  <c r="E26" i="12"/>
  <c r="E27" i="12"/>
  <c r="E29" i="12"/>
  <c r="E30" i="12"/>
  <c r="E31" i="12"/>
  <c r="E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7" i="12"/>
  <c r="K111" i="8"/>
  <c r="J111" i="8"/>
  <c r="I111" i="8"/>
  <c r="E32" i="12" s="1"/>
  <c r="K110" i="8"/>
  <c r="J110" i="8"/>
  <c r="I110" i="8"/>
  <c r="K109" i="8"/>
  <c r="E68" i="12" s="1"/>
  <c r="J109" i="8"/>
  <c r="I109" i="8"/>
  <c r="K108" i="8"/>
  <c r="E67" i="12" s="1"/>
  <c r="J108" i="8"/>
  <c r="H29" i="12" s="1"/>
  <c r="I108" i="8"/>
  <c r="K107" i="8"/>
  <c r="J107" i="8"/>
  <c r="I107" i="8"/>
  <c r="E28" i="12" s="1"/>
  <c r="K106" i="8"/>
  <c r="J106" i="8"/>
  <c r="I106" i="8"/>
  <c r="K105" i="8"/>
  <c r="E64" i="12" s="1"/>
  <c r="J105" i="8"/>
  <c r="I105" i="8"/>
  <c r="K104" i="8"/>
  <c r="E63" i="12" s="1"/>
  <c r="J104" i="8"/>
  <c r="H25" i="12" s="1"/>
  <c r="I104" i="8"/>
  <c r="K103" i="8"/>
  <c r="J103" i="8"/>
  <c r="I103" i="8"/>
  <c r="E24" i="12" s="1"/>
  <c r="K102" i="8"/>
  <c r="J102" i="8"/>
  <c r="I102" i="8"/>
  <c r="K101" i="8"/>
  <c r="E60" i="12" s="1"/>
  <c r="J101" i="8"/>
  <c r="I101" i="8"/>
  <c r="K100" i="8"/>
  <c r="E59" i="12" s="1"/>
  <c r="J100" i="8"/>
  <c r="H21" i="12" s="1"/>
  <c r="I100" i="8"/>
  <c r="K99" i="8"/>
  <c r="J99" i="8"/>
  <c r="I99" i="8"/>
  <c r="E20" i="12" s="1"/>
  <c r="K98" i="8"/>
  <c r="J98" i="8"/>
  <c r="I98" i="8"/>
  <c r="K97" i="8"/>
  <c r="E56" i="12" s="1"/>
  <c r="J97" i="8"/>
  <c r="I97" i="8"/>
  <c r="K96" i="8"/>
  <c r="E55" i="12" s="1"/>
  <c r="J96" i="8"/>
  <c r="H17" i="12" s="1"/>
  <c r="I96" i="8"/>
  <c r="K95" i="8"/>
  <c r="J95" i="8"/>
  <c r="I95" i="8"/>
  <c r="E16" i="12" s="1"/>
  <c r="K94" i="8"/>
  <c r="J94" i="8"/>
  <c r="I94" i="8"/>
  <c r="K93" i="8"/>
  <c r="E52" i="12" s="1"/>
  <c r="J93" i="8"/>
  <c r="I93" i="8"/>
  <c r="K92" i="8"/>
  <c r="E51" i="12" s="1"/>
  <c r="J92" i="8"/>
  <c r="H13" i="12" s="1"/>
  <c r="I92" i="8"/>
  <c r="K91" i="8"/>
  <c r="J91" i="8"/>
  <c r="I91" i="8"/>
  <c r="E12" i="12" s="1"/>
  <c r="K90" i="8"/>
  <c r="J90" i="8"/>
  <c r="I90" i="8"/>
  <c r="K89" i="8"/>
  <c r="E48" i="12" s="1"/>
  <c r="J89" i="8"/>
  <c r="I89" i="8"/>
  <c r="K88" i="8"/>
  <c r="E47" i="12" s="1"/>
  <c r="J88" i="8"/>
  <c r="H9" i="12" s="1"/>
  <c r="I88" i="8"/>
  <c r="K87" i="8"/>
  <c r="J87" i="8"/>
  <c r="H8" i="12" s="1"/>
  <c r="I87" i="8"/>
  <c r="E8" i="12" s="1"/>
  <c r="K86" i="8"/>
  <c r="E45" i="12" s="1"/>
  <c r="I8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1" i="8"/>
  <c r="K42" i="8"/>
  <c r="J42" i="8"/>
  <c r="I4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E37" i="11" l="1"/>
  <c r="L37" i="11"/>
  <c r="F15" i="14" l="1"/>
  <c r="F17" i="14" s="1"/>
  <c r="E7" i="14"/>
  <c r="F38" i="13" l="1"/>
  <c r="E38" i="13"/>
  <c r="C38" i="13"/>
  <c r="B38" i="13"/>
  <c r="G37" i="13"/>
  <c r="D37" i="13"/>
  <c r="H37" i="13" s="1"/>
  <c r="I37" i="13" s="1"/>
  <c r="G36" i="13"/>
  <c r="D36" i="13"/>
  <c r="H36" i="13" s="1"/>
  <c r="I36" i="13" s="1"/>
  <c r="G35" i="13"/>
  <c r="D35" i="13"/>
  <c r="H35" i="13" s="1"/>
  <c r="I35" i="13" s="1"/>
  <c r="G34" i="13"/>
  <c r="D34" i="13"/>
  <c r="H34" i="13" s="1"/>
  <c r="I34" i="13" s="1"/>
  <c r="G33" i="13"/>
  <c r="D33" i="13"/>
  <c r="H33" i="13" s="1"/>
  <c r="I33" i="13" s="1"/>
  <c r="G32" i="13"/>
  <c r="D32" i="13"/>
  <c r="H32" i="13" s="1"/>
  <c r="I32" i="13" s="1"/>
  <c r="G31" i="13"/>
  <c r="D31" i="13"/>
  <c r="H31" i="13" s="1"/>
  <c r="I31" i="13" s="1"/>
  <c r="G30" i="13"/>
  <c r="D30" i="13"/>
  <c r="H30" i="13" s="1"/>
  <c r="I30" i="13" s="1"/>
  <c r="G29" i="13"/>
  <c r="D29" i="13"/>
  <c r="H29" i="13" s="1"/>
  <c r="I29" i="13" s="1"/>
  <c r="G28" i="13"/>
  <c r="D28" i="13"/>
  <c r="H28" i="13" s="1"/>
  <c r="I28" i="13" s="1"/>
  <c r="G27" i="13"/>
  <c r="D27" i="13"/>
  <c r="H27" i="13" s="1"/>
  <c r="I27" i="13" s="1"/>
  <c r="G26" i="13"/>
  <c r="D26" i="13"/>
  <c r="H26" i="13" s="1"/>
  <c r="I26" i="13" s="1"/>
  <c r="G25" i="13"/>
  <c r="D25" i="13"/>
  <c r="H25" i="13" s="1"/>
  <c r="I25" i="13" s="1"/>
  <c r="G24" i="13"/>
  <c r="D24" i="13"/>
  <c r="H24" i="13" s="1"/>
  <c r="I24" i="13" s="1"/>
  <c r="G23" i="13"/>
  <c r="D23" i="13"/>
  <c r="H23" i="13" s="1"/>
  <c r="I23" i="13" s="1"/>
  <c r="G22" i="13"/>
  <c r="D22" i="13"/>
  <c r="H22" i="13" s="1"/>
  <c r="I22" i="13" s="1"/>
  <c r="G21" i="13"/>
  <c r="D21" i="13"/>
  <c r="H21" i="13" s="1"/>
  <c r="I21" i="13" s="1"/>
  <c r="G20" i="13"/>
  <c r="D20" i="13"/>
  <c r="H20" i="13" s="1"/>
  <c r="I20" i="13" s="1"/>
  <c r="G19" i="13"/>
  <c r="D19" i="13"/>
  <c r="H19" i="13" s="1"/>
  <c r="I19" i="13" s="1"/>
  <c r="G18" i="13"/>
  <c r="D18" i="13"/>
  <c r="H18" i="13" s="1"/>
  <c r="I18" i="13" s="1"/>
  <c r="G17" i="13"/>
  <c r="D17" i="13"/>
  <c r="H17" i="13" s="1"/>
  <c r="I17" i="13" s="1"/>
  <c r="G16" i="13"/>
  <c r="D16" i="13"/>
  <c r="H16" i="13" s="1"/>
  <c r="I16" i="13" s="1"/>
  <c r="G15" i="13"/>
  <c r="D15" i="13"/>
  <c r="H15" i="13" s="1"/>
  <c r="I15" i="13" s="1"/>
  <c r="G14" i="13"/>
  <c r="D14" i="13"/>
  <c r="H14" i="13" s="1"/>
  <c r="I14" i="13" s="1"/>
  <c r="G13" i="13"/>
  <c r="D13" i="13"/>
  <c r="H13" i="13" s="1"/>
  <c r="I13" i="13" s="1"/>
  <c r="G12" i="13"/>
  <c r="D12" i="13"/>
  <c r="H12" i="13" s="1"/>
  <c r="I12" i="13" s="1"/>
  <c r="G11" i="13"/>
  <c r="D11" i="13"/>
  <c r="H11" i="13" s="1"/>
  <c r="I11" i="13" s="1"/>
  <c r="G10" i="13"/>
  <c r="D10" i="13"/>
  <c r="H10" i="13" s="1"/>
  <c r="I10" i="13" s="1"/>
  <c r="G9" i="13"/>
  <c r="D9" i="13"/>
  <c r="H9" i="13" s="1"/>
  <c r="I9" i="13" s="1"/>
  <c r="G8" i="13"/>
  <c r="D8" i="13"/>
  <c r="H8" i="13" s="1"/>
  <c r="I8" i="13" s="1"/>
  <c r="G7" i="13"/>
  <c r="D7" i="13"/>
  <c r="H7" i="13" s="1"/>
  <c r="I7" i="13" s="1"/>
  <c r="G6" i="13"/>
  <c r="D6" i="13"/>
  <c r="H6" i="13" s="1"/>
  <c r="I6" i="13" s="1"/>
  <c r="G5" i="13"/>
  <c r="D5" i="13"/>
  <c r="H5" i="13" s="1"/>
  <c r="I5" i="13" s="1"/>
  <c r="G4" i="13"/>
  <c r="G38" i="13" s="1"/>
  <c r="D4" i="13"/>
  <c r="D38" i="13" s="1"/>
  <c r="K158" i="12"/>
  <c r="L157" i="12"/>
  <c r="L156" i="12"/>
  <c r="L155" i="12"/>
  <c r="L154" i="12"/>
  <c r="L153" i="12"/>
  <c r="L152" i="12"/>
  <c r="L151" i="12"/>
  <c r="L150" i="12"/>
  <c r="L149" i="12"/>
  <c r="L148" i="12"/>
  <c r="L147" i="12"/>
  <c r="L146" i="12"/>
  <c r="I146" i="12"/>
  <c r="H146" i="12"/>
  <c r="G146" i="12"/>
  <c r="F146" i="12"/>
  <c r="L145" i="12"/>
  <c r="L144" i="12"/>
  <c r="L143" i="12"/>
  <c r="I143" i="12"/>
  <c r="L142" i="12"/>
  <c r="I142" i="12"/>
  <c r="L141" i="12"/>
  <c r="I141" i="12"/>
  <c r="L140" i="12"/>
  <c r="I140" i="12"/>
  <c r="L139" i="12"/>
  <c r="I139" i="12"/>
  <c r="L138" i="12"/>
  <c r="I138" i="12"/>
  <c r="L137" i="12"/>
  <c r="I137" i="12"/>
  <c r="L136" i="12"/>
  <c r="I136" i="12"/>
  <c r="H136" i="12"/>
  <c r="L135" i="12"/>
  <c r="I135" i="12"/>
  <c r="H135" i="12"/>
  <c r="L134" i="12"/>
  <c r="I134" i="12"/>
  <c r="H134" i="12"/>
  <c r="L133" i="12"/>
  <c r="I133" i="12"/>
  <c r="H133" i="12"/>
  <c r="L132" i="12"/>
  <c r="I132" i="12"/>
  <c r="H132" i="12"/>
  <c r="L131" i="12"/>
  <c r="I131" i="12"/>
  <c r="H131" i="12"/>
  <c r="L130" i="12"/>
  <c r="I130" i="12"/>
  <c r="H130" i="12"/>
  <c r="L129" i="12"/>
  <c r="I129" i="12"/>
  <c r="H129" i="12"/>
  <c r="L128" i="12"/>
  <c r="I128" i="12"/>
  <c r="H128" i="12"/>
  <c r="G128" i="12"/>
  <c r="F128" i="12"/>
  <c r="L127" i="12"/>
  <c r="I127" i="12"/>
  <c r="H127" i="12"/>
  <c r="G127" i="12"/>
  <c r="F127" i="12"/>
  <c r="L126" i="12"/>
  <c r="I126" i="12"/>
  <c r="H126" i="12"/>
  <c r="G126" i="12"/>
  <c r="F126" i="12"/>
  <c r="L125" i="12"/>
  <c r="I125" i="12"/>
  <c r="H125" i="12"/>
  <c r="G125" i="12"/>
  <c r="F125" i="12"/>
  <c r="L124" i="12"/>
  <c r="I124" i="12"/>
  <c r="H124" i="12"/>
  <c r="G124" i="12"/>
  <c r="F124" i="12"/>
  <c r="E108" i="12"/>
  <c r="H108" i="12" s="1"/>
  <c r="K108" i="12" s="1"/>
  <c r="E107" i="12"/>
  <c r="H107" i="12" s="1"/>
  <c r="K107" i="12" s="1"/>
  <c r="N107" i="12" s="1"/>
  <c r="E106" i="12"/>
  <c r="H106" i="12" s="1"/>
  <c r="K106" i="12" s="1"/>
  <c r="N106" i="12" s="1"/>
  <c r="E105" i="12"/>
  <c r="H105" i="12" s="1"/>
  <c r="K105" i="12" s="1"/>
  <c r="N105" i="12" s="1"/>
  <c r="E104" i="12"/>
  <c r="H104" i="12" s="1"/>
  <c r="E103" i="12"/>
  <c r="H103" i="12" s="1"/>
  <c r="K103" i="12" s="1"/>
  <c r="N103" i="12" s="1"/>
  <c r="E102" i="12"/>
  <c r="H102" i="12" s="1"/>
  <c r="K102" i="12" s="1"/>
  <c r="E101" i="12"/>
  <c r="E100" i="12"/>
  <c r="H100" i="12" s="1"/>
  <c r="K100" i="12" s="1"/>
  <c r="N100" i="12" s="1"/>
  <c r="E99" i="12"/>
  <c r="E98" i="12"/>
  <c r="H98" i="12" s="1"/>
  <c r="K98" i="12" s="1"/>
  <c r="N98" i="12" s="1"/>
  <c r="E97" i="12"/>
  <c r="E96" i="12"/>
  <c r="H96" i="12" s="1"/>
  <c r="E95" i="12"/>
  <c r="H95" i="12" s="1"/>
  <c r="K95" i="12" s="1"/>
  <c r="N95" i="12" s="1"/>
  <c r="E94" i="12"/>
  <c r="H94" i="12" s="1"/>
  <c r="K94" i="12" s="1"/>
  <c r="N94" i="12" s="1"/>
  <c r="E93" i="12"/>
  <c r="H93" i="12" s="1"/>
  <c r="K93" i="12" s="1"/>
  <c r="N93" i="12" s="1"/>
  <c r="E92" i="12"/>
  <c r="H92" i="12" s="1"/>
  <c r="K92" i="12" s="1"/>
  <c r="N92" i="12" s="1"/>
  <c r="E91" i="12"/>
  <c r="H91" i="12" s="1"/>
  <c r="K91" i="12" s="1"/>
  <c r="N91" i="12" s="1"/>
  <c r="E90" i="12"/>
  <c r="E89" i="12"/>
  <c r="H89" i="12" s="1"/>
  <c r="K89" i="12" s="1"/>
  <c r="N89" i="12" s="1"/>
  <c r="E88" i="12"/>
  <c r="H88" i="12" s="1"/>
  <c r="K88" i="12" s="1"/>
  <c r="N88" i="12" s="1"/>
  <c r="E87" i="12"/>
  <c r="H87" i="12" s="1"/>
  <c r="K87" i="12" s="1"/>
  <c r="N87" i="12" s="1"/>
  <c r="E86" i="12"/>
  <c r="H86" i="12" s="1"/>
  <c r="K86" i="12" s="1"/>
  <c r="N86" i="12" s="1"/>
  <c r="E85" i="12"/>
  <c r="H85" i="12" s="1"/>
  <c r="K85" i="12" s="1"/>
  <c r="N85" i="12" s="1"/>
  <c r="E84" i="12"/>
  <c r="H84" i="12" s="1"/>
  <c r="K84" i="12" s="1"/>
  <c r="N84" i="12" s="1"/>
  <c r="D2" i="12"/>
  <c r="K104" i="12" l="1"/>
  <c r="N104" i="12" s="1"/>
  <c r="H4" i="13"/>
  <c r="I4" i="13" s="1"/>
  <c r="N108" i="12"/>
  <c r="H99" i="12"/>
  <c r="K99" i="12" s="1"/>
  <c r="H97" i="12"/>
  <c r="K97" i="12" s="1"/>
  <c r="H90" i="12"/>
  <c r="K90" i="12" s="1"/>
  <c r="N90" i="12" s="1"/>
  <c r="K96" i="12"/>
  <c r="N96" i="12" s="1"/>
  <c r="H101" i="12"/>
  <c r="K101" i="12" s="1"/>
  <c r="N101" i="12" s="1"/>
  <c r="N102" i="12"/>
  <c r="L158" i="12"/>
  <c r="I38" i="13" l="1"/>
  <c r="H38" i="13"/>
  <c r="N97" i="12"/>
  <c r="N99" i="12"/>
  <c r="E26" i="11" l="1"/>
  <c r="F26" i="11"/>
  <c r="G26" i="11" s="1"/>
  <c r="L26" i="11"/>
  <c r="M26" i="11"/>
  <c r="E27" i="11"/>
  <c r="F27" i="11"/>
  <c r="L27" i="11"/>
  <c r="M27" i="11"/>
  <c r="E28" i="11"/>
  <c r="F28" i="11"/>
  <c r="L28" i="11"/>
  <c r="M28" i="11"/>
  <c r="E29" i="11"/>
  <c r="F29" i="11"/>
  <c r="L29" i="11"/>
  <c r="M29" i="11"/>
  <c r="E30" i="11"/>
  <c r="F30" i="11"/>
  <c r="L30" i="11"/>
  <c r="M30" i="11"/>
  <c r="E31" i="11"/>
  <c r="F31" i="11"/>
  <c r="I31" i="11" s="1"/>
  <c r="L31" i="11"/>
  <c r="M31" i="11"/>
  <c r="E32" i="11"/>
  <c r="F32" i="11"/>
  <c r="L32" i="11"/>
  <c r="M32" i="11"/>
  <c r="E33" i="11"/>
  <c r="F33" i="11"/>
  <c r="L33" i="11"/>
  <c r="M33" i="11"/>
  <c r="E34" i="11"/>
  <c r="F34" i="11"/>
  <c r="L34" i="11"/>
  <c r="M34" i="11"/>
  <c r="E35" i="11"/>
  <c r="F35" i="11"/>
  <c r="L35" i="11"/>
  <c r="M35" i="11"/>
  <c r="E36" i="11"/>
  <c r="F36" i="11"/>
  <c r="L36" i="11"/>
  <c r="M36" i="11"/>
  <c r="C11" i="9"/>
  <c r="C3" i="9"/>
  <c r="F11" i="9"/>
  <c r="F38" i="8"/>
  <c r="F39" i="8"/>
  <c r="F40" i="8"/>
  <c r="F41" i="8"/>
  <c r="F42" i="8"/>
  <c r="G36" i="5"/>
  <c r="G37" i="5"/>
  <c r="G38" i="5"/>
  <c r="G41" i="5" s="1"/>
  <c r="G39" i="5"/>
  <c r="G40" i="5"/>
  <c r="I120" i="8"/>
  <c r="E41" i="12" s="1"/>
  <c r="J120" i="8"/>
  <c r="H41" i="12" s="1"/>
  <c r="K120" i="8"/>
  <c r="E79" i="12" s="1"/>
  <c r="P4" i="2"/>
  <c r="C65" i="9" s="1"/>
  <c r="I27" i="11"/>
  <c r="E24" i="11"/>
  <c r="L24" i="11"/>
  <c r="E25" i="11"/>
  <c r="L25" i="11"/>
  <c r="E23" i="11"/>
  <c r="L23" i="11"/>
  <c r="C133" i="10"/>
  <c r="D133" i="10"/>
  <c r="E133" i="10"/>
  <c r="K113" i="8"/>
  <c r="E72" i="12" s="1"/>
  <c r="K114" i="8"/>
  <c r="E73" i="12" s="1"/>
  <c r="K115" i="8"/>
  <c r="E74" i="12" s="1"/>
  <c r="K116" i="8"/>
  <c r="E75" i="12" s="1"/>
  <c r="K117" i="8"/>
  <c r="E76" i="12" s="1"/>
  <c r="K118" i="8"/>
  <c r="E77" i="12" s="1"/>
  <c r="K119" i="8"/>
  <c r="E78" i="12" s="1"/>
  <c r="K112" i="8"/>
  <c r="E71" i="12" s="1"/>
  <c r="J113" i="8"/>
  <c r="H34" i="12" s="1"/>
  <c r="J114" i="8"/>
  <c r="H35" i="12" s="1"/>
  <c r="J115" i="8"/>
  <c r="H36" i="12" s="1"/>
  <c r="J116" i="8"/>
  <c r="H37" i="12" s="1"/>
  <c r="J117" i="8"/>
  <c r="H38" i="12" s="1"/>
  <c r="J118" i="8"/>
  <c r="H39" i="12" s="1"/>
  <c r="J119" i="8"/>
  <c r="H40" i="12" s="1"/>
  <c r="J112" i="8"/>
  <c r="H33" i="12" s="1"/>
  <c r="I113" i="8"/>
  <c r="E34" i="12" s="1"/>
  <c r="E110" i="12" s="1"/>
  <c r="H110" i="12" s="1"/>
  <c r="K110" i="12" s="1"/>
  <c r="N110" i="12" s="1"/>
  <c r="I114" i="8"/>
  <c r="E35" i="12" s="1"/>
  <c r="E111" i="12" s="1"/>
  <c r="H111" i="12" s="1"/>
  <c r="K111" i="12" s="1"/>
  <c r="N111" i="12" s="1"/>
  <c r="I115" i="8"/>
  <c r="E36" i="12" s="1"/>
  <c r="E112" i="12" s="1"/>
  <c r="H112" i="12" s="1"/>
  <c r="K112" i="12" s="1"/>
  <c r="N112" i="12" s="1"/>
  <c r="I116" i="8"/>
  <c r="E37" i="12" s="1"/>
  <c r="E113" i="12" s="1"/>
  <c r="H113" i="12" s="1"/>
  <c r="K113" i="12" s="1"/>
  <c r="N113" i="12" s="1"/>
  <c r="I117" i="8"/>
  <c r="E38" i="12" s="1"/>
  <c r="E114" i="12" s="1"/>
  <c r="H114" i="12" s="1"/>
  <c r="K114" i="12" s="1"/>
  <c r="N114" i="12" s="1"/>
  <c r="I118" i="8"/>
  <c r="E39" i="12" s="1"/>
  <c r="E115" i="12" s="1"/>
  <c r="H115" i="12" s="1"/>
  <c r="K115" i="12" s="1"/>
  <c r="N115" i="12" s="1"/>
  <c r="I119" i="8"/>
  <c r="E40" i="12" s="1"/>
  <c r="E116" i="12" s="1"/>
  <c r="H116" i="12" s="1"/>
  <c r="K116" i="12" s="1"/>
  <c r="N116" i="12" s="1"/>
  <c r="I112" i="8"/>
  <c r="E33" i="12" s="1"/>
  <c r="E109" i="12" s="1"/>
  <c r="H109" i="12" s="1"/>
  <c r="K109" i="12" s="1"/>
  <c r="N109" i="12" s="1"/>
  <c r="K80" i="8"/>
  <c r="K81" i="8"/>
  <c r="J81" i="8"/>
  <c r="J74" i="8"/>
  <c r="J75" i="8"/>
  <c r="J76" i="8"/>
  <c r="J77" i="8"/>
  <c r="J78" i="8"/>
  <c r="J79" i="8"/>
  <c r="J80" i="8"/>
  <c r="J73" i="8"/>
  <c r="I80" i="8"/>
  <c r="F116" i="8"/>
  <c r="F117" i="8"/>
  <c r="F118" i="8"/>
  <c r="F119" i="8"/>
  <c r="F120" i="8"/>
  <c r="F77" i="8"/>
  <c r="F78" i="8"/>
  <c r="F79" i="8"/>
  <c r="F80" i="8"/>
  <c r="F81" i="8"/>
  <c r="I40" i="10"/>
  <c r="H40" i="10"/>
  <c r="G40" i="10"/>
  <c r="K35" i="8"/>
  <c r="K36" i="8"/>
  <c r="K37" i="8"/>
  <c r="K38" i="8"/>
  <c r="K39" i="8"/>
  <c r="K40" i="8"/>
  <c r="K41" i="8"/>
  <c r="K34" i="8"/>
  <c r="F74" i="8"/>
  <c r="F75" i="8"/>
  <c r="F76" i="8"/>
  <c r="F73" i="8"/>
  <c r="J35" i="8"/>
  <c r="J36" i="8"/>
  <c r="J37" i="8"/>
  <c r="J38" i="8"/>
  <c r="J39" i="8"/>
  <c r="J40" i="8"/>
  <c r="J41" i="8"/>
  <c r="J34" i="8"/>
  <c r="I41" i="8"/>
  <c r="I36" i="8"/>
  <c r="I37" i="8"/>
  <c r="I38" i="8"/>
  <c r="I39" i="8"/>
  <c r="I40" i="8"/>
  <c r="E126" i="10"/>
  <c r="E127" i="10"/>
  <c r="E125" i="10"/>
  <c r="F115" i="8"/>
  <c r="F113" i="8"/>
  <c r="F114" i="8"/>
  <c r="F112" i="8"/>
  <c r="D126" i="10"/>
  <c r="D127" i="10"/>
  <c r="D125" i="10"/>
  <c r="C126" i="10"/>
  <c r="C127" i="10"/>
  <c r="C125" i="10"/>
  <c r="F37" i="8"/>
  <c r="F33" i="8"/>
  <c r="F34" i="8"/>
  <c r="F35" i="8"/>
  <c r="F36" i="8"/>
  <c r="F32" i="8"/>
  <c r="I31" i="10"/>
  <c r="I32" i="10"/>
  <c r="I33" i="10"/>
  <c r="I34" i="10"/>
  <c r="I30" i="10"/>
  <c r="H31" i="10"/>
  <c r="H32" i="10"/>
  <c r="H33" i="10"/>
  <c r="H34" i="10"/>
  <c r="H30" i="10"/>
  <c r="G31" i="10"/>
  <c r="G32" i="10"/>
  <c r="G33" i="10"/>
  <c r="G34" i="10"/>
  <c r="G30" i="10"/>
  <c r="C128" i="10"/>
  <c r="D128" i="10"/>
  <c r="E128" i="10"/>
  <c r="Q6" i="2"/>
  <c r="Q5" i="2"/>
  <c r="Q4" i="2"/>
  <c r="Q3" i="2"/>
  <c r="P6" i="2"/>
  <c r="B23" i="6" s="1"/>
  <c r="P5" i="2"/>
  <c r="P3" i="2"/>
  <c r="N3" i="1"/>
  <c r="C45" i="10" s="1"/>
  <c r="B7" i="12" s="1"/>
  <c r="M3" i="1"/>
  <c r="C85" i="10" s="1"/>
  <c r="B17" i="3"/>
  <c r="B21" i="6" s="1"/>
  <c r="B27" i="6" s="1"/>
  <c r="B22" i="6"/>
  <c r="V6" i="2"/>
  <c r="C129" i="10"/>
  <c r="D129" i="10"/>
  <c r="E129" i="10"/>
  <c r="C130" i="10"/>
  <c r="D130" i="10"/>
  <c r="E130" i="10"/>
  <c r="C131" i="10"/>
  <c r="D131" i="10"/>
  <c r="E131" i="10"/>
  <c r="C132" i="10"/>
  <c r="D132" i="10"/>
  <c r="E132" i="10"/>
  <c r="B129" i="10"/>
  <c r="B130" i="10"/>
  <c r="B131" i="10"/>
  <c r="B132" i="10"/>
  <c r="B128" i="10"/>
  <c r="A129" i="10"/>
  <c r="A130" i="10"/>
  <c r="A131" i="10"/>
  <c r="A132" i="10"/>
  <c r="A128" i="10"/>
  <c r="M4" i="1"/>
  <c r="C86" i="10" s="1"/>
  <c r="M5" i="1"/>
  <c r="C87" i="10" s="1"/>
  <c r="M6" i="1"/>
  <c r="C88" i="10" s="1"/>
  <c r="M7" i="1"/>
  <c r="C89" i="10" s="1"/>
  <c r="M8" i="1"/>
  <c r="C90" i="10"/>
  <c r="M9" i="1"/>
  <c r="C91" i="10" s="1"/>
  <c r="M10" i="1"/>
  <c r="C92" i="10"/>
  <c r="M11" i="1"/>
  <c r="C93" i="10" s="1"/>
  <c r="M12" i="1"/>
  <c r="C94" i="10" s="1"/>
  <c r="M13" i="1"/>
  <c r="C95" i="10" s="1"/>
  <c r="M14" i="1"/>
  <c r="C96" i="10" s="1"/>
  <c r="M15" i="1"/>
  <c r="C97" i="10" s="1"/>
  <c r="M16" i="1"/>
  <c r="C98" i="10"/>
  <c r="M17" i="1"/>
  <c r="C99" i="10" s="1"/>
  <c r="M18" i="1"/>
  <c r="C100" i="10"/>
  <c r="M19" i="1"/>
  <c r="C101" i="10" s="1"/>
  <c r="M20" i="1"/>
  <c r="C102" i="10" s="1"/>
  <c r="M21" i="1"/>
  <c r="C103" i="10" s="1"/>
  <c r="M22" i="1"/>
  <c r="C104" i="10" s="1"/>
  <c r="M23" i="1"/>
  <c r="C105" i="10" s="1"/>
  <c r="M24" i="1"/>
  <c r="C106" i="10"/>
  <c r="M25" i="1"/>
  <c r="C107" i="10" s="1"/>
  <c r="M26" i="1"/>
  <c r="C108" i="10"/>
  <c r="M27" i="1"/>
  <c r="C109" i="10" s="1"/>
  <c r="M28" i="1"/>
  <c r="C110" i="10" s="1"/>
  <c r="M29" i="1"/>
  <c r="C111" i="10" s="1"/>
  <c r="M30" i="1"/>
  <c r="C112" i="10" s="1"/>
  <c r="M31" i="1"/>
  <c r="C113" i="10" s="1"/>
  <c r="M32" i="1"/>
  <c r="C114" i="10"/>
  <c r="M33" i="1"/>
  <c r="C115" i="10" s="1"/>
  <c r="M34" i="1"/>
  <c r="C116" i="10" s="1"/>
  <c r="M35" i="1"/>
  <c r="C117" i="10" s="1"/>
  <c r="M36" i="1"/>
  <c r="C118" i="10" s="1"/>
  <c r="M37" i="1"/>
  <c r="C119" i="10" s="1"/>
  <c r="M38" i="1"/>
  <c r="C120" i="10" s="1"/>
  <c r="B116" i="10"/>
  <c r="B117" i="10"/>
  <c r="B118" i="10"/>
  <c r="B119" i="10"/>
  <c r="B120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85" i="10"/>
  <c r="P8" i="1"/>
  <c r="E50" i="10" s="1"/>
  <c r="B88" i="12" s="1"/>
  <c r="P9" i="1"/>
  <c r="E51" i="10" s="1"/>
  <c r="B89" i="12" s="1"/>
  <c r="C89" i="12" s="1"/>
  <c r="P10" i="1"/>
  <c r="E52" i="10" s="1"/>
  <c r="B90" i="12" s="1"/>
  <c r="C90" i="12" s="1"/>
  <c r="P11" i="1"/>
  <c r="E53" i="10" s="1"/>
  <c r="B91" i="12" s="1"/>
  <c r="C91" i="12" s="1"/>
  <c r="P12" i="1"/>
  <c r="E54" i="10" s="1"/>
  <c r="B92" i="12" s="1"/>
  <c r="C92" i="12" s="1"/>
  <c r="P13" i="1"/>
  <c r="E55" i="10" s="1"/>
  <c r="B93" i="12" s="1"/>
  <c r="C93" i="12" s="1"/>
  <c r="P14" i="1"/>
  <c r="E56" i="10" s="1"/>
  <c r="B94" i="12" s="1"/>
  <c r="C94" i="12" s="1"/>
  <c r="P15" i="1"/>
  <c r="E57" i="10"/>
  <c r="B95" i="12" s="1"/>
  <c r="C95" i="12" s="1"/>
  <c r="P16" i="1"/>
  <c r="E58" i="10" s="1"/>
  <c r="B96" i="12" s="1"/>
  <c r="C96" i="12" s="1"/>
  <c r="P17" i="1"/>
  <c r="E59" i="10" s="1"/>
  <c r="B97" i="12" s="1"/>
  <c r="C97" i="12" s="1"/>
  <c r="P18" i="1"/>
  <c r="E60" i="10" s="1"/>
  <c r="B98" i="12" s="1"/>
  <c r="C98" i="12" s="1"/>
  <c r="P19" i="1"/>
  <c r="E61" i="10"/>
  <c r="B99" i="12" s="1"/>
  <c r="C99" i="12" s="1"/>
  <c r="P20" i="1"/>
  <c r="E62" i="10" s="1"/>
  <c r="B100" i="12" s="1"/>
  <c r="C100" i="12" s="1"/>
  <c r="P21" i="1"/>
  <c r="E63" i="10" s="1"/>
  <c r="B101" i="12" s="1"/>
  <c r="P22" i="1"/>
  <c r="E64" i="10"/>
  <c r="B102" i="12" s="1"/>
  <c r="C102" i="12" s="1"/>
  <c r="P23" i="1"/>
  <c r="E65" i="10" s="1"/>
  <c r="B103" i="12" s="1"/>
  <c r="P24" i="1"/>
  <c r="E66" i="10" s="1"/>
  <c r="B104" i="12" s="1"/>
  <c r="C104" i="12" s="1"/>
  <c r="P25" i="1"/>
  <c r="E67" i="10" s="1"/>
  <c r="B105" i="12" s="1"/>
  <c r="C105" i="12" s="1"/>
  <c r="P26" i="1"/>
  <c r="E68" i="10"/>
  <c r="B106" i="12" s="1"/>
  <c r="P27" i="1"/>
  <c r="E69" i="10" s="1"/>
  <c r="B107" i="12" s="1"/>
  <c r="C107" i="12" s="1"/>
  <c r="P28" i="1"/>
  <c r="E70" i="10" s="1"/>
  <c r="B108" i="12" s="1"/>
  <c r="C108" i="12" s="1"/>
  <c r="P29" i="1"/>
  <c r="E71" i="10" s="1"/>
  <c r="B109" i="12" s="1"/>
  <c r="P30" i="1"/>
  <c r="E72" i="10" s="1"/>
  <c r="B110" i="12" s="1"/>
  <c r="C110" i="12" s="1"/>
  <c r="P31" i="1"/>
  <c r="E73" i="10" s="1"/>
  <c r="B111" i="12" s="1"/>
  <c r="P32" i="1"/>
  <c r="E74" i="10" s="1"/>
  <c r="B112" i="12" s="1"/>
  <c r="C112" i="12" s="1"/>
  <c r="P33" i="1"/>
  <c r="E75" i="10" s="1"/>
  <c r="B113" i="12" s="1"/>
  <c r="C113" i="12" s="1"/>
  <c r="P34" i="1"/>
  <c r="E76" i="10"/>
  <c r="B114" i="12" s="1"/>
  <c r="P35" i="1"/>
  <c r="E77" i="10" s="1"/>
  <c r="B115" i="12" s="1"/>
  <c r="C115" i="12" s="1"/>
  <c r="P36" i="1"/>
  <c r="E78" i="10" s="1"/>
  <c r="B116" i="12" s="1"/>
  <c r="C116" i="12" s="1"/>
  <c r="P37" i="1"/>
  <c r="E79" i="10" s="1"/>
  <c r="B117" i="12" s="1"/>
  <c r="P38" i="1"/>
  <c r="E80" i="10" s="1"/>
  <c r="O4" i="1"/>
  <c r="D46" i="10" s="1"/>
  <c r="B46" i="12" s="1"/>
  <c r="O5" i="1"/>
  <c r="D47" i="10"/>
  <c r="B47" i="12" s="1"/>
  <c r="O6" i="1"/>
  <c r="D48" i="10" s="1"/>
  <c r="B48" i="12" s="1"/>
  <c r="O7" i="1"/>
  <c r="D49" i="10" s="1"/>
  <c r="B49" i="12" s="1"/>
  <c r="O8" i="1"/>
  <c r="D50" i="10" s="1"/>
  <c r="B50" i="12" s="1"/>
  <c r="O9" i="1"/>
  <c r="D51" i="10" s="1"/>
  <c r="B51" i="12" s="1"/>
  <c r="O10" i="1"/>
  <c r="D52" i="10" s="1"/>
  <c r="B52" i="12" s="1"/>
  <c r="O11" i="1"/>
  <c r="D53" i="10"/>
  <c r="B53" i="12" s="1"/>
  <c r="O12" i="1"/>
  <c r="D54" i="10" s="1"/>
  <c r="B54" i="12" s="1"/>
  <c r="O13" i="1"/>
  <c r="D55" i="10" s="1"/>
  <c r="B55" i="12" s="1"/>
  <c r="C55" i="12" s="1"/>
  <c r="F55" i="12" s="1"/>
  <c r="E133" i="12" s="1"/>
  <c r="O14" i="1"/>
  <c r="D56" i="10" s="1"/>
  <c r="B56" i="12" s="1"/>
  <c r="O15" i="1"/>
  <c r="D57" i="10"/>
  <c r="B57" i="12" s="1"/>
  <c r="O16" i="1"/>
  <c r="D58" i="10" s="1"/>
  <c r="B58" i="12" s="1"/>
  <c r="O17" i="1"/>
  <c r="D59" i="10" s="1"/>
  <c r="B59" i="12" s="1"/>
  <c r="O18" i="1"/>
  <c r="D60" i="10" s="1"/>
  <c r="B60" i="12" s="1"/>
  <c r="O19" i="1"/>
  <c r="D61" i="10" s="1"/>
  <c r="B61" i="12" s="1"/>
  <c r="C61" i="12" s="1"/>
  <c r="F61" i="12" s="1"/>
  <c r="E139" i="12" s="1"/>
  <c r="O20" i="1"/>
  <c r="D62" i="10" s="1"/>
  <c r="B62" i="12" s="1"/>
  <c r="O21" i="1"/>
  <c r="D63" i="10"/>
  <c r="B63" i="12" s="1"/>
  <c r="O22" i="1"/>
  <c r="D64" i="10" s="1"/>
  <c r="B64" i="12" s="1"/>
  <c r="O23" i="1"/>
  <c r="D65" i="10" s="1"/>
  <c r="B65" i="12" s="1"/>
  <c r="O24" i="1"/>
  <c r="D66" i="10" s="1"/>
  <c r="B66" i="12" s="1"/>
  <c r="O25" i="1"/>
  <c r="D67" i="10" s="1"/>
  <c r="B67" i="12" s="1"/>
  <c r="O26" i="1"/>
  <c r="D68" i="10" s="1"/>
  <c r="B68" i="12" s="1"/>
  <c r="O27" i="1"/>
  <c r="D69" i="10" s="1"/>
  <c r="B69" i="12" s="1"/>
  <c r="O28" i="1"/>
  <c r="D70" i="10" s="1"/>
  <c r="B70" i="12" s="1"/>
  <c r="O29" i="1"/>
  <c r="D71" i="10"/>
  <c r="B71" i="12" s="1"/>
  <c r="O30" i="1"/>
  <c r="D72" i="10" s="1"/>
  <c r="B72" i="12" s="1"/>
  <c r="O31" i="1"/>
  <c r="D73" i="10" s="1"/>
  <c r="B73" i="12" s="1"/>
  <c r="O32" i="1"/>
  <c r="D74" i="10" s="1"/>
  <c r="B74" i="12" s="1"/>
  <c r="C74" i="12" s="1"/>
  <c r="F74" i="12" s="1"/>
  <c r="E152" i="12" s="1"/>
  <c r="O33" i="1"/>
  <c r="D75" i="10" s="1"/>
  <c r="B75" i="12" s="1"/>
  <c r="O34" i="1"/>
  <c r="D76" i="10" s="1"/>
  <c r="B76" i="12" s="1"/>
  <c r="O35" i="1"/>
  <c r="D77" i="10"/>
  <c r="B77" i="12" s="1"/>
  <c r="C77" i="12" s="1"/>
  <c r="F77" i="12" s="1"/>
  <c r="E155" i="12" s="1"/>
  <c r="O36" i="1"/>
  <c r="D78" i="10" s="1"/>
  <c r="B78" i="12" s="1"/>
  <c r="O37" i="1"/>
  <c r="D79" i="10" s="1"/>
  <c r="B79" i="12" s="1"/>
  <c r="C79" i="12" s="1"/>
  <c r="F79" i="12" s="1"/>
  <c r="E157" i="12" s="1"/>
  <c r="O38" i="1"/>
  <c r="D80" i="10" s="1"/>
  <c r="O3" i="1"/>
  <c r="D45" i="10"/>
  <c r="B45" i="12" s="1"/>
  <c r="N25" i="1"/>
  <c r="C67" i="10" s="1"/>
  <c r="B29" i="12" s="1"/>
  <c r="C29" i="12" s="1"/>
  <c r="N26" i="1"/>
  <c r="C68" i="10" s="1"/>
  <c r="B30" i="12" s="1"/>
  <c r="C30" i="12" s="1"/>
  <c r="N27" i="1"/>
  <c r="C69" i="10" s="1"/>
  <c r="B31" i="12" s="1"/>
  <c r="N28" i="1"/>
  <c r="C70" i="10" s="1"/>
  <c r="B32" i="12" s="1"/>
  <c r="C32" i="12" s="1"/>
  <c r="N29" i="1"/>
  <c r="C71" i="10" s="1"/>
  <c r="B33" i="12" s="1"/>
  <c r="N30" i="1"/>
  <c r="C72" i="10"/>
  <c r="B34" i="12" s="1"/>
  <c r="N31" i="1"/>
  <c r="C73" i="10" s="1"/>
  <c r="B35" i="12" s="1"/>
  <c r="C35" i="12" s="1"/>
  <c r="N32" i="1"/>
  <c r="C74" i="10" s="1"/>
  <c r="B36" i="12" s="1"/>
  <c r="N33" i="1"/>
  <c r="C75" i="10" s="1"/>
  <c r="B37" i="12" s="1"/>
  <c r="N34" i="1"/>
  <c r="C76" i="10" s="1"/>
  <c r="B38" i="12" s="1"/>
  <c r="C38" i="12" s="1"/>
  <c r="N35" i="1"/>
  <c r="C77" i="10" s="1"/>
  <c r="B39" i="12" s="1"/>
  <c r="N36" i="1"/>
  <c r="C78" i="10"/>
  <c r="B40" i="12" s="1"/>
  <c r="N37" i="1"/>
  <c r="C79" i="10" s="1"/>
  <c r="B41" i="12" s="1"/>
  <c r="N38" i="1"/>
  <c r="C80" i="10" s="1"/>
  <c r="N4" i="1"/>
  <c r="C46" i="10" s="1"/>
  <c r="B8" i="12" s="1"/>
  <c r="N5" i="1"/>
  <c r="C47" i="10"/>
  <c r="B9" i="12" s="1"/>
  <c r="N6" i="1"/>
  <c r="C48" i="10" s="1"/>
  <c r="B10" i="12" s="1"/>
  <c r="N7" i="1"/>
  <c r="C49" i="10" s="1"/>
  <c r="B11" i="12" s="1"/>
  <c r="N8" i="1"/>
  <c r="C50" i="10" s="1"/>
  <c r="B12" i="12" s="1"/>
  <c r="N9" i="1"/>
  <c r="C51" i="10" s="1"/>
  <c r="B13" i="12" s="1"/>
  <c r="C13" i="12" s="1"/>
  <c r="N10" i="1"/>
  <c r="C52" i="10" s="1"/>
  <c r="B14" i="12" s="1"/>
  <c r="N11" i="1"/>
  <c r="C53" i="10" s="1"/>
  <c r="B15" i="12" s="1"/>
  <c r="C15" i="12" s="1"/>
  <c r="N12" i="1"/>
  <c r="C54" i="10" s="1"/>
  <c r="B16" i="12" s="1"/>
  <c r="N13" i="1"/>
  <c r="C55" i="10"/>
  <c r="B17" i="12" s="1"/>
  <c r="N14" i="1"/>
  <c r="C56" i="10" s="1"/>
  <c r="B18" i="12" s="1"/>
  <c r="C18" i="12" s="1"/>
  <c r="N15" i="1"/>
  <c r="C57" i="10" s="1"/>
  <c r="B19" i="12" s="1"/>
  <c r="N16" i="1"/>
  <c r="C58" i="10" s="1"/>
  <c r="B20" i="12" s="1"/>
  <c r="N17" i="1"/>
  <c r="C59" i="10" s="1"/>
  <c r="B21" i="12" s="1"/>
  <c r="C21" i="12" s="1"/>
  <c r="N18" i="1"/>
  <c r="C60" i="10" s="1"/>
  <c r="B22" i="12" s="1"/>
  <c r="N19" i="1"/>
  <c r="C61" i="10"/>
  <c r="B23" i="12" s="1"/>
  <c r="C23" i="12" s="1"/>
  <c r="N20" i="1"/>
  <c r="C62" i="10" s="1"/>
  <c r="B24" i="12" s="1"/>
  <c r="C24" i="12" s="1"/>
  <c r="N21" i="1"/>
  <c r="C63" i="10" s="1"/>
  <c r="B25" i="12" s="1"/>
  <c r="N22" i="1"/>
  <c r="C64" i="10" s="1"/>
  <c r="B26" i="12" s="1"/>
  <c r="C26" i="12" s="1"/>
  <c r="N23" i="1"/>
  <c r="C65" i="10" s="1"/>
  <c r="B27" i="12" s="1"/>
  <c r="C27" i="12" s="1"/>
  <c r="N24" i="1"/>
  <c r="C66" i="10" s="1"/>
  <c r="B28" i="12" s="1"/>
  <c r="C4" i="10"/>
  <c r="D4" i="10"/>
  <c r="C5" i="10"/>
  <c r="D5" i="10"/>
  <c r="J5" i="10"/>
  <c r="C6" i="10"/>
  <c r="J6" i="10" s="1"/>
  <c r="D6" i="10"/>
  <c r="C7" i="10"/>
  <c r="D7" i="10"/>
  <c r="C8" i="10"/>
  <c r="D8" i="10"/>
  <c r="C9" i="10"/>
  <c r="D9" i="10"/>
  <c r="C10" i="10"/>
  <c r="J10" i="10" s="1"/>
  <c r="D10" i="10"/>
  <c r="C11" i="10"/>
  <c r="D11" i="10"/>
  <c r="C12" i="10"/>
  <c r="D12" i="10"/>
  <c r="C13" i="10"/>
  <c r="D13" i="10"/>
  <c r="J13" i="10" s="1"/>
  <c r="C14" i="10"/>
  <c r="J14" i="10" s="1"/>
  <c r="D14" i="10"/>
  <c r="C15" i="10"/>
  <c r="D15" i="10"/>
  <c r="C16" i="10"/>
  <c r="D16" i="10"/>
  <c r="C17" i="10"/>
  <c r="D17" i="10"/>
  <c r="C18" i="10"/>
  <c r="D18" i="10"/>
  <c r="C19" i="10"/>
  <c r="D19" i="10"/>
  <c r="C20" i="10"/>
  <c r="D20" i="10"/>
  <c r="E20" i="10"/>
  <c r="C21" i="10"/>
  <c r="D21" i="10"/>
  <c r="E21" i="10"/>
  <c r="C22" i="10"/>
  <c r="D22" i="10"/>
  <c r="E22" i="10"/>
  <c r="C23" i="10"/>
  <c r="D23" i="10"/>
  <c r="E23" i="10"/>
  <c r="C24" i="10"/>
  <c r="J24" i="10" s="1"/>
  <c r="D24" i="10"/>
  <c r="E24" i="10"/>
  <c r="C25" i="10"/>
  <c r="D25" i="10"/>
  <c r="E25" i="10"/>
  <c r="C26" i="10"/>
  <c r="D26" i="10"/>
  <c r="E26" i="10"/>
  <c r="C27" i="10"/>
  <c r="D27" i="10"/>
  <c r="E27" i="10"/>
  <c r="F27" i="10"/>
  <c r="C28" i="10"/>
  <c r="D28" i="10"/>
  <c r="E28" i="10"/>
  <c r="F28" i="10"/>
  <c r="C30" i="10"/>
  <c r="D30" i="10"/>
  <c r="E30" i="10"/>
  <c r="F30" i="10"/>
  <c r="C31" i="10"/>
  <c r="D31" i="10"/>
  <c r="E31" i="10"/>
  <c r="F31" i="10"/>
  <c r="C32" i="10"/>
  <c r="D32" i="10"/>
  <c r="E32" i="10"/>
  <c r="F32" i="10"/>
  <c r="C33" i="10"/>
  <c r="D33" i="10"/>
  <c r="E33" i="10"/>
  <c r="F33" i="10"/>
  <c r="C34" i="10"/>
  <c r="D34" i="10"/>
  <c r="E34" i="10"/>
  <c r="F34" i="10"/>
  <c r="C35" i="10"/>
  <c r="D35" i="10"/>
  <c r="E35" i="10"/>
  <c r="F35" i="10"/>
  <c r="G35" i="10"/>
  <c r="H35" i="10"/>
  <c r="I35" i="10"/>
  <c r="C36" i="10"/>
  <c r="D36" i="10"/>
  <c r="E36" i="10"/>
  <c r="F36" i="10"/>
  <c r="G36" i="10"/>
  <c r="H36" i="10"/>
  <c r="I36" i="10"/>
  <c r="C37" i="10"/>
  <c r="D37" i="10"/>
  <c r="E37" i="10"/>
  <c r="F37" i="10"/>
  <c r="G37" i="10"/>
  <c r="H37" i="10"/>
  <c r="I37" i="10"/>
  <c r="C38" i="10"/>
  <c r="D38" i="10"/>
  <c r="E38" i="10"/>
  <c r="F38" i="10"/>
  <c r="G38" i="10"/>
  <c r="H38" i="10"/>
  <c r="I38" i="10"/>
  <c r="C39" i="10"/>
  <c r="D39" i="10"/>
  <c r="E39" i="10"/>
  <c r="F39" i="10"/>
  <c r="G39" i="10"/>
  <c r="H39" i="10"/>
  <c r="I39" i="10"/>
  <c r="C40" i="10"/>
  <c r="D40" i="10"/>
  <c r="E40" i="10"/>
  <c r="F40" i="10"/>
  <c r="C3" i="10"/>
  <c r="J3" i="10" s="1"/>
  <c r="D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3" i="10"/>
  <c r="B40" i="10"/>
  <c r="B32" i="10"/>
  <c r="B33" i="10"/>
  <c r="B34" i="10"/>
  <c r="B35" i="10"/>
  <c r="B36" i="10"/>
  <c r="B37" i="10"/>
  <c r="B38" i="10"/>
  <c r="B39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" i="10"/>
  <c r="E43" i="6"/>
  <c r="L11" i="4"/>
  <c r="L10" i="4"/>
  <c r="L8" i="4"/>
  <c r="L7" i="4"/>
  <c r="L5" i="4"/>
  <c r="L4" i="4"/>
  <c r="L3" i="4"/>
  <c r="M6" i="5"/>
  <c r="L6" i="5"/>
  <c r="K6" i="5"/>
  <c r="J6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30" i="5"/>
  <c r="G31" i="5"/>
  <c r="G32" i="5"/>
  <c r="G33" i="5"/>
  <c r="G34" i="5"/>
  <c r="G35" i="5"/>
  <c r="G3" i="5"/>
  <c r="K11" i="4"/>
  <c r="K10" i="4"/>
  <c r="K9" i="4"/>
  <c r="K8" i="4"/>
  <c r="K7" i="4"/>
  <c r="K6" i="4"/>
  <c r="K5" i="4"/>
  <c r="K4" i="4"/>
  <c r="K3" i="4"/>
  <c r="K2" i="4"/>
  <c r="C11" i="3"/>
  <c r="J431" i="1"/>
  <c r="I431" i="1"/>
  <c r="H431" i="1"/>
  <c r="G431" i="1"/>
  <c r="J430" i="1"/>
  <c r="I430" i="1"/>
  <c r="H430" i="1"/>
  <c r="G430" i="1"/>
  <c r="J429" i="1"/>
  <c r="I429" i="1"/>
  <c r="H429" i="1"/>
  <c r="G429" i="1"/>
  <c r="J428" i="1"/>
  <c r="I428" i="1"/>
  <c r="H428" i="1"/>
  <c r="G428" i="1"/>
  <c r="J427" i="1"/>
  <c r="I427" i="1"/>
  <c r="H427" i="1"/>
  <c r="G427" i="1"/>
  <c r="J426" i="1"/>
  <c r="I426" i="1"/>
  <c r="H426" i="1"/>
  <c r="G426" i="1"/>
  <c r="J425" i="1"/>
  <c r="I425" i="1"/>
  <c r="H425" i="1"/>
  <c r="G425" i="1"/>
  <c r="J424" i="1"/>
  <c r="I424" i="1"/>
  <c r="H424" i="1"/>
  <c r="G424" i="1"/>
  <c r="J423" i="1"/>
  <c r="I423" i="1"/>
  <c r="H423" i="1"/>
  <c r="G423" i="1"/>
  <c r="J422" i="1"/>
  <c r="I422" i="1"/>
  <c r="H422" i="1"/>
  <c r="G422" i="1"/>
  <c r="J421" i="1"/>
  <c r="I421" i="1"/>
  <c r="H421" i="1"/>
  <c r="G421" i="1"/>
  <c r="J420" i="1"/>
  <c r="I420" i="1"/>
  <c r="H420" i="1"/>
  <c r="G420" i="1"/>
  <c r="J419" i="1"/>
  <c r="I419" i="1"/>
  <c r="H419" i="1"/>
  <c r="G419" i="1"/>
  <c r="J418" i="1"/>
  <c r="I418" i="1"/>
  <c r="H418" i="1"/>
  <c r="G418" i="1"/>
  <c r="J417" i="1"/>
  <c r="I417" i="1"/>
  <c r="H417" i="1"/>
  <c r="G417" i="1"/>
  <c r="J416" i="1"/>
  <c r="I416" i="1"/>
  <c r="H416" i="1"/>
  <c r="G416" i="1"/>
  <c r="J415" i="1"/>
  <c r="I415" i="1"/>
  <c r="H415" i="1"/>
  <c r="G415" i="1"/>
  <c r="J414" i="1"/>
  <c r="I414" i="1"/>
  <c r="H414" i="1"/>
  <c r="G414" i="1"/>
  <c r="J413" i="1"/>
  <c r="I413" i="1"/>
  <c r="H413" i="1"/>
  <c r="G413" i="1"/>
  <c r="J412" i="1"/>
  <c r="I412" i="1"/>
  <c r="H412" i="1"/>
  <c r="G412" i="1"/>
  <c r="J411" i="1"/>
  <c r="I411" i="1"/>
  <c r="H411" i="1"/>
  <c r="G411" i="1"/>
  <c r="J410" i="1"/>
  <c r="I410" i="1"/>
  <c r="H410" i="1"/>
  <c r="G410" i="1"/>
  <c r="J409" i="1"/>
  <c r="I409" i="1"/>
  <c r="H409" i="1"/>
  <c r="G409" i="1"/>
  <c r="J408" i="1"/>
  <c r="I408" i="1"/>
  <c r="H408" i="1"/>
  <c r="G408" i="1"/>
  <c r="J407" i="1"/>
  <c r="I407" i="1"/>
  <c r="H407" i="1"/>
  <c r="G407" i="1"/>
  <c r="J406" i="1"/>
  <c r="I406" i="1"/>
  <c r="H406" i="1"/>
  <c r="G406" i="1"/>
  <c r="J405" i="1"/>
  <c r="I405" i="1"/>
  <c r="H405" i="1"/>
  <c r="G405" i="1"/>
  <c r="J404" i="1"/>
  <c r="I404" i="1"/>
  <c r="H404" i="1"/>
  <c r="G404" i="1"/>
  <c r="J403" i="1"/>
  <c r="I403" i="1"/>
  <c r="H403" i="1"/>
  <c r="G403" i="1"/>
  <c r="J402" i="1"/>
  <c r="I402" i="1"/>
  <c r="H402" i="1"/>
  <c r="G402" i="1"/>
  <c r="J401" i="1"/>
  <c r="I401" i="1"/>
  <c r="H401" i="1"/>
  <c r="G401" i="1"/>
  <c r="J400" i="1"/>
  <c r="I400" i="1"/>
  <c r="H400" i="1"/>
  <c r="G400" i="1"/>
  <c r="J399" i="1"/>
  <c r="I399" i="1"/>
  <c r="H399" i="1"/>
  <c r="G399" i="1"/>
  <c r="J398" i="1"/>
  <c r="I398" i="1"/>
  <c r="H398" i="1"/>
  <c r="G398" i="1"/>
  <c r="J397" i="1"/>
  <c r="I397" i="1"/>
  <c r="H397" i="1"/>
  <c r="G397" i="1"/>
  <c r="J396" i="1"/>
  <c r="I396" i="1"/>
  <c r="H396" i="1"/>
  <c r="G396" i="1"/>
  <c r="J395" i="1"/>
  <c r="I395" i="1"/>
  <c r="H395" i="1"/>
  <c r="G395" i="1"/>
  <c r="J394" i="1"/>
  <c r="I394" i="1"/>
  <c r="H394" i="1"/>
  <c r="G394" i="1"/>
  <c r="J393" i="1"/>
  <c r="I393" i="1"/>
  <c r="H393" i="1"/>
  <c r="G393" i="1"/>
  <c r="J392" i="1"/>
  <c r="I392" i="1"/>
  <c r="H392" i="1"/>
  <c r="G392" i="1"/>
  <c r="J391" i="1"/>
  <c r="I391" i="1"/>
  <c r="H391" i="1"/>
  <c r="G391" i="1"/>
  <c r="J390" i="1"/>
  <c r="I390" i="1"/>
  <c r="H390" i="1"/>
  <c r="G390" i="1"/>
  <c r="J389" i="1"/>
  <c r="I389" i="1"/>
  <c r="H389" i="1"/>
  <c r="G389" i="1"/>
  <c r="J388" i="1"/>
  <c r="I388" i="1"/>
  <c r="H388" i="1"/>
  <c r="G388" i="1"/>
  <c r="J387" i="1"/>
  <c r="I387" i="1"/>
  <c r="H387" i="1"/>
  <c r="G387" i="1"/>
  <c r="J386" i="1"/>
  <c r="I386" i="1"/>
  <c r="H386" i="1"/>
  <c r="G386" i="1"/>
  <c r="J385" i="1"/>
  <c r="I385" i="1"/>
  <c r="H385" i="1"/>
  <c r="G385" i="1"/>
  <c r="J384" i="1"/>
  <c r="I384" i="1"/>
  <c r="H384" i="1"/>
  <c r="G384" i="1"/>
  <c r="J383" i="1"/>
  <c r="I383" i="1"/>
  <c r="H383" i="1"/>
  <c r="G383" i="1"/>
  <c r="J382" i="1"/>
  <c r="I382" i="1"/>
  <c r="H382" i="1"/>
  <c r="G382" i="1"/>
  <c r="J381" i="1"/>
  <c r="I381" i="1"/>
  <c r="H381" i="1"/>
  <c r="G381" i="1"/>
  <c r="J380" i="1"/>
  <c r="I380" i="1"/>
  <c r="H380" i="1"/>
  <c r="G380" i="1"/>
  <c r="J379" i="1"/>
  <c r="I379" i="1"/>
  <c r="H379" i="1"/>
  <c r="G379" i="1"/>
  <c r="J378" i="1"/>
  <c r="I378" i="1"/>
  <c r="H378" i="1"/>
  <c r="G378" i="1"/>
  <c r="J377" i="1"/>
  <c r="I377" i="1"/>
  <c r="H377" i="1"/>
  <c r="G377" i="1"/>
  <c r="J376" i="1"/>
  <c r="I376" i="1"/>
  <c r="H376" i="1"/>
  <c r="G376" i="1"/>
  <c r="J375" i="1"/>
  <c r="I375" i="1"/>
  <c r="H375" i="1"/>
  <c r="G375" i="1"/>
  <c r="J374" i="1"/>
  <c r="I374" i="1"/>
  <c r="H374" i="1"/>
  <c r="G374" i="1"/>
  <c r="J373" i="1"/>
  <c r="I373" i="1"/>
  <c r="H373" i="1"/>
  <c r="G373" i="1"/>
  <c r="J372" i="1"/>
  <c r="I372" i="1"/>
  <c r="H372" i="1"/>
  <c r="G372" i="1"/>
  <c r="J371" i="1"/>
  <c r="I371" i="1"/>
  <c r="H371" i="1"/>
  <c r="G371" i="1"/>
  <c r="J370" i="1"/>
  <c r="I370" i="1"/>
  <c r="H370" i="1"/>
  <c r="G370" i="1"/>
  <c r="J369" i="1"/>
  <c r="I369" i="1"/>
  <c r="H369" i="1"/>
  <c r="G369" i="1"/>
  <c r="J368" i="1"/>
  <c r="I368" i="1"/>
  <c r="H368" i="1"/>
  <c r="G368" i="1"/>
  <c r="J367" i="1"/>
  <c r="I367" i="1"/>
  <c r="H367" i="1"/>
  <c r="G367" i="1"/>
  <c r="J366" i="1"/>
  <c r="I366" i="1"/>
  <c r="H366" i="1"/>
  <c r="G366" i="1"/>
  <c r="J365" i="1"/>
  <c r="I365" i="1"/>
  <c r="H365" i="1"/>
  <c r="G365" i="1"/>
  <c r="J364" i="1"/>
  <c r="I364" i="1"/>
  <c r="H364" i="1"/>
  <c r="G364" i="1"/>
  <c r="J363" i="1"/>
  <c r="I363" i="1"/>
  <c r="H363" i="1"/>
  <c r="G363" i="1"/>
  <c r="J362" i="1"/>
  <c r="I362" i="1"/>
  <c r="H362" i="1"/>
  <c r="G362" i="1"/>
  <c r="J361" i="1"/>
  <c r="I361" i="1"/>
  <c r="H361" i="1"/>
  <c r="G361" i="1"/>
  <c r="J360" i="1"/>
  <c r="I360" i="1"/>
  <c r="H360" i="1"/>
  <c r="G360" i="1"/>
  <c r="J359" i="1"/>
  <c r="I359" i="1"/>
  <c r="H359" i="1"/>
  <c r="G359" i="1"/>
  <c r="J358" i="1"/>
  <c r="I358" i="1"/>
  <c r="H358" i="1"/>
  <c r="G358" i="1"/>
  <c r="J357" i="1"/>
  <c r="I357" i="1"/>
  <c r="H357" i="1"/>
  <c r="G357" i="1"/>
  <c r="J356" i="1"/>
  <c r="I356" i="1"/>
  <c r="H356" i="1"/>
  <c r="G356" i="1"/>
  <c r="J355" i="1"/>
  <c r="I355" i="1"/>
  <c r="H355" i="1"/>
  <c r="G355" i="1"/>
  <c r="J354" i="1"/>
  <c r="I354" i="1"/>
  <c r="H354" i="1"/>
  <c r="G354" i="1"/>
  <c r="J353" i="1"/>
  <c r="I353" i="1"/>
  <c r="H353" i="1"/>
  <c r="G353" i="1"/>
  <c r="J352" i="1"/>
  <c r="I352" i="1"/>
  <c r="H352" i="1"/>
  <c r="G352" i="1"/>
  <c r="J351" i="1"/>
  <c r="I351" i="1"/>
  <c r="H351" i="1"/>
  <c r="G351" i="1"/>
  <c r="J350" i="1"/>
  <c r="I350" i="1"/>
  <c r="H350" i="1"/>
  <c r="G350" i="1"/>
  <c r="J349" i="1"/>
  <c r="I349" i="1"/>
  <c r="H349" i="1"/>
  <c r="G349" i="1"/>
  <c r="J348" i="1"/>
  <c r="I348" i="1"/>
  <c r="H348" i="1"/>
  <c r="G348" i="1"/>
  <c r="J347" i="1"/>
  <c r="I347" i="1"/>
  <c r="H347" i="1"/>
  <c r="G347" i="1"/>
  <c r="J346" i="1"/>
  <c r="I346" i="1"/>
  <c r="H346" i="1"/>
  <c r="G346" i="1"/>
  <c r="J345" i="1"/>
  <c r="I345" i="1"/>
  <c r="H345" i="1"/>
  <c r="G345" i="1"/>
  <c r="J344" i="1"/>
  <c r="I344" i="1"/>
  <c r="H344" i="1"/>
  <c r="G344" i="1"/>
  <c r="J343" i="1"/>
  <c r="I343" i="1"/>
  <c r="H343" i="1"/>
  <c r="G343" i="1"/>
  <c r="J342" i="1"/>
  <c r="I342" i="1"/>
  <c r="H342" i="1"/>
  <c r="G342" i="1"/>
  <c r="J341" i="1"/>
  <c r="I341" i="1"/>
  <c r="H341" i="1"/>
  <c r="G341" i="1"/>
  <c r="J340" i="1"/>
  <c r="I340" i="1"/>
  <c r="H340" i="1"/>
  <c r="G340" i="1"/>
  <c r="J339" i="1"/>
  <c r="I339" i="1"/>
  <c r="H339" i="1"/>
  <c r="G339" i="1"/>
  <c r="J338" i="1"/>
  <c r="I338" i="1"/>
  <c r="H338" i="1"/>
  <c r="G338" i="1"/>
  <c r="J337" i="1"/>
  <c r="I337" i="1"/>
  <c r="H337" i="1"/>
  <c r="G337" i="1"/>
  <c r="J336" i="1"/>
  <c r="I336" i="1"/>
  <c r="H336" i="1"/>
  <c r="G336" i="1"/>
  <c r="J335" i="1"/>
  <c r="I335" i="1"/>
  <c r="H335" i="1"/>
  <c r="G335" i="1"/>
  <c r="J334" i="1"/>
  <c r="I334" i="1"/>
  <c r="H334" i="1"/>
  <c r="G334" i="1"/>
  <c r="J333" i="1"/>
  <c r="I333" i="1"/>
  <c r="H333" i="1"/>
  <c r="G333" i="1"/>
  <c r="J332" i="1"/>
  <c r="I332" i="1"/>
  <c r="H332" i="1"/>
  <c r="G332" i="1"/>
  <c r="J331" i="1"/>
  <c r="I331" i="1"/>
  <c r="H331" i="1"/>
  <c r="G331" i="1"/>
  <c r="J330" i="1"/>
  <c r="I330" i="1"/>
  <c r="H330" i="1"/>
  <c r="G330" i="1"/>
  <c r="J329" i="1"/>
  <c r="I329" i="1"/>
  <c r="H329" i="1"/>
  <c r="G329" i="1"/>
  <c r="J328" i="1"/>
  <c r="I328" i="1"/>
  <c r="H328" i="1"/>
  <c r="G328" i="1"/>
  <c r="J327" i="1"/>
  <c r="I327" i="1"/>
  <c r="H327" i="1"/>
  <c r="G327" i="1"/>
  <c r="J326" i="1"/>
  <c r="I326" i="1"/>
  <c r="H326" i="1"/>
  <c r="G326" i="1"/>
  <c r="J325" i="1"/>
  <c r="I325" i="1"/>
  <c r="H325" i="1"/>
  <c r="G325" i="1"/>
  <c r="J324" i="1"/>
  <c r="I324" i="1"/>
  <c r="H324" i="1"/>
  <c r="G324" i="1"/>
  <c r="J323" i="1"/>
  <c r="I323" i="1"/>
  <c r="H323" i="1"/>
  <c r="G323" i="1"/>
  <c r="J322" i="1"/>
  <c r="I322" i="1"/>
  <c r="H322" i="1"/>
  <c r="G322" i="1"/>
  <c r="J321" i="1"/>
  <c r="I321" i="1"/>
  <c r="H321" i="1"/>
  <c r="G321" i="1"/>
  <c r="J320" i="1"/>
  <c r="I320" i="1"/>
  <c r="H320" i="1"/>
  <c r="G320" i="1"/>
  <c r="J319" i="1"/>
  <c r="I319" i="1"/>
  <c r="H319" i="1"/>
  <c r="G319" i="1"/>
  <c r="J318" i="1"/>
  <c r="I318" i="1"/>
  <c r="H318" i="1"/>
  <c r="G318" i="1"/>
  <c r="J317" i="1"/>
  <c r="I317" i="1"/>
  <c r="H317" i="1"/>
  <c r="G317" i="1"/>
  <c r="J316" i="1"/>
  <c r="I316" i="1"/>
  <c r="H316" i="1"/>
  <c r="G316" i="1"/>
  <c r="J315" i="1"/>
  <c r="I315" i="1"/>
  <c r="H315" i="1"/>
  <c r="G315" i="1"/>
  <c r="J314" i="1"/>
  <c r="I314" i="1"/>
  <c r="H314" i="1"/>
  <c r="G314" i="1"/>
  <c r="J313" i="1"/>
  <c r="I313" i="1"/>
  <c r="H313" i="1"/>
  <c r="G313" i="1"/>
  <c r="J312" i="1"/>
  <c r="I312" i="1"/>
  <c r="H312" i="1"/>
  <c r="G312" i="1"/>
  <c r="J311" i="1"/>
  <c r="I311" i="1"/>
  <c r="H311" i="1"/>
  <c r="G311" i="1"/>
  <c r="J310" i="1"/>
  <c r="I310" i="1"/>
  <c r="H310" i="1"/>
  <c r="G310" i="1"/>
  <c r="J309" i="1"/>
  <c r="I309" i="1"/>
  <c r="H309" i="1"/>
  <c r="G309" i="1"/>
  <c r="J308" i="1"/>
  <c r="I308" i="1"/>
  <c r="H308" i="1"/>
  <c r="G308" i="1"/>
  <c r="J307" i="1"/>
  <c r="I307" i="1"/>
  <c r="H307" i="1"/>
  <c r="G307" i="1"/>
  <c r="J306" i="1"/>
  <c r="I306" i="1"/>
  <c r="H306" i="1"/>
  <c r="G306" i="1"/>
  <c r="J305" i="1"/>
  <c r="I305" i="1"/>
  <c r="H305" i="1"/>
  <c r="G305" i="1"/>
  <c r="J304" i="1"/>
  <c r="I304" i="1"/>
  <c r="H304" i="1"/>
  <c r="G304" i="1"/>
  <c r="J303" i="1"/>
  <c r="I303" i="1"/>
  <c r="H303" i="1"/>
  <c r="G303" i="1"/>
  <c r="J302" i="1"/>
  <c r="I302" i="1"/>
  <c r="H302" i="1"/>
  <c r="G302" i="1"/>
  <c r="J301" i="1"/>
  <c r="I301" i="1"/>
  <c r="H301" i="1"/>
  <c r="G301" i="1"/>
  <c r="J300" i="1"/>
  <c r="I300" i="1"/>
  <c r="H300" i="1"/>
  <c r="G300" i="1"/>
  <c r="J299" i="1"/>
  <c r="I299" i="1"/>
  <c r="H299" i="1"/>
  <c r="G299" i="1"/>
  <c r="J298" i="1"/>
  <c r="I298" i="1"/>
  <c r="H298" i="1"/>
  <c r="G298" i="1"/>
  <c r="J297" i="1"/>
  <c r="I297" i="1"/>
  <c r="H297" i="1"/>
  <c r="G297" i="1"/>
  <c r="J296" i="1"/>
  <c r="I296" i="1"/>
  <c r="H296" i="1"/>
  <c r="G296" i="1"/>
  <c r="J295" i="1"/>
  <c r="I295" i="1"/>
  <c r="H295" i="1"/>
  <c r="G295" i="1"/>
  <c r="J294" i="1"/>
  <c r="I294" i="1"/>
  <c r="H294" i="1"/>
  <c r="G294" i="1"/>
  <c r="J293" i="1"/>
  <c r="I293" i="1"/>
  <c r="H293" i="1"/>
  <c r="G293" i="1"/>
  <c r="J292" i="1"/>
  <c r="I292" i="1"/>
  <c r="H292" i="1"/>
  <c r="G292" i="1"/>
  <c r="J291" i="1"/>
  <c r="I291" i="1"/>
  <c r="H291" i="1"/>
  <c r="G291" i="1"/>
  <c r="J290" i="1"/>
  <c r="I290" i="1"/>
  <c r="H290" i="1"/>
  <c r="G290" i="1"/>
  <c r="J289" i="1"/>
  <c r="I289" i="1"/>
  <c r="H289" i="1"/>
  <c r="G289" i="1"/>
  <c r="J288" i="1"/>
  <c r="I288" i="1"/>
  <c r="H288" i="1"/>
  <c r="G288" i="1"/>
  <c r="J287" i="1"/>
  <c r="I287" i="1"/>
  <c r="H287" i="1"/>
  <c r="G287" i="1"/>
  <c r="J286" i="1"/>
  <c r="I286" i="1"/>
  <c r="H286" i="1"/>
  <c r="G286" i="1"/>
  <c r="J285" i="1"/>
  <c r="I285" i="1"/>
  <c r="H285" i="1"/>
  <c r="G285" i="1"/>
  <c r="J284" i="1"/>
  <c r="I284" i="1"/>
  <c r="H284" i="1"/>
  <c r="G284" i="1"/>
  <c r="J283" i="1"/>
  <c r="I283" i="1"/>
  <c r="H283" i="1"/>
  <c r="G283" i="1"/>
  <c r="J282" i="1"/>
  <c r="I282" i="1"/>
  <c r="H282" i="1"/>
  <c r="G282" i="1"/>
  <c r="J281" i="1"/>
  <c r="I281" i="1"/>
  <c r="H281" i="1"/>
  <c r="G281" i="1"/>
  <c r="J280" i="1"/>
  <c r="I280" i="1"/>
  <c r="H280" i="1"/>
  <c r="G280" i="1"/>
  <c r="J279" i="1"/>
  <c r="I279" i="1"/>
  <c r="H279" i="1"/>
  <c r="G279" i="1"/>
  <c r="J278" i="1"/>
  <c r="I278" i="1"/>
  <c r="H278" i="1"/>
  <c r="G278" i="1"/>
  <c r="J277" i="1"/>
  <c r="I277" i="1"/>
  <c r="H277" i="1"/>
  <c r="G277" i="1"/>
  <c r="J276" i="1"/>
  <c r="I276" i="1"/>
  <c r="H276" i="1"/>
  <c r="G276" i="1"/>
  <c r="J275" i="1"/>
  <c r="I275" i="1"/>
  <c r="H275" i="1"/>
  <c r="G275" i="1"/>
  <c r="J274" i="1"/>
  <c r="I274" i="1"/>
  <c r="H274" i="1"/>
  <c r="G274" i="1"/>
  <c r="J273" i="1"/>
  <c r="I273" i="1"/>
  <c r="H273" i="1"/>
  <c r="G273" i="1"/>
  <c r="J272" i="1"/>
  <c r="I272" i="1"/>
  <c r="H272" i="1"/>
  <c r="G272" i="1"/>
  <c r="J271" i="1"/>
  <c r="I271" i="1"/>
  <c r="H271" i="1"/>
  <c r="G271" i="1"/>
  <c r="J270" i="1"/>
  <c r="I270" i="1"/>
  <c r="H270" i="1"/>
  <c r="G270" i="1"/>
  <c r="J269" i="1"/>
  <c r="I269" i="1"/>
  <c r="H269" i="1"/>
  <c r="G269" i="1"/>
  <c r="J268" i="1"/>
  <c r="I268" i="1"/>
  <c r="H268" i="1"/>
  <c r="G268" i="1"/>
  <c r="J267" i="1"/>
  <c r="I267" i="1"/>
  <c r="H267" i="1"/>
  <c r="G267" i="1"/>
  <c r="J266" i="1"/>
  <c r="I266" i="1"/>
  <c r="H266" i="1"/>
  <c r="G266" i="1"/>
  <c r="J265" i="1"/>
  <c r="I265" i="1"/>
  <c r="H265" i="1"/>
  <c r="G265" i="1"/>
  <c r="J264" i="1"/>
  <c r="I264" i="1"/>
  <c r="H264" i="1"/>
  <c r="G264" i="1"/>
  <c r="J263" i="1"/>
  <c r="I263" i="1"/>
  <c r="H263" i="1"/>
  <c r="G263" i="1"/>
  <c r="J262" i="1"/>
  <c r="I262" i="1"/>
  <c r="H262" i="1"/>
  <c r="G262" i="1"/>
  <c r="J261" i="1"/>
  <c r="I261" i="1"/>
  <c r="H261" i="1"/>
  <c r="G261" i="1"/>
  <c r="J260" i="1"/>
  <c r="I260" i="1"/>
  <c r="H260" i="1"/>
  <c r="G260" i="1"/>
  <c r="J259" i="1"/>
  <c r="I259" i="1"/>
  <c r="H259" i="1"/>
  <c r="G259" i="1"/>
  <c r="J258" i="1"/>
  <c r="I258" i="1"/>
  <c r="H258" i="1"/>
  <c r="G258" i="1"/>
  <c r="J257" i="1"/>
  <c r="I257" i="1"/>
  <c r="H257" i="1"/>
  <c r="G257" i="1"/>
  <c r="J256" i="1"/>
  <c r="I256" i="1"/>
  <c r="H256" i="1"/>
  <c r="G256" i="1"/>
  <c r="J255" i="1"/>
  <c r="I255" i="1"/>
  <c r="H255" i="1"/>
  <c r="G255" i="1"/>
  <c r="J254" i="1"/>
  <c r="I254" i="1"/>
  <c r="H254" i="1"/>
  <c r="G254" i="1"/>
  <c r="J253" i="1"/>
  <c r="I253" i="1"/>
  <c r="H253" i="1"/>
  <c r="G253" i="1"/>
  <c r="J252" i="1"/>
  <c r="I252" i="1"/>
  <c r="H252" i="1"/>
  <c r="G252" i="1"/>
  <c r="J251" i="1"/>
  <c r="I251" i="1"/>
  <c r="H251" i="1"/>
  <c r="G251" i="1"/>
  <c r="J250" i="1"/>
  <c r="I250" i="1"/>
  <c r="H250" i="1"/>
  <c r="G250" i="1"/>
  <c r="J249" i="1"/>
  <c r="I249" i="1"/>
  <c r="H249" i="1"/>
  <c r="G249" i="1"/>
  <c r="J248" i="1"/>
  <c r="I248" i="1"/>
  <c r="H248" i="1"/>
  <c r="G248" i="1"/>
  <c r="J247" i="1"/>
  <c r="I247" i="1"/>
  <c r="H247" i="1"/>
  <c r="G247" i="1"/>
  <c r="J246" i="1"/>
  <c r="I246" i="1"/>
  <c r="H246" i="1"/>
  <c r="G246" i="1"/>
  <c r="J245" i="1"/>
  <c r="I245" i="1"/>
  <c r="H245" i="1"/>
  <c r="G245" i="1"/>
  <c r="J244" i="1"/>
  <c r="I244" i="1"/>
  <c r="H244" i="1"/>
  <c r="G244" i="1"/>
  <c r="J243" i="1"/>
  <c r="I243" i="1"/>
  <c r="H243" i="1"/>
  <c r="G243" i="1"/>
  <c r="J242" i="1"/>
  <c r="I242" i="1"/>
  <c r="H242" i="1"/>
  <c r="G242" i="1"/>
  <c r="J241" i="1"/>
  <c r="I241" i="1"/>
  <c r="H241" i="1"/>
  <c r="G241" i="1"/>
  <c r="J240" i="1"/>
  <c r="I240" i="1"/>
  <c r="H240" i="1"/>
  <c r="G240" i="1"/>
  <c r="J239" i="1"/>
  <c r="I239" i="1"/>
  <c r="H239" i="1"/>
  <c r="G239" i="1"/>
  <c r="J238" i="1"/>
  <c r="I238" i="1"/>
  <c r="H238" i="1"/>
  <c r="G238" i="1"/>
  <c r="J237" i="1"/>
  <c r="I237" i="1"/>
  <c r="H237" i="1"/>
  <c r="G237" i="1"/>
  <c r="J236" i="1"/>
  <c r="I236" i="1"/>
  <c r="H236" i="1"/>
  <c r="G236" i="1"/>
  <c r="J235" i="1"/>
  <c r="I235" i="1"/>
  <c r="H235" i="1"/>
  <c r="G235" i="1"/>
  <c r="J234" i="1"/>
  <c r="I234" i="1"/>
  <c r="H234" i="1"/>
  <c r="G234" i="1"/>
  <c r="J233" i="1"/>
  <c r="I233" i="1"/>
  <c r="H233" i="1"/>
  <c r="G233" i="1"/>
  <c r="J232" i="1"/>
  <c r="I232" i="1"/>
  <c r="H232" i="1"/>
  <c r="G232" i="1"/>
  <c r="J231" i="1"/>
  <c r="I231" i="1"/>
  <c r="H231" i="1"/>
  <c r="G231" i="1"/>
  <c r="J230" i="1"/>
  <c r="I230" i="1"/>
  <c r="H230" i="1"/>
  <c r="G230" i="1"/>
  <c r="J229" i="1"/>
  <c r="I229" i="1"/>
  <c r="H229" i="1"/>
  <c r="G229" i="1"/>
  <c r="J228" i="1"/>
  <c r="I228" i="1"/>
  <c r="H228" i="1"/>
  <c r="G228" i="1"/>
  <c r="J227" i="1"/>
  <c r="I227" i="1"/>
  <c r="H227" i="1"/>
  <c r="G227" i="1"/>
  <c r="J226" i="1"/>
  <c r="I226" i="1"/>
  <c r="H226" i="1"/>
  <c r="G226" i="1"/>
  <c r="J225" i="1"/>
  <c r="I225" i="1"/>
  <c r="H225" i="1"/>
  <c r="G225" i="1"/>
  <c r="J224" i="1"/>
  <c r="I224" i="1"/>
  <c r="H224" i="1"/>
  <c r="G224" i="1"/>
  <c r="J223" i="1"/>
  <c r="I223" i="1"/>
  <c r="H223" i="1"/>
  <c r="G223" i="1"/>
  <c r="J222" i="1"/>
  <c r="I222" i="1"/>
  <c r="H222" i="1"/>
  <c r="G222" i="1"/>
  <c r="J221" i="1"/>
  <c r="I221" i="1"/>
  <c r="H221" i="1"/>
  <c r="G221" i="1"/>
  <c r="J220" i="1"/>
  <c r="I220" i="1"/>
  <c r="H220" i="1"/>
  <c r="G220" i="1"/>
  <c r="J219" i="1"/>
  <c r="I219" i="1"/>
  <c r="H219" i="1"/>
  <c r="G219" i="1"/>
  <c r="J218" i="1"/>
  <c r="I218" i="1"/>
  <c r="H218" i="1"/>
  <c r="G218" i="1"/>
  <c r="J217" i="1"/>
  <c r="I217" i="1"/>
  <c r="H217" i="1"/>
  <c r="G217" i="1"/>
  <c r="J216" i="1"/>
  <c r="I216" i="1"/>
  <c r="H216" i="1"/>
  <c r="G216" i="1"/>
  <c r="J215" i="1"/>
  <c r="I215" i="1"/>
  <c r="H215" i="1"/>
  <c r="G215" i="1"/>
  <c r="J214" i="1"/>
  <c r="I214" i="1"/>
  <c r="H214" i="1"/>
  <c r="G214" i="1"/>
  <c r="J213" i="1"/>
  <c r="I213" i="1"/>
  <c r="H213" i="1"/>
  <c r="G213" i="1"/>
  <c r="J212" i="1"/>
  <c r="I212" i="1"/>
  <c r="H212" i="1"/>
  <c r="G212" i="1"/>
  <c r="J211" i="1"/>
  <c r="I211" i="1"/>
  <c r="H211" i="1"/>
  <c r="G211" i="1"/>
  <c r="J210" i="1"/>
  <c r="I210" i="1"/>
  <c r="H210" i="1"/>
  <c r="G210" i="1"/>
  <c r="J209" i="1"/>
  <c r="I209" i="1"/>
  <c r="H209" i="1"/>
  <c r="G209" i="1"/>
  <c r="J208" i="1"/>
  <c r="I208" i="1"/>
  <c r="H208" i="1"/>
  <c r="G208" i="1"/>
  <c r="J207" i="1"/>
  <c r="I207" i="1"/>
  <c r="H207" i="1"/>
  <c r="G207" i="1"/>
  <c r="J206" i="1"/>
  <c r="I206" i="1"/>
  <c r="H206" i="1"/>
  <c r="G206" i="1"/>
  <c r="J205" i="1"/>
  <c r="I205" i="1"/>
  <c r="H205" i="1"/>
  <c r="G205" i="1"/>
  <c r="J204" i="1"/>
  <c r="I204" i="1"/>
  <c r="H204" i="1"/>
  <c r="G204" i="1"/>
  <c r="J203" i="1"/>
  <c r="I203" i="1"/>
  <c r="H203" i="1"/>
  <c r="G203" i="1"/>
  <c r="J202" i="1"/>
  <c r="I202" i="1"/>
  <c r="H202" i="1"/>
  <c r="G202" i="1"/>
  <c r="J201" i="1"/>
  <c r="I201" i="1"/>
  <c r="H201" i="1"/>
  <c r="G201" i="1"/>
  <c r="J200" i="1"/>
  <c r="I200" i="1"/>
  <c r="H200" i="1"/>
  <c r="G200" i="1"/>
  <c r="J199" i="1"/>
  <c r="I199" i="1"/>
  <c r="H199" i="1"/>
  <c r="G199" i="1"/>
  <c r="J198" i="1"/>
  <c r="I198" i="1"/>
  <c r="H198" i="1"/>
  <c r="G198" i="1"/>
  <c r="J197" i="1"/>
  <c r="I197" i="1"/>
  <c r="H197" i="1"/>
  <c r="G197" i="1"/>
  <c r="J196" i="1"/>
  <c r="I196" i="1"/>
  <c r="H196" i="1"/>
  <c r="G196" i="1"/>
  <c r="J195" i="1"/>
  <c r="I195" i="1"/>
  <c r="H195" i="1"/>
  <c r="G195" i="1"/>
  <c r="J194" i="1"/>
  <c r="I194" i="1"/>
  <c r="H194" i="1"/>
  <c r="G194" i="1"/>
  <c r="J193" i="1"/>
  <c r="I193" i="1"/>
  <c r="H193" i="1"/>
  <c r="G193" i="1"/>
  <c r="J192" i="1"/>
  <c r="I192" i="1"/>
  <c r="H192" i="1"/>
  <c r="G192" i="1"/>
  <c r="J191" i="1"/>
  <c r="I191" i="1"/>
  <c r="H191" i="1"/>
  <c r="G191" i="1"/>
  <c r="J190" i="1"/>
  <c r="I190" i="1"/>
  <c r="H190" i="1"/>
  <c r="G190" i="1"/>
  <c r="J189" i="1"/>
  <c r="I189" i="1"/>
  <c r="H189" i="1"/>
  <c r="G189" i="1"/>
  <c r="J188" i="1"/>
  <c r="I188" i="1"/>
  <c r="H188" i="1"/>
  <c r="G188" i="1"/>
  <c r="J187" i="1"/>
  <c r="I187" i="1"/>
  <c r="H187" i="1"/>
  <c r="G187" i="1"/>
  <c r="J186" i="1"/>
  <c r="I186" i="1"/>
  <c r="H186" i="1"/>
  <c r="G186" i="1"/>
  <c r="J185" i="1"/>
  <c r="I185" i="1"/>
  <c r="H185" i="1"/>
  <c r="G185" i="1"/>
  <c r="J184" i="1"/>
  <c r="I184" i="1"/>
  <c r="H184" i="1"/>
  <c r="G184" i="1"/>
  <c r="J183" i="1"/>
  <c r="I183" i="1"/>
  <c r="H183" i="1"/>
  <c r="G183" i="1"/>
  <c r="J182" i="1"/>
  <c r="I182" i="1"/>
  <c r="H182" i="1"/>
  <c r="G182" i="1"/>
  <c r="J181" i="1"/>
  <c r="I181" i="1"/>
  <c r="H181" i="1"/>
  <c r="G181" i="1"/>
  <c r="J180" i="1"/>
  <c r="I180" i="1"/>
  <c r="H180" i="1"/>
  <c r="G180" i="1"/>
  <c r="J179" i="1"/>
  <c r="I179" i="1"/>
  <c r="H179" i="1"/>
  <c r="G179" i="1"/>
  <c r="J178" i="1"/>
  <c r="I178" i="1"/>
  <c r="H178" i="1"/>
  <c r="G178" i="1"/>
  <c r="J177" i="1"/>
  <c r="I177" i="1"/>
  <c r="H177" i="1"/>
  <c r="G177" i="1"/>
  <c r="J176" i="1"/>
  <c r="I176" i="1"/>
  <c r="H176" i="1"/>
  <c r="G176" i="1"/>
  <c r="J175" i="1"/>
  <c r="I175" i="1"/>
  <c r="H175" i="1"/>
  <c r="G175" i="1"/>
  <c r="J174" i="1"/>
  <c r="I174" i="1"/>
  <c r="H174" i="1"/>
  <c r="G174" i="1"/>
  <c r="J173" i="1"/>
  <c r="I173" i="1"/>
  <c r="H173" i="1"/>
  <c r="G173" i="1"/>
  <c r="J172" i="1"/>
  <c r="I172" i="1"/>
  <c r="H172" i="1"/>
  <c r="G172" i="1"/>
  <c r="J171" i="1"/>
  <c r="I171" i="1"/>
  <c r="H171" i="1"/>
  <c r="G171" i="1"/>
  <c r="J170" i="1"/>
  <c r="I170" i="1"/>
  <c r="H170" i="1"/>
  <c r="G170" i="1"/>
  <c r="J169" i="1"/>
  <c r="I169" i="1"/>
  <c r="H169" i="1"/>
  <c r="G169" i="1"/>
  <c r="J168" i="1"/>
  <c r="I168" i="1"/>
  <c r="H168" i="1"/>
  <c r="G168" i="1"/>
  <c r="J167" i="1"/>
  <c r="I167" i="1"/>
  <c r="H167" i="1"/>
  <c r="G167" i="1"/>
  <c r="J166" i="1"/>
  <c r="I166" i="1"/>
  <c r="H166" i="1"/>
  <c r="G166" i="1"/>
  <c r="J165" i="1"/>
  <c r="I165" i="1"/>
  <c r="H165" i="1"/>
  <c r="G165" i="1"/>
  <c r="J164" i="1"/>
  <c r="I164" i="1"/>
  <c r="H164" i="1"/>
  <c r="G164" i="1"/>
  <c r="J163" i="1"/>
  <c r="I163" i="1"/>
  <c r="H163" i="1"/>
  <c r="G163" i="1"/>
  <c r="J162" i="1"/>
  <c r="I162" i="1"/>
  <c r="H162" i="1"/>
  <c r="G162" i="1"/>
  <c r="J161" i="1"/>
  <c r="I161" i="1"/>
  <c r="H161" i="1"/>
  <c r="G161" i="1"/>
  <c r="J160" i="1"/>
  <c r="I160" i="1"/>
  <c r="H160" i="1"/>
  <c r="G160" i="1"/>
  <c r="J159" i="1"/>
  <c r="I159" i="1"/>
  <c r="H159" i="1"/>
  <c r="G159" i="1"/>
  <c r="J158" i="1"/>
  <c r="I158" i="1"/>
  <c r="H158" i="1"/>
  <c r="G158" i="1"/>
  <c r="J157" i="1"/>
  <c r="I157" i="1"/>
  <c r="H157" i="1"/>
  <c r="G157" i="1"/>
  <c r="J156" i="1"/>
  <c r="I156" i="1"/>
  <c r="H156" i="1"/>
  <c r="G156" i="1"/>
  <c r="J155" i="1"/>
  <c r="I155" i="1"/>
  <c r="H155" i="1"/>
  <c r="G155" i="1"/>
  <c r="J154" i="1"/>
  <c r="I154" i="1"/>
  <c r="H154" i="1"/>
  <c r="G154" i="1"/>
  <c r="J153" i="1"/>
  <c r="I153" i="1"/>
  <c r="H153" i="1"/>
  <c r="G153" i="1"/>
  <c r="J152" i="1"/>
  <c r="I152" i="1"/>
  <c r="H152" i="1"/>
  <c r="G152" i="1"/>
  <c r="J151" i="1"/>
  <c r="I151" i="1"/>
  <c r="H151" i="1"/>
  <c r="G151" i="1"/>
  <c r="J150" i="1"/>
  <c r="I150" i="1"/>
  <c r="H150" i="1"/>
  <c r="G150" i="1"/>
  <c r="J149" i="1"/>
  <c r="I149" i="1"/>
  <c r="H149" i="1"/>
  <c r="G149" i="1"/>
  <c r="J148" i="1"/>
  <c r="I148" i="1"/>
  <c r="H148" i="1"/>
  <c r="G148" i="1"/>
  <c r="J147" i="1"/>
  <c r="I147" i="1"/>
  <c r="H147" i="1"/>
  <c r="G147" i="1"/>
  <c r="J146" i="1"/>
  <c r="I146" i="1"/>
  <c r="H146" i="1"/>
  <c r="G146" i="1"/>
  <c r="J145" i="1"/>
  <c r="I145" i="1"/>
  <c r="H145" i="1"/>
  <c r="G145" i="1"/>
  <c r="J144" i="1"/>
  <c r="I144" i="1"/>
  <c r="H144" i="1"/>
  <c r="G144" i="1"/>
  <c r="J143" i="1"/>
  <c r="I143" i="1"/>
  <c r="H143" i="1"/>
  <c r="G143" i="1"/>
  <c r="J142" i="1"/>
  <c r="I142" i="1"/>
  <c r="H142" i="1"/>
  <c r="G142" i="1"/>
  <c r="J141" i="1"/>
  <c r="I141" i="1"/>
  <c r="H141" i="1"/>
  <c r="G141" i="1"/>
  <c r="J140" i="1"/>
  <c r="I140" i="1"/>
  <c r="H140" i="1"/>
  <c r="G140" i="1"/>
  <c r="J139" i="1"/>
  <c r="I139" i="1"/>
  <c r="H139" i="1"/>
  <c r="G139" i="1"/>
  <c r="J138" i="1"/>
  <c r="I138" i="1"/>
  <c r="H138" i="1"/>
  <c r="G138" i="1"/>
  <c r="J137" i="1"/>
  <c r="I137" i="1"/>
  <c r="H137" i="1"/>
  <c r="G137" i="1"/>
  <c r="J136" i="1"/>
  <c r="I136" i="1"/>
  <c r="H136" i="1"/>
  <c r="G136" i="1"/>
  <c r="J135" i="1"/>
  <c r="I135" i="1"/>
  <c r="H135" i="1"/>
  <c r="G135" i="1"/>
  <c r="J134" i="1"/>
  <c r="I134" i="1"/>
  <c r="H134" i="1"/>
  <c r="G134" i="1"/>
  <c r="J133" i="1"/>
  <c r="I133" i="1"/>
  <c r="H133" i="1"/>
  <c r="G133" i="1"/>
  <c r="J132" i="1"/>
  <c r="I132" i="1"/>
  <c r="H132" i="1"/>
  <c r="G132" i="1"/>
  <c r="J131" i="1"/>
  <c r="I131" i="1"/>
  <c r="H131" i="1"/>
  <c r="G131" i="1"/>
  <c r="J130" i="1"/>
  <c r="I130" i="1"/>
  <c r="H130" i="1"/>
  <c r="G130" i="1"/>
  <c r="J129" i="1"/>
  <c r="I129" i="1"/>
  <c r="H129" i="1"/>
  <c r="G129" i="1"/>
  <c r="J128" i="1"/>
  <c r="I128" i="1"/>
  <c r="H128" i="1"/>
  <c r="G128" i="1"/>
  <c r="J127" i="1"/>
  <c r="I127" i="1"/>
  <c r="H127" i="1"/>
  <c r="G127" i="1"/>
  <c r="J126" i="1"/>
  <c r="I126" i="1"/>
  <c r="H126" i="1"/>
  <c r="G126" i="1"/>
  <c r="J125" i="1"/>
  <c r="I125" i="1"/>
  <c r="H125" i="1"/>
  <c r="G125" i="1"/>
  <c r="J124" i="1"/>
  <c r="I124" i="1"/>
  <c r="H124" i="1"/>
  <c r="G124" i="1"/>
  <c r="J123" i="1"/>
  <c r="I123" i="1"/>
  <c r="H123" i="1"/>
  <c r="G123" i="1"/>
  <c r="J122" i="1"/>
  <c r="I122" i="1"/>
  <c r="H122" i="1"/>
  <c r="G122" i="1"/>
  <c r="J121" i="1"/>
  <c r="I121" i="1"/>
  <c r="H121" i="1"/>
  <c r="G121" i="1"/>
  <c r="J120" i="1"/>
  <c r="I120" i="1"/>
  <c r="H120" i="1"/>
  <c r="G120" i="1"/>
  <c r="J119" i="1"/>
  <c r="I119" i="1"/>
  <c r="H119" i="1"/>
  <c r="G119" i="1"/>
  <c r="J118" i="1"/>
  <c r="I118" i="1"/>
  <c r="H118" i="1"/>
  <c r="G118" i="1"/>
  <c r="J117" i="1"/>
  <c r="I117" i="1"/>
  <c r="H117" i="1"/>
  <c r="G117" i="1"/>
  <c r="J116" i="1"/>
  <c r="I116" i="1"/>
  <c r="H116" i="1"/>
  <c r="G116" i="1"/>
  <c r="J115" i="1"/>
  <c r="I115" i="1"/>
  <c r="H115" i="1"/>
  <c r="G115" i="1"/>
  <c r="J114" i="1"/>
  <c r="I114" i="1"/>
  <c r="H114" i="1"/>
  <c r="G114" i="1"/>
  <c r="J113" i="1"/>
  <c r="I113" i="1"/>
  <c r="H113" i="1"/>
  <c r="G113" i="1"/>
  <c r="J112" i="1"/>
  <c r="I112" i="1"/>
  <c r="H112" i="1"/>
  <c r="G112" i="1"/>
  <c r="J111" i="1"/>
  <c r="I111" i="1"/>
  <c r="H111" i="1"/>
  <c r="G111" i="1"/>
  <c r="J110" i="1"/>
  <c r="I110" i="1"/>
  <c r="H110" i="1"/>
  <c r="G110" i="1"/>
  <c r="J109" i="1"/>
  <c r="I109" i="1"/>
  <c r="H109" i="1"/>
  <c r="G109" i="1"/>
  <c r="J108" i="1"/>
  <c r="I108" i="1"/>
  <c r="H108" i="1"/>
  <c r="G108" i="1"/>
  <c r="J107" i="1"/>
  <c r="I107" i="1"/>
  <c r="H107" i="1"/>
  <c r="G107" i="1"/>
  <c r="J106" i="1"/>
  <c r="I106" i="1"/>
  <c r="H106" i="1"/>
  <c r="G106" i="1"/>
  <c r="J105" i="1"/>
  <c r="I105" i="1"/>
  <c r="H105" i="1"/>
  <c r="G105" i="1"/>
  <c r="J104" i="1"/>
  <c r="I104" i="1"/>
  <c r="H104" i="1"/>
  <c r="G104" i="1"/>
  <c r="J103" i="1"/>
  <c r="I103" i="1"/>
  <c r="H103" i="1"/>
  <c r="G103" i="1"/>
  <c r="J102" i="1"/>
  <c r="I102" i="1"/>
  <c r="H102" i="1"/>
  <c r="G102" i="1"/>
  <c r="J101" i="1"/>
  <c r="I101" i="1"/>
  <c r="H101" i="1"/>
  <c r="G101" i="1"/>
  <c r="J100" i="1"/>
  <c r="I100" i="1"/>
  <c r="H100" i="1"/>
  <c r="G100" i="1"/>
  <c r="J99" i="1"/>
  <c r="I99" i="1"/>
  <c r="H99" i="1"/>
  <c r="G99" i="1"/>
  <c r="J98" i="1"/>
  <c r="I98" i="1"/>
  <c r="H98" i="1"/>
  <c r="G98" i="1"/>
  <c r="J97" i="1"/>
  <c r="I97" i="1"/>
  <c r="H97" i="1"/>
  <c r="G97" i="1"/>
  <c r="J96" i="1"/>
  <c r="I96" i="1"/>
  <c r="H96" i="1"/>
  <c r="G96" i="1"/>
  <c r="J95" i="1"/>
  <c r="I95" i="1"/>
  <c r="H95" i="1"/>
  <c r="G95" i="1"/>
  <c r="J94" i="1"/>
  <c r="I94" i="1"/>
  <c r="H94" i="1"/>
  <c r="G94" i="1"/>
  <c r="J93" i="1"/>
  <c r="I93" i="1"/>
  <c r="H93" i="1"/>
  <c r="G93" i="1"/>
  <c r="J92" i="1"/>
  <c r="I92" i="1"/>
  <c r="H92" i="1"/>
  <c r="G92" i="1"/>
  <c r="J91" i="1"/>
  <c r="I91" i="1"/>
  <c r="H91" i="1"/>
  <c r="G91" i="1"/>
  <c r="J90" i="1"/>
  <c r="I90" i="1"/>
  <c r="H90" i="1"/>
  <c r="G90" i="1"/>
  <c r="J89" i="1"/>
  <c r="I89" i="1"/>
  <c r="H89" i="1"/>
  <c r="G89" i="1"/>
  <c r="J88" i="1"/>
  <c r="I88" i="1"/>
  <c r="H88" i="1"/>
  <c r="G88" i="1"/>
  <c r="J87" i="1"/>
  <c r="I87" i="1"/>
  <c r="H87" i="1"/>
  <c r="G87" i="1"/>
  <c r="J86" i="1"/>
  <c r="I86" i="1"/>
  <c r="H86" i="1"/>
  <c r="G86" i="1"/>
  <c r="J85" i="1"/>
  <c r="I85" i="1"/>
  <c r="H85" i="1"/>
  <c r="G85" i="1"/>
  <c r="J84" i="1"/>
  <c r="I84" i="1"/>
  <c r="H84" i="1"/>
  <c r="G84" i="1"/>
  <c r="J83" i="1"/>
  <c r="I83" i="1"/>
  <c r="H83" i="1"/>
  <c r="G83" i="1"/>
  <c r="J82" i="1"/>
  <c r="I82" i="1"/>
  <c r="H82" i="1"/>
  <c r="G82" i="1"/>
  <c r="J81" i="1"/>
  <c r="I81" i="1"/>
  <c r="H81" i="1"/>
  <c r="G81" i="1"/>
  <c r="J80" i="1"/>
  <c r="I80" i="1"/>
  <c r="H80" i="1"/>
  <c r="G80" i="1"/>
  <c r="J79" i="1"/>
  <c r="I79" i="1"/>
  <c r="H79" i="1"/>
  <c r="G79" i="1"/>
  <c r="J78" i="1"/>
  <c r="I78" i="1"/>
  <c r="H78" i="1"/>
  <c r="G78" i="1"/>
  <c r="J77" i="1"/>
  <c r="I77" i="1"/>
  <c r="H77" i="1"/>
  <c r="G77" i="1"/>
  <c r="J76" i="1"/>
  <c r="I76" i="1"/>
  <c r="H76" i="1"/>
  <c r="G76" i="1"/>
  <c r="J75" i="1"/>
  <c r="I75" i="1"/>
  <c r="H75" i="1"/>
  <c r="G75" i="1"/>
  <c r="J74" i="1"/>
  <c r="I74" i="1"/>
  <c r="H74" i="1"/>
  <c r="G74" i="1"/>
  <c r="J73" i="1"/>
  <c r="I73" i="1"/>
  <c r="H73" i="1"/>
  <c r="G73" i="1"/>
  <c r="J72" i="1"/>
  <c r="I72" i="1"/>
  <c r="H72" i="1"/>
  <c r="G72" i="1"/>
  <c r="J71" i="1"/>
  <c r="I71" i="1"/>
  <c r="H71" i="1"/>
  <c r="G71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I67" i="1"/>
  <c r="H67" i="1"/>
  <c r="G67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H14" i="1"/>
  <c r="G14" i="1"/>
  <c r="J20" i="10" l="1"/>
  <c r="J18" i="10"/>
  <c r="J28" i="10"/>
  <c r="C66" i="12"/>
  <c r="F66" i="12" s="1"/>
  <c r="E144" i="12" s="1"/>
  <c r="C63" i="12"/>
  <c r="F63" i="12" s="1"/>
  <c r="E141" i="12" s="1"/>
  <c r="C75" i="12"/>
  <c r="C72" i="12"/>
  <c r="F72" i="12" s="1"/>
  <c r="E150" i="12" s="1"/>
  <c r="C69" i="12"/>
  <c r="F69" i="12" s="1"/>
  <c r="E147" i="12" s="1"/>
  <c r="C51" i="12"/>
  <c r="F51" i="12" s="1"/>
  <c r="E129" i="12" s="1"/>
  <c r="C48" i="12"/>
  <c r="F48" i="12" s="1"/>
  <c r="E126" i="12" s="1"/>
  <c r="C71" i="12"/>
  <c r="F71" i="12" s="1"/>
  <c r="E149" i="12" s="1"/>
  <c r="C59" i="12"/>
  <c r="F59" i="12" s="1"/>
  <c r="E137" i="12" s="1"/>
  <c r="C56" i="12"/>
  <c r="F56" i="12" s="1"/>
  <c r="E134" i="12" s="1"/>
  <c r="C53" i="12"/>
  <c r="F53" i="12" s="1"/>
  <c r="E131" i="12" s="1"/>
  <c r="C50" i="12"/>
  <c r="F50" i="12" s="1"/>
  <c r="E128" i="12" s="1"/>
  <c r="C47" i="12"/>
  <c r="F47" i="12" s="1"/>
  <c r="E125" i="12" s="1"/>
  <c r="O116" i="12"/>
  <c r="I156" i="12" s="1"/>
  <c r="C67" i="12"/>
  <c r="F67" i="12" s="1"/>
  <c r="E145" i="12" s="1"/>
  <c r="C64" i="12"/>
  <c r="F64" i="12" s="1"/>
  <c r="E142" i="12" s="1"/>
  <c r="C58" i="12"/>
  <c r="F58" i="12" s="1"/>
  <c r="E136" i="12" s="1"/>
  <c r="L110" i="12"/>
  <c r="H150" i="12" s="1"/>
  <c r="F110" i="12"/>
  <c r="F150" i="12" s="1"/>
  <c r="O110" i="12"/>
  <c r="I150" i="12" s="1"/>
  <c r="I110" i="12"/>
  <c r="G150" i="12" s="1"/>
  <c r="I13" i="12"/>
  <c r="D129" i="12" s="1"/>
  <c r="F13" i="12"/>
  <c r="C129" i="12" s="1"/>
  <c r="I27" i="12"/>
  <c r="D143" i="12" s="1"/>
  <c r="F27" i="12"/>
  <c r="C143" i="12" s="1"/>
  <c r="I18" i="12"/>
  <c r="D134" i="12" s="1"/>
  <c r="F18" i="12"/>
  <c r="C134" i="12" s="1"/>
  <c r="I30" i="12"/>
  <c r="D146" i="12" s="1"/>
  <c r="F30" i="12"/>
  <c r="C146" i="12" s="1"/>
  <c r="O112" i="12"/>
  <c r="I152" i="12" s="1"/>
  <c r="F112" i="12"/>
  <c r="F152" i="12" s="1"/>
  <c r="L112" i="12"/>
  <c r="H152" i="12" s="1"/>
  <c r="I112" i="12"/>
  <c r="G152" i="12" s="1"/>
  <c r="F90" i="12"/>
  <c r="F130" i="12" s="1"/>
  <c r="I90" i="12"/>
  <c r="G130" i="12" s="1"/>
  <c r="J25" i="10"/>
  <c r="J21" i="10"/>
  <c r="I26" i="12"/>
  <c r="D142" i="12" s="1"/>
  <c r="F26" i="12"/>
  <c r="C142" i="12" s="1"/>
  <c r="I23" i="12"/>
  <c r="D139" i="12" s="1"/>
  <c r="F23" i="12"/>
  <c r="C139" i="12" s="1"/>
  <c r="I38" i="12"/>
  <c r="D154" i="12" s="1"/>
  <c r="F38" i="12"/>
  <c r="C154" i="12" s="1"/>
  <c r="F35" i="12"/>
  <c r="C151" i="12" s="1"/>
  <c r="I35" i="12"/>
  <c r="D151" i="12" s="1"/>
  <c r="I32" i="12"/>
  <c r="D148" i="12" s="1"/>
  <c r="F32" i="12"/>
  <c r="C148" i="12" s="1"/>
  <c r="I29" i="12"/>
  <c r="D145" i="12" s="1"/>
  <c r="F29" i="12"/>
  <c r="C145" i="12" s="1"/>
  <c r="I100" i="12"/>
  <c r="G140" i="12" s="1"/>
  <c r="L100" i="12"/>
  <c r="H140" i="12" s="1"/>
  <c r="F100" i="12"/>
  <c r="F140" i="12" s="1"/>
  <c r="F97" i="12"/>
  <c r="F137" i="12" s="1"/>
  <c r="L97" i="12"/>
  <c r="H137" i="12" s="1"/>
  <c r="I97" i="12"/>
  <c r="G137" i="12" s="1"/>
  <c r="F92" i="12"/>
  <c r="F132" i="12" s="1"/>
  <c r="I92" i="12"/>
  <c r="G132" i="12" s="1"/>
  <c r="F89" i="12"/>
  <c r="F129" i="12" s="1"/>
  <c r="I89" i="12"/>
  <c r="G129" i="12" s="1"/>
  <c r="J9" i="10"/>
  <c r="J7" i="10"/>
  <c r="J4" i="10"/>
  <c r="C25" i="12"/>
  <c r="C11" i="12"/>
  <c r="C8" i="12"/>
  <c r="C40" i="12"/>
  <c r="C37" i="12"/>
  <c r="C34" i="12"/>
  <c r="I108" i="12"/>
  <c r="G148" i="12" s="1"/>
  <c r="L108" i="12"/>
  <c r="H148" i="12" s="1"/>
  <c r="F108" i="12"/>
  <c r="F148" i="12" s="1"/>
  <c r="O108" i="12"/>
  <c r="I148" i="12" s="1"/>
  <c r="I105" i="12"/>
  <c r="G145" i="12" s="1"/>
  <c r="F105" i="12"/>
  <c r="F145" i="12" s="1"/>
  <c r="O105" i="12"/>
  <c r="I145" i="12" s="1"/>
  <c r="L105" i="12"/>
  <c r="H145" i="12" s="1"/>
  <c r="L102" i="12"/>
  <c r="H142" i="12" s="1"/>
  <c r="I102" i="12"/>
  <c r="G142" i="12" s="1"/>
  <c r="F102" i="12"/>
  <c r="F142" i="12" s="1"/>
  <c r="F99" i="12"/>
  <c r="F139" i="12" s="1"/>
  <c r="I99" i="12"/>
  <c r="G139" i="12" s="1"/>
  <c r="L99" i="12"/>
  <c r="H139" i="12" s="1"/>
  <c r="I94" i="12"/>
  <c r="G134" i="12" s="1"/>
  <c r="F94" i="12"/>
  <c r="F134" i="12" s="1"/>
  <c r="F91" i="12"/>
  <c r="F131" i="12" s="1"/>
  <c r="I91" i="12"/>
  <c r="G131" i="12" s="1"/>
  <c r="E117" i="12"/>
  <c r="H117" i="12" s="1"/>
  <c r="K117" i="12" s="1"/>
  <c r="N117" i="12" s="1"/>
  <c r="F24" i="12"/>
  <c r="C140" i="12" s="1"/>
  <c r="I24" i="12"/>
  <c r="D140" i="12" s="1"/>
  <c r="I21" i="12"/>
  <c r="D137" i="12" s="1"/>
  <c r="F21" i="12"/>
  <c r="C137" i="12" s="1"/>
  <c r="I15" i="12"/>
  <c r="D131" i="12" s="1"/>
  <c r="F15" i="12"/>
  <c r="C131" i="12" s="1"/>
  <c r="I115" i="12"/>
  <c r="G155" i="12" s="1"/>
  <c r="F115" i="12"/>
  <c r="F155" i="12" s="1"/>
  <c r="O115" i="12"/>
  <c r="I155" i="12" s="1"/>
  <c r="L115" i="12"/>
  <c r="H155" i="12" s="1"/>
  <c r="L98" i="12"/>
  <c r="H138" i="12" s="1"/>
  <c r="I98" i="12"/>
  <c r="G138" i="12" s="1"/>
  <c r="F98" i="12"/>
  <c r="F138" i="12" s="1"/>
  <c r="I95" i="12"/>
  <c r="G135" i="12" s="1"/>
  <c r="F95" i="12"/>
  <c r="F135" i="12" s="1"/>
  <c r="J23" i="10"/>
  <c r="J17" i="10"/>
  <c r="J15" i="10"/>
  <c r="J12" i="10"/>
  <c r="C28" i="12"/>
  <c r="C19" i="12"/>
  <c r="C16" i="12"/>
  <c r="C10" i="12"/>
  <c r="F75" i="12"/>
  <c r="E153" i="12" s="1"/>
  <c r="F116" i="12"/>
  <c r="F156" i="12" s="1"/>
  <c r="I116" i="12"/>
  <c r="G156" i="12" s="1"/>
  <c r="L116" i="12"/>
  <c r="H156" i="12" s="1"/>
  <c r="L113" i="12"/>
  <c r="H153" i="12" s="1"/>
  <c r="F113" i="12"/>
  <c r="F153" i="12" s="1"/>
  <c r="O113" i="12"/>
  <c r="I153" i="12" s="1"/>
  <c r="I113" i="12"/>
  <c r="G153" i="12" s="1"/>
  <c r="F107" i="12"/>
  <c r="F147" i="12" s="1"/>
  <c r="I107" i="12"/>
  <c r="G147" i="12" s="1"/>
  <c r="L107" i="12"/>
  <c r="H147" i="12" s="1"/>
  <c r="O107" i="12"/>
  <c r="I147" i="12" s="1"/>
  <c r="L104" i="12"/>
  <c r="H144" i="12" s="1"/>
  <c r="F104" i="12"/>
  <c r="F144" i="12" s="1"/>
  <c r="I104" i="12"/>
  <c r="G144" i="12" s="1"/>
  <c r="O104" i="12"/>
  <c r="I144" i="12" s="1"/>
  <c r="I96" i="12"/>
  <c r="G136" i="12" s="1"/>
  <c r="F96" i="12"/>
  <c r="F136" i="12" s="1"/>
  <c r="I93" i="12"/>
  <c r="G133" i="12" s="1"/>
  <c r="F93" i="12"/>
  <c r="F133" i="12" s="1"/>
  <c r="C20" i="12"/>
  <c r="C17" i="12"/>
  <c r="C12" i="12"/>
  <c r="C9" i="12"/>
  <c r="C39" i="12"/>
  <c r="C36" i="12"/>
  <c r="C31" i="12"/>
  <c r="C76" i="12"/>
  <c r="F76" i="12" s="1"/>
  <c r="E154" i="12" s="1"/>
  <c r="C73" i="12"/>
  <c r="F73" i="12" s="1"/>
  <c r="E151" i="12" s="1"/>
  <c r="C68" i="12"/>
  <c r="F68" i="12" s="1"/>
  <c r="E146" i="12" s="1"/>
  <c r="C65" i="12"/>
  <c r="F65" i="12" s="1"/>
  <c r="E143" i="12" s="1"/>
  <c r="C60" i="12"/>
  <c r="F60" i="12" s="1"/>
  <c r="E138" i="12" s="1"/>
  <c r="C57" i="12"/>
  <c r="F57" i="12" s="1"/>
  <c r="E135" i="12" s="1"/>
  <c r="C52" i="12"/>
  <c r="F52" i="12" s="1"/>
  <c r="E130" i="12" s="1"/>
  <c r="C49" i="12"/>
  <c r="F49" i="12" s="1"/>
  <c r="E127" i="12" s="1"/>
  <c r="C117" i="12"/>
  <c r="C114" i="12"/>
  <c r="C109" i="12"/>
  <c r="C106" i="12"/>
  <c r="C101" i="12"/>
  <c r="J27" i="10"/>
  <c r="J26" i="10"/>
  <c r="J22" i="10"/>
  <c r="J19" i="10"/>
  <c r="J16" i="10"/>
  <c r="J11" i="10"/>
  <c r="J8" i="10"/>
  <c r="C22" i="12"/>
  <c r="C14" i="12"/>
  <c r="C41" i="12"/>
  <c r="C33" i="12"/>
  <c r="C78" i="12"/>
  <c r="F78" i="12" s="1"/>
  <c r="E156" i="12" s="1"/>
  <c r="C70" i="12"/>
  <c r="F70" i="12" s="1"/>
  <c r="E148" i="12" s="1"/>
  <c r="C62" i="12"/>
  <c r="F62" i="12" s="1"/>
  <c r="E140" i="12" s="1"/>
  <c r="C54" i="12"/>
  <c r="F54" i="12" s="1"/>
  <c r="E132" i="12" s="1"/>
  <c r="C46" i="12"/>
  <c r="F46" i="12" s="1"/>
  <c r="E124" i="12" s="1"/>
  <c r="C111" i="12"/>
  <c r="C103" i="12"/>
  <c r="N36" i="11"/>
  <c r="P35" i="11"/>
  <c r="N33" i="11"/>
  <c r="P31" i="11"/>
  <c r="P30" i="11"/>
  <c r="N29" i="11"/>
  <c r="P28" i="11"/>
  <c r="P27" i="11"/>
  <c r="J33" i="10"/>
  <c r="F126" i="10"/>
  <c r="G39" i="6"/>
  <c r="J30" i="10"/>
  <c r="F125" i="10"/>
  <c r="J40" i="10"/>
  <c r="F121" i="8"/>
  <c r="F127" i="10"/>
  <c r="F130" i="10"/>
  <c r="J38" i="10"/>
  <c r="J34" i="10"/>
  <c r="F129" i="10"/>
  <c r="J39" i="10"/>
  <c r="J35" i="10"/>
  <c r="F82" i="8"/>
  <c r="J36" i="10"/>
  <c r="J32" i="10"/>
  <c r="J31" i="10"/>
  <c r="F131" i="10"/>
  <c r="F128" i="10"/>
  <c r="K121" i="8"/>
  <c r="C5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J37" i="10"/>
  <c r="F132" i="10"/>
  <c r="G35" i="11"/>
  <c r="G31" i="11"/>
  <c r="G34" i="11"/>
  <c r="I33" i="11"/>
  <c r="I32" i="11"/>
  <c r="G30" i="11"/>
  <c r="G29" i="11"/>
  <c r="Q29" i="11" s="1"/>
  <c r="R29" i="11" s="1"/>
  <c r="P33" i="11"/>
  <c r="I30" i="11"/>
  <c r="P29" i="11"/>
  <c r="G33" i="11"/>
  <c r="P36" i="11"/>
  <c r="I29" i="11"/>
  <c r="N28" i="11"/>
  <c r="G27" i="11"/>
  <c r="I26" i="11"/>
  <c r="I34" i="11"/>
  <c r="N30" i="11"/>
  <c r="B28" i="6"/>
  <c r="B25" i="6"/>
  <c r="B35" i="6" s="1"/>
  <c r="G36" i="11"/>
  <c r="I36" i="11"/>
  <c r="F43" i="8"/>
  <c r="N26" i="11"/>
  <c r="Q26" i="11" s="1"/>
  <c r="P26" i="11"/>
  <c r="N34" i="11"/>
  <c r="P34" i="11"/>
  <c r="N31" i="11"/>
  <c r="G28" i="11"/>
  <c r="I28" i="11"/>
  <c r="N32" i="11"/>
  <c r="P32" i="11"/>
  <c r="F133" i="10"/>
  <c r="I35" i="11"/>
  <c r="C12" i="9"/>
  <c r="H11" i="9"/>
  <c r="N35" i="11"/>
  <c r="Q35" i="11" s="1"/>
  <c r="R35" i="11" s="1"/>
  <c r="G32" i="11"/>
  <c r="N27" i="11"/>
  <c r="J131" i="12" l="1"/>
  <c r="J146" i="12"/>
  <c r="I33" i="12"/>
  <c r="D149" i="12" s="1"/>
  <c r="F33" i="12"/>
  <c r="C149" i="12" s="1"/>
  <c r="I12" i="12"/>
  <c r="D128" i="12" s="1"/>
  <c r="F12" i="12"/>
  <c r="C128" i="12" s="1"/>
  <c r="J128" i="12" s="1"/>
  <c r="I16" i="12"/>
  <c r="D132" i="12" s="1"/>
  <c r="F16" i="12"/>
  <c r="C132" i="12" s="1"/>
  <c r="J132" i="12" s="1"/>
  <c r="I8" i="12"/>
  <c r="D124" i="12" s="1"/>
  <c r="F8" i="12"/>
  <c r="C124" i="12" s="1"/>
  <c r="J145" i="12"/>
  <c r="J139" i="12"/>
  <c r="Q36" i="11"/>
  <c r="R36" i="11" s="1"/>
  <c r="F103" i="12"/>
  <c r="F143" i="12" s="1"/>
  <c r="I103" i="12"/>
  <c r="G143" i="12" s="1"/>
  <c r="L103" i="12"/>
  <c r="H143" i="12" s="1"/>
  <c r="F41" i="12"/>
  <c r="C157" i="12" s="1"/>
  <c r="I41" i="12"/>
  <c r="D157" i="12" s="1"/>
  <c r="I109" i="12"/>
  <c r="G149" i="12" s="1"/>
  <c r="O109" i="12"/>
  <c r="I149" i="12" s="1"/>
  <c r="L109" i="12"/>
  <c r="H149" i="12" s="1"/>
  <c r="F109" i="12"/>
  <c r="F149" i="12" s="1"/>
  <c r="I36" i="12"/>
  <c r="D152" i="12" s="1"/>
  <c r="F36" i="12"/>
  <c r="C152" i="12" s="1"/>
  <c r="J152" i="12" s="1"/>
  <c r="F17" i="12"/>
  <c r="C133" i="12" s="1"/>
  <c r="I17" i="12"/>
  <c r="D133" i="12" s="1"/>
  <c r="F19" i="12"/>
  <c r="C135" i="12" s="1"/>
  <c r="I19" i="12"/>
  <c r="D135" i="12" s="1"/>
  <c r="J140" i="12"/>
  <c r="I34" i="12"/>
  <c r="D150" i="12" s="1"/>
  <c r="F34" i="12"/>
  <c r="C150" i="12" s="1"/>
  <c r="F11" i="12"/>
  <c r="C127" i="12" s="1"/>
  <c r="I11" i="12"/>
  <c r="D127" i="12" s="1"/>
  <c r="I111" i="12"/>
  <c r="G151" i="12" s="1"/>
  <c r="F111" i="12"/>
  <c r="F151" i="12" s="1"/>
  <c r="O111" i="12"/>
  <c r="I151" i="12" s="1"/>
  <c r="L111" i="12"/>
  <c r="H151" i="12" s="1"/>
  <c r="I14" i="12"/>
  <c r="D130" i="12" s="1"/>
  <c r="F14" i="12"/>
  <c r="C130" i="12" s="1"/>
  <c r="J130" i="12" s="1"/>
  <c r="O114" i="12"/>
  <c r="I154" i="12" s="1"/>
  <c r="L114" i="12"/>
  <c r="H154" i="12" s="1"/>
  <c r="F114" i="12"/>
  <c r="F154" i="12" s="1"/>
  <c r="I114" i="12"/>
  <c r="G154" i="12" s="1"/>
  <c r="F39" i="12"/>
  <c r="C155" i="12" s="1"/>
  <c r="I39" i="12"/>
  <c r="D155" i="12" s="1"/>
  <c r="I20" i="12"/>
  <c r="D136" i="12" s="1"/>
  <c r="F20" i="12"/>
  <c r="C136" i="12" s="1"/>
  <c r="J136" i="12" s="1"/>
  <c r="F28" i="12"/>
  <c r="C144" i="12" s="1"/>
  <c r="I28" i="12"/>
  <c r="D144" i="12" s="1"/>
  <c r="J137" i="12"/>
  <c r="F37" i="12"/>
  <c r="C153" i="12" s="1"/>
  <c r="I37" i="12"/>
  <c r="D153" i="12" s="1"/>
  <c r="I25" i="12"/>
  <c r="D141" i="12" s="1"/>
  <c r="F25" i="12"/>
  <c r="C141" i="12" s="1"/>
  <c r="J148" i="12"/>
  <c r="J154" i="12"/>
  <c r="J142" i="12"/>
  <c r="J134" i="12"/>
  <c r="J129" i="12"/>
  <c r="F31" i="12"/>
  <c r="C147" i="12" s="1"/>
  <c r="J147" i="12" s="1"/>
  <c r="I31" i="12"/>
  <c r="D147" i="12" s="1"/>
  <c r="Q33" i="11"/>
  <c r="R33" i="11" s="1"/>
  <c r="E158" i="12"/>
  <c r="I22" i="12"/>
  <c r="D138" i="12" s="1"/>
  <c r="F22" i="12"/>
  <c r="C138" i="12" s="1"/>
  <c r="F101" i="12"/>
  <c r="F141" i="12" s="1"/>
  <c r="F158" i="12" s="1"/>
  <c r="L101" i="12"/>
  <c r="H141" i="12" s="1"/>
  <c r="I101" i="12"/>
  <c r="G141" i="12" s="1"/>
  <c r="L117" i="12"/>
  <c r="H157" i="12" s="1"/>
  <c r="F117" i="12"/>
  <c r="F157" i="12" s="1"/>
  <c r="I117" i="12"/>
  <c r="G157" i="12" s="1"/>
  <c r="O117" i="12"/>
  <c r="I157" i="12" s="1"/>
  <c r="I158" i="12" s="1"/>
  <c r="I9" i="12"/>
  <c r="D125" i="12" s="1"/>
  <c r="F9" i="12"/>
  <c r="C125" i="12" s="1"/>
  <c r="J125" i="12" s="1"/>
  <c r="I10" i="12"/>
  <c r="D126" i="12" s="1"/>
  <c r="F10" i="12"/>
  <c r="C126" i="12" s="1"/>
  <c r="F40" i="12"/>
  <c r="C156" i="12" s="1"/>
  <c r="I40" i="12"/>
  <c r="D156" i="12" s="1"/>
  <c r="P11" i="9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Q31" i="11"/>
  <c r="R31" i="11" s="1"/>
  <c r="Q27" i="11"/>
  <c r="R27" i="11" s="1"/>
  <c r="Q34" i="11"/>
  <c r="R34" i="11" s="1"/>
  <c r="Q30" i="11"/>
  <c r="R30" i="11" s="1"/>
  <c r="Q32" i="11"/>
  <c r="R32" i="11" s="1"/>
  <c r="Q28" i="11"/>
  <c r="R28" i="11" s="1"/>
  <c r="R26" i="11"/>
  <c r="C4" i="9"/>
  <c r="I11" i="9" s="1"/>
  <c r="G37" i="6"/>
  <c r="E44" i="6" s="1"/>
  <c r="E45" i="6" s="1"/>
  <c r="F12" i="9"/>
  <c r="C13" i="9"/>
  <c r="H12" i="9"/>
  <c r="H158" i="12" l="1"/>
  <c r="G158" i="12"/>
  <c r="J143" i="12"/>
  <c r="J126" i="12"/>
  <c r="J138" i="12"/>
  <c r="J151" i="12"/>
  <c r="J156" i="12"/>
  <c r="J144" i="12"/>
  <c r="J155" i="12"/>
  <c r="J133" i="12"/>
  <c r="J157" i="12"/>
  <c r="D158" i="12"/>
  <c r="J153" i="12"/>
  <c r="J127" i="12"/>
  <c r="J124" i="12"/>
  <c r="C158" i="12"/>
  <c r="J149" i="12"/>
  <c r="J141" i="12"/>
  <c r="J150" i="12"/>
  <c r="J135" i="12"/>
  <c r="O12" i="9"/>
  <c r="Q12" i="9"/>
  <c r="D12" i="9"/>
  <c r="E12" i="9" s="1"/>
  <c r="G12" i="9"/>
  <c r="I12" i="9"/>
  <c r="G38" i="6"/>
  <c r="G40" i="6" s="1"/>
  <c r="Q39" i="11"/>
  <c r="C36" i="9" s="1"/>
  <c r="D41" i="9" s="1"/>
  <c r="Q40" i="11"/>
  <c r="C37" i="9" s="1"/>
  <c r="F41" i="9" s="1"/>
  <c r="Q38" i="11"/>
  <c r="C35" i="9" s="1"/>
  <c r="B41" i="9" s="1"/>
  <c r="C41" i="9" s="1"/>
  <c r="O13" i="9"/>
  <c r="Q13" i="9"/>
  <c r="H13" i="9"/>
  <c r="I13" i="9" s="1"/>
  <c r="F13" i="9"/>
  <c r="G13" i="9" s="1"/>
  <c r="C14" i="9"/>
  <c r="D13" i="9"/>
  <c r="E13" i="9" s="1"/>
  <c r="L11" i="9"/>
  <c r="J11" i="9"/>
  <c r="Q11" i="9"/>
  <c r="D11" i="9"/>
  <c r="E11" i="9" s="1"/>
  <c r="G11" i="9"/>
  <c r="O11" i="9"/>
  <c r="F42" i="9" l="1"/>
  <c r="G42" i="9" s="1"/>
  <c r="G41" i="9"/>
  <c r="D42" i="9"/>
  <c r="E42" i="9" s="1"/>
  <c r="E41" i="9"/>
  <c r="J41" i="9"/>
  <c r="K41" i="9" s="1"/>
  <c r="H41" i="9"/>
  <c r="I41" i="9" s="1"/>
  <c r="J158" i="12"/>
  <c r="B42" i="9"/>
  <c r="C42" i="9" s="1"/>
  <c r="F43" i="9"/>
  <c r="G43" i="9" s="1"/>
  <c r="Q14" i="9"/>
  <c r="C15" i="9"/>
  <c r="F14" i="9"/>
  <c r="G14" i="9" s="1"/>
  <c r="H14" i="9"/>
  <c r="I14" i="9" s="1"/>
  <c r="D14" i="9"/>
  <c r="E14" i="9" s="1"/>
  <c r="O14" i="9"/>
  <c r="D43" i="9"/>
  <c r="E43" i="9" s="1"/>
  <c r="L12" i="9"/>
  <c r="M11" i="9"/>
  <c r="J12" i="9"/>
  <c r="K11" i="9"/>
  <c r="H42" i="9" l="1"/>
  <c r="I42" i="9" s="1"/>
  <c r="B43" i="9"/>
  <c r="J42" i="9"/>
  <c r="K42" i="9" s="1"/>
  <c r="D44" i="9"/>
  <c r="E44" i="9" s="1"/>
  <c r="L13" i="9"/>
  <c r="M12" i="9"/>
  <c r="J13" i="9"/>
  <c r="K12" i="9"/>
  <c r="C16" i="9"/>
  <c r="O15" i="9"/>
  <c r="H15" i="9"/>
  <c r="I15" i="9" s="1"/>
  <c r="D15" i="9"/>
  <c r="E15" i="9" s="1"/>
  <c r="F15" i="9"/>
  <c r="G15" i="9" s="1"/>
  <c r="Q15" i="9"/>
  <c r="F44" i="9"/>
  <c r="G44" i="9" s="1"/>
  <c r="J43" i="9" l="1"/>
  <c r="K43" i="9" s="1"/>
  <c r="C43" i="9"/>
  <c r="B44" i="9"/>
  <c r="H43" i="9"/>
  <c r="I43" i="9" s="1"/>
  <c r="B45" i="9"/>
  <c r="L14" i="9"/>
  <c r="M13" i="9"/>
  <c r="J14" i="9"/>
  <c r="K13" i="9"/>
  <c r="F45" i="9"/>
  <c r="G45" i="9" s="1"/>
  <c r="C17" i="9"/>
  <c r="H16" i="9"/>
  <c r="I16" i="9" s="1"/>
  <c r="D16" i="9"/>
  <c r="E16" i="9" s="1"/>
  <c r="Q16" i="9"/>
  <c r="F16" i="9"/>
  <c r="G16" i="9" s="1"/>
  <c r="O16" i="9"/>
  <c r="D45" i="9"/>
  <c r="E45" i="9" s="1"/>
  <c r="J44" i="9" l="1"/>
  <c r="K44" i="9" s="1"/>
  <c r="C44" i="9"/>
  <c r="J45" i="9"/>
  <c r="K45" i="9" s="1"/>
  <c r="C45" i="9"/>
  <c r="H44" i="9"/>
  <c r="I44" i="9" s="1"/>
  <c r="J15" i="9"/>
  <c r="K14" i="9"/>
  <c r="B46" i="9"/>
  <c r="D46" i="9"/>
  <c r="E46" i="9" s="1"/>
  <c r="F46" i="9"/>
  <c r="G46" i="9" s="1"/>
  <c r="O17" i="9"/>
  <c r="Q17" i="9"/>
  <c r="H17" i="9"/>
  <c r="I17" i="9" s="1"/>
  <c r="C18" i="9"/>
  <c r="F17" i="9"/>
  <c r="G17" i="9" s="1"/>
  <c r="D17" i="9"/>
  <c r="E17" i="9" s="1"/>
  <c r="L15" i="9"/>
  <c r="M14" i="9"/>
  <c r="J46" i="9" l="1"/>
  <c r="K46" i="9" s="1"/>
  <c r="C46" i="9"/>
  <c r="H45" i="9"/>
  <c r="I45" i="9" s="1"/>
  <c r="L16" i="9"/>
  <c r="M15" i="9"/>
  <c r="D47" i="9"/>
  <c r="E47" i="9" s="1"/>
  <c r="J16" i="9"/>
  <c r="K15" i="9"/>
  <c r="Q18" i="9"/>
  <c r="C19" i="9"/>
  <c r="H18" i="9"/>
  <c r="I18" i="9" s="1"/>
  <c r="D18" i="9"/>
  <c r="E18" i="9" s="1"/>
  <c r="O18" i="9"/>
  <c r="F18" i="9"/>
  <c r="G18" i="9" s="1"/>
  <c r="B47" i="9"/>
  <c r="F47" i="9"/>
  <c r="G47" i="9" s="1"/>
  <c r="J47" i="9" l="1"/>
  <c r="K47" i="9" s="1"/>
  <c r="C47" i="9"/>
  <c r="H46" i="9"/>
  <c r="I46" i="9" s="1"/>
  <c r="L17" i="9"/>
  <c r="M16" i="9"/>
  <c r="C20" i="9"/>
  <c r="O19" i="9"/>
  <c r="H19" i="9"/>
  <c r="I19" i="9" s="1"/>
  <c r="Q19" i="9"/>
  <c r="F19" i="9"/>
  <c r="G19" i="9" s="1"/>
  <c r="D19" i="9"/>
  <c r="E19" i="9" s="1"/>
  <c r="J17" i="9"/>
  <c r="K16" i="9"/>
  <c r="B48" i="9"/>
  <c r="F48" i="9"/>
  <c r="G48" i="9" s="1"/>
  <c r="D48" i="9"/>
  <c r="E48" i="9" s="1"/>
  <c r="J48" i="9" l="1"/>
  <c r="K48" i="9" s="1"/>
  <c r="C48" i="9"/>
  <c r="H47" i="9"/>
  <c r="I47" i="9" s="1"/>
  <c r="J18" i="9"/>
  <c r="K17" i="9"/>
  <c r="D49" i="9"/>
  <c r="E49" i="9" s="1"/>
  <c r="F49" i="9"/>
  <c r="G49" i="9" s="1"/>
  <c r="Q20" i="9"/>
  <c r="H20" i="9"/>
  <c r="I20" i="9" s="1"/>
  <c r="D20" i="9"/>
  <c r="E20" i="9" s="1"/>
  <c r="C21" i="9"/>
  <c r="O20" i="9"/>
  <c r="F20" i="9"/>
  <c r="G20" i="9" s="1"/>
  <c r="B49" i="9"/>
  <c r="L18" i="9"/>
  <c r="M17" i="9"/>
  <c r="J49" i="9" l="1"/>
  <c r="K49" i="9" s="1"/>
  <c r="C49" i="9"/>
  <c r="H48" i="9"/>
  <c r="I48" i="9" s="1"/>
  <c r="B50" i="9"/>
  <c r="O21" i="9"/>
  <c r="Q21" i="9"/>
  <c r="H21" i="9"/>
  <c r="I21" i="9" s="1"/>
  <c r="F21" i="9"/>
  <c r="G21" i="9" s="1"/>
  <c r="D21" i="9"/>
  <c r="E21" i="9" s="1"/>
  <c r="C22" i="9"/>
  <c r="D50" i="9"/>
  <c r="E50" i="9" s="1"/>
  <c r="L19" i="9"/>
  <c r="M18" i="9"/>
  <c r="F50" i="9"/>
  <c r="G50" i="9" s="1"/>
  <c r="J19" i="9"/>
  <c r="K18" i="9"/>
  <c r="J50" i="9" l="1"/>
  <c r="K50" i="9" s="1"/>
  <c r="C50" i="9"/>
  <c r="H49" i="9"/>
  <c r="I49" i="9" s="1"/>
  <c r="F51" i="9"/>
  <c r="G51" i="9" s="1"/>
  <c r="D51" i="9"/>
  <c r="E51" i="9" s="1"/>
  <c r="Q22" i="9"/>
  <c r="C23" i="9"/>
  <c r="H22" i="9"/>
  <c r="I22" i="9" s="1"/>
  <c r="D22" i="9"/>
  <c r="E22" i="9" s="1"/>
  <c r="O22" i="9"/>
  <c r="F22" i="9"/>
  <c r="G22" i="9" s="1"/>
  <c r="B51" i="9"/>
  <c r="J20" i="9"/>
  <c r="K19" i="9"/>
  <c r="L20" i="9"/>
  <c r="M19" i="9"/>
  <c r="J51" i="9" l="1"/>
  <c r="K51" i="9" s="1"/>
  <c r="C51" i="9"/>
  <c r="H50" i="9"/>
  <c r="I50" i="9" s="1"/>
  <c r="J21" i="9"/>
  <c r="K20" i="9"/>
  <c r="C24" i="9"/>
  <c r="O23" i="9"/>
  <c r="H23" i="9"/>
  <c r="I23" i="9" s="1"/>
  <c r="F23" i="9"/>
  <c r="G23" i="9" s="1"/>
  <c r="D23" i="9"/>
  <c r="E23" i="9" s="1"/>
  <c r="Q23" i="9"/>
  <c r="D52" i="9"/>
  <c r="E52" i="9" s="1"/>
  <c r="L21" i="9"/>
  <c r="M20" i="9"/>
  <c r="B52" i="9"/>
  <c r="F52" i="9"/>
  <c r="G52" i="9" s="1"/>
  <c r="J52" i="9" l="1"/>
  <c r="K52" i="9" s="1"/>
  <c r="C52" i="9"/>
  <c r="H51" i="9"/>
  <c r="I51" i="9" s="1"/>
  <c r="B53" i="9"/>
  <c r="D53" i="9"/>
  <c r="E53" i="9" s="1"/>
  <c r="C25" i="9"/>
  <c r="O24" i="9"/>
  <c r="Q24" i="9"/>
  <c r="F24" i="9"/>
  <c r="G24" i="9" s="1"/>
  <c r="H24" i="9"/>
  <c r="I24" i="9" s="1"/>
  <c r="D24" i="9"/>
  <c r="E24" i="9" s="1"/>
  <c r="F53" i="9"/>
  <c r="G53" i="9" s="1"/>
  <c r="L22" i="9"/>
  <c r="M21" i="9"/>
  <c r="J22" i="9"/>
  <c r="K21" i="9"/>
  <c r="J53" i="9" l="1"/>
  <c r="K53" i="9" s="1"/>
  <c r="C53" i="9"/>
  <c r="H52" i="9"/>
  <c r="I52" i="9" s="1"/>
  <c r="J23" i="9"/>
  <c r="K22" i="9"/>
  <c r="D54" i="9"/>
  <c r="E54" i="9" s="1"/>
  <c r="L23" i="9"/>
  <c r="M22" i="9"/>
  <c r="F54" i="9"/>
  <c r="G54" i="9" s="1"/>
  <c r="O25" i="9"/>
  <c r="Q25" i="9"/>
  <c r="H25" i="9"/>
  <c r="I25" i="9" s="1"/>
  <c r="C26" i="9"/>
  <c r="F25" i="9"/>
  <c r="G25" i="9" s="1"/>
  <c r="D25" i="9"/>
  <c r="E25" i="9" s="1"/>
  <c r="B54" i="9"/>
  <c r="J54" i="9" l="1"/>
  <c r="K54" i="9" s="1"/>
  <c r="C54" i="9"/>
  <c r="H53" i="9"/>
  <c r="I53" i="9" s="1"/>
  <c r="F55" i="9"/>
  <c r="G55" i="9" s="1"/>
  <c r="D55" i="9"/>
  <c r="E55" i="9" s="1"/>
  <c r="B55" i="9"/>
  <c r="Q26" i="9"/>
  <c r="C27" i="9"/>
  <c r="H26" i="9"/>
  <c r="I26" i="9" s="1"/>
  <c r="D26" i="9"/>
  <c r="E26" i="9" s="1"/>
  <c r="O26" i="9"/>
  <c r="F26" i="9"/>
  <c r="G26" i="9" s="1"/>
  <c r="L24" i="9"/>
  <c r="M23" i="9"/>
  <c r="J24" i="9"/>
  <c r="K23" i="9"/>
  <c r="J55" i="9" l="1"/>
  <c r="K55" i="9" s="1"/>
  <c r="C55" i="9"/>
  <c r="H54" i="9"/>
  <c r="I54" i="9" s="1"/>
  <c r="L25" i="9"/>
  <c r="M24" i="9"/>
  <c r="D56" i="9"/>
  <c r="E56" i="9" s="1"/>
  <c r="J25" i="9"/>
  <c r="K24" i="9"/>
  <c r="C28" i="9"/>
  <c r="O27" i="9"/>
  <c r="H27" i="9"/>
  <c r="I27" i="9" s="1"/>
  <c r="Q27" i="9"/>
  <c r="F27" i="9"/>
  <c r="G27" i="9" s="1"/>
  <c r="D27" i="9"/>
  <c r="E27" i="9" s="1"/>
  <c r="B56" i="9"/>
  <c r="F56" i="9"/>
  <c r="G56" i="9" s="1"/>
  <c r="J56" i="9" l="1"/>
  <c r="K56" i="9" s="1"/>
  <c r="C56" i="9"/>
  <c r="H55" i="9"/>
  <c r="I55" i="9" s="1"/>
  <c r="B57" i="9"/>
  <c r="D57" i="9"/>
  <c r="E57" i="9" s="1"/>
  <c r="Q28" i="9"/>
  <c r="C29" i="9"/>
  <c r="H28" i="9"/>
  <c r="I28" i="9" s="1"/>
  <c r="D28" i="9"/>
  <c r="E28" i="9" s="1"/>
  <c r="O28" i="9"/>
  <c r="F28" i="9"/>
  <c r="G28" i="9" s="1"/>
  <c r="F57" i="9"/>
  <c r="G57" i="9" s="1"/>
  <c r="J26" i="9"/>
  <c r="K25" i="9"/>
  <c r="L26" i="9"/>
  <c r="M25" i="9"/>
  <c r="J57" i="9" l="1"/>
  <c r="K57" i="9" s="1"/>
  <c r="C57" i="9"/>
  <c r="H56" i="9"/>
  <c r="I56" i="9" s="1"/>
  <c r="O29" i="9"/>
  <c r="Q29" i="9"/>
  <c r="H29" i="9"/>
  <c r="I29" i="9" s="1"/>
  <c r="F29" i="9"/>
  <c r="G29" i="9" s="1"/>
  <c r="C30" i="9"/>
  <c r="D29" i="9"/>
  <c r="E29" i="9" s="1"/>
  <c r="J27" i="9"/>
  <c r="K26" i="9"/>
  <c r="D58" i="9"/>
  <c r="E58" i="9" s="1"/>
  <c r="B58" i="9"/>
  <c r="L27" i="9"/>
  <c r="M26" i="9"/>
  <c r="F58" i="9"/>
  <c r="G58" i="9" s="1"/>
  <c r="J58" i="9" l="1"/>
  <c r="K58" i="9" s="1"/>
  <c r="C58" i="9"/>
  <c r="H57" i="9"/>
  <c r="I57" i="9" s="1"/>
  <c r="L28" i="9"/>
  <c r="M27" i="9"/>
  <c r="D59" i="9"/>
  <c r="E59" i="9" s="1"/>
  <c r="Q30" i="9"/>
  <c r="Q31" i="9" s="1"/>
  <c r="H30" i="9"/>
  <c r="I30" i="9" s="1"/>
  <c r="I31" i="9" s="1"/>
  <c r="D30" i="9"/>
  <c r="E30" i="9" s="1"/>
  <c r="O30" i="9"/>
  <c r="O31" i="9" s="1"/>
  <c r="F30" i="9"/>
  <c r="G30" i="9" s="1"/>
  <c r="G31" i="9" s="1"/>
  <c r="B59" i="9"/>
  <c r="F59" i="9"/>
  <c r="G59" i="9" s="1"/>
  <c r="J28" i="9"/>
  <c r="K27" i="9"/>
  <c r="J59" i="9" l="1"/>
  <c r="K59" i="9" s="1"/>
  <c r="C59" i="9"/>
  <c r="H58" i="9"/>
  <c r="I58" i="9" s="1"/>
  <c r="J29" i="9"/>
  <c r="K28" i="9"/>
  <c r="B60" i="9"/>
  <c r="D31" i="9"/>
  <c r="D60" i="9"/>
  <c r="E60" i="9" s="1"/>
  <c r="F60" i="9"/>
  <c r="G60" i="9" s="1"/>
  <c r="L29" i="9"/>
  <c r="M28" i="9"/>
  <c r="J60" i="9" l="1"/>
  <c r="K60" i="9" s="1"/>
  <c r="C60" i="9"/>
  <c r="K61" i="9"/>
  <c r="J61" i="9"/>
  <c r="H59" i="9"/>
  <c r="I59" i="9" s="1"/>
  <c r="L30" i="9"/>
  <c r="M30" i="9" s="1"/>
  <c r="M29" i="9"/>
  <c r="G61" i="9"/>
  <c r="F61" i="9"/>
  <c r="C61" i="9"/>
  <c r="B61" i="9"/>
  <c r="B68" i="9" s="1"/>
  <c r="C68" i="9" s="1"/>
  <c r="E31" i="9"/>
  <c r="E61" i="9"/>
  <c r="D61" i="9"/>
  <c r="J30" i="9"/>
  <c r="K30" i="9" s="1"/>
  <c r="K29" i="9"/>
  <c r="H60" i="9" l="1"/>
  <c r="I60" i="9" s="1"/>
  <c r="B74" i="9"/>
  <c r="C74" i="9" s="1"/>
  <c r="B70" i="9"/>
  <c r="C70" i="9" s="1"/>
  <c r="B73" i="9"/>
  <c r="C73" i="9" s="1"/>
  <c r="B69" i="9"/>
  <c r="C69" i="9" s="1"/>
  <c r="F69" i="9"/>
  <c r="G69" i="9" s="1"/>
  <c r="F74" i="9"/>
  <c r="G74" i="9" s="1"/>
  <c r="F73" i="9"/>
  <c r="G73" i="9" s="1"/>
  <c r="F70" i="9"/>
  <c r="G70" i="9" s="1"/>
  <c r="F68" i="9"/>
  <c r="G68" i="9" s="1"/>
  <c r="K31" i="9"/>
  <c r="M31" i="9"/>
  <c r="F72" i="9" l="1"/>
  <c r="G72" i="9" s="1"/>
  <c r="B72" i="9"/>
  <c r="C72" i="9" s="1"/>
  <c r="F71" i="9"/>
  <c r="G71" i="9" s="1"/>
  <c r="B71" i="9"/>
  <c r="C71" i="9" s="1"/>
  <c r="I61" i="9"/>
  <c r="H61" i="9"/>
  <c r="D72" i="9" s="1"/>
  <c r="E72" i="9" s="1"/>
  <c r="D73" i="9" l="1"/>
  <c r="E73" i="9" s="1"/>
  <c r="D69" i="9"/>
  <c r="E69" i="9" s="1"/>
  <c r="D70" i="9"/>
  <c r="E70" i="9" s="1"/>
  <c r="D74" i="9"/>
  <c r="E74" i="9" s="1"/>
  <c r="D68" i="9"/>
  <c r="E68" i="9" s="1"/>
  <c r="D71" i="9"/>
  <c r="E71" i="9" s="1"/>
</calcChain>
</file>

<file path=xl/sharedStrings.xml><?xml version="1.0" encoding="utf-8"?>
<sst xmlns="http://schemas.openxmlformats.org/spreadsheetml/2006/main" count="565" uniqueCount="365">
  <si>
    <t>Monthly data (groundwater level - meters above sea level)</t>
  </si>
  <si>
    <t>12-month moving average data (gw level - m.a.s.l.)</t>
  </si>
  <si>
    <t>Yearly data (average gw level - m.a.s.l.)</t>
  </si>
  <si>
    <t>Monthly Precipitation
(mm)</t>
  </si>
  <si>
    <t>Year</t>
    <phoneticPr fontId="4"/>
  </si>
  <si>
    <t>Precipitation (mm)</t>
  </si>
  <si>
    <t>Yearly Precipitation (mm)</t>
  </si>
  <si>
    <t>Number of participating farmers (people)</t>
  </si>
  <si>
    <t>Average</t>
  </si>
  <si>
    <t>Total</t>
  </si>
  <si>
    <t>is equal to</t>
  </si>
  <si>
    <t>acres</t>
  </si>
  <si>
    <t>billion gallons</t>
  </si>
  <si>
    <t xml:space="preserve">or </t>
  </si>
  <si>
    <t>MGD</t>
  </si>
  <si>
    <t>Geology</t>
  </si>
  <si>
    <t>Alluvium and terrace</t>
  </si>
  <si>
    <t>Weathered zone</t>
  </si>
  <si>
    <t>Ariake clay</t>
  </si>
  <si>
    <t>Aso 4</t>
  </si>
  <si>
    <t>Lacustrine</t>
  </si>
  <si>
    <t>Aso 1-3</t>
  </si>
  <si>
    <t>Togawa lava</t>
  </si>
  <si>
    <t>Tertiary bed rock</t>
  </si>
  <si>
    <t>Hydraulic coefficient (cm/s)</t>
  </si>
  <si>
    <t>Effective porosity</t>
  </si>
  <si>
    <t>1.0 x 10^-2</t>
  </si>
  <si>
    <t>5.0 x 10^-5</t>
  </si>
  <si>
    <t>1.0 x 10^-5</t>
  </si>
  <si>
    <t>Surface soil</t>
  </si>
  <si>
    <t>1.0 x 10^-7</t>
  </si>
  <si>
    <t>1.0 x 10^-6 ~ 1.0 x 10^0</t>
  </si>
  <si>
    <t>4.0 x 10^-2</t>
  </si>
  <si>
    <t>Average:</t>
  </si>
  <si>
    <t>―</t>
    <phoneticPr fontId="0"/>
  </si>
  <si>
    <t>-129</t>
    <phoneticPr fontId="0"/>
  </si>
  <si>
    <t>-129.15</t>
    <phoneticPr fontId="0"/>
  </si>
  <si>
    <t>-47.3</t>
    <phoneticPr fontId="0"/>
  </si>
  <si>
    <t>-48.6</t>
    <phoneticPr fontId="0"/>
  </si>
  <si>
    <t>-96.73</t>
    <phoneticPr fontId="0"/>
  </si>
  <si>
    <t>-97.35</t>
    <phoneticPr fontId="0"/>
  </si>
  <si>
    <t>-91.99</t>
    <phoneticPr fontId="0"/>
  </si>
  <si>
    <t>-92.43</t>
    <phoneticPr fontId="0"/>
  </si>
  <si>
    <t>-120.84</t>
    <phoneticPr fontId="0"/>
  </si>
  <si>
    <t>-122.47</t>
    <phoneticPr fontId="0"/>
  </si>
  <si>
    <t>-75.77</t>
    <phoneticPr fontId="0"/>
  </si>
  <si>
    <t>-80.92</t>
    <phoneticPr fontId="0"/>
  </si>
  <si>
    <t>-182.47</t>
    <phoneticPr fontId="0"/>
  </si>
  <si>
    <t>-185.23</t>
    <phoneticPr fontId="0"/>
  </si>
  <si>
    <t>200</t>
  </si>
  <si>
    <t>400</t>
  </si>
  <si>
    <t>Location</t>
  </si>
  <si>
    <t>Energy (Kw)</t>
  </si>
  <si>
    <t>Power (V)</t>
  </si>
  <si>
    <t>Water level during pumping (m)</t>
  </si>
  <si>
    <t>Total subsidy amount (yen)</t>
  </si>
  <si>
    <t>Mashiki PW-3</t>
  </si>
  <si>
    <t>m3</t>
  </si>
  <si>
    <t>Year</t>
  </si>
  <si>
    <t>Mashiki PW-4</t>
  </si>
  <si>
    <t>Mashiki PW-5</t>
  </si>
  <si>
    <t>Mashiki PW-9</t>
  </si>
  <si>
    <t>Mink (1980), p 68, eqn 7:</t>
  </si>
  <si>
    <t>V = 41yS [h0x + 2/3bx^3/2]</t>
  </si>
  <si>
    <t>V=</t>
  </si>
  <si>
    <t>volume</t>
  </si>
  <si>
    <t>y=</t>
  </si>
  <si>
    <t>width of the aquifer</t>
  </si>
  <si>
    <t>S=</t>
  </si>
  <si>
    <t>effective porosity</t>
  </si>
  <si>
    <t>h0=</t>
  </si>
  <si>
    <t>initial head</t>
  </si>
  <si>
    <t>x=</t>
  </si>
  <si>
    <t>b=</t>
  </si>
  <si>
    <t>distance upgradient from x=0 (length of aquifer)</t>
  </si>
  <si>
    <t>(h-h0)/x^1/2</t>
  </si>
  <si>
    <t>0 if upper and lower surfaces flat instead of parabolic (h=h0 in that case)</t>
  </si>
  <si>
    <t>Then eqn (7) can be simplified as follows:</t>
  </si>
  <si>
    <t>V = 41ySx*h0</t>
  </si>
  <si>
    <t>dh/dV = 1/(41ySx)</t>
  </si>
  <si>
    <t>If V is measured in m3, y in m, x in m, h in m, and S has no units, then we are done</t>
  </si>
  <si>
    <t>To measure a change in h for a change in volume, we would apply the formula as follows</t>
  </si>
  <si>
    <t>dh = dV/(41ySx)</t>
  </si>
  <si>
    <t>Parameters for Kumamoto</t>
  </si>
  <si>
    <t>dV=</t>
  </si>
  <si>
    <t>dh=</t>
  </si>
  <si>
    <t>m</t>
  </si>
  <si>
    <t>kWh/m3</t>
  </si>
  <si>
    <t>(total volume for comparison if h=10 m)</t>
  </si>
  <si>
    <t>dV/V=</t>
  </si>
  <si>
    <t>(average estimated increase in recharge due to subsidy over the period 2004-2017)</t>
  </si>
  <si>
    <t>z=</t>
  </si>
  <si>
    <t>w=</t>
  </si>
  <si>
    <t>dz=</t>
  </si>
  <si>
    <t>Pumping distance to user (m)</t>
  </si>
  <si>
    <t>Electricity for annual pumping (kWh)</t>
  </si>
  <si>
    <t>Days pumped per year</t>
  </si>
  <si>
    <t>Screen depth (m)</t>
  </si>
  <si>
    <t>47-94</t>
  </si>
  <si>
    <t>Well depth (m)</t>
  </si>
  <si>
    <t>Average daily pumping (m3)</t>
  </si>
  <si>
    <t>Additional information</t>
  </si>
  <si>
    <t>Average annual pumping (m3)</t>
  </si>
  <si>
    <t>52-98</t>
  </si>
  <si>
    <t>51-111</t>
  </si>
  <si>
    <t>86-119</t>
  </si>
  <si>
    <t>Target area</t>
  </si>
  <si>
    <t>Water budget component</t>
  </si>
  <si>
    <t>Unit</t>
  </si>
  <si>
    <t>Case 1
no paddy</t>
  </si>
  <si>
    <t>Case 2
100% paddy</t>
  </si>
  <si>
    <t>Case 3
50% paddy</t>
  </si>
  <si>
    <t>Case 4
50% paddy + water ponding</t>
  </si>
  <si>
    <t>Ground surface
(Total Kumamoto area)</t>
  </si>
  <si>
    <t>Precipitation (2013)</t>
  </si>
  <si>
    <t>Evapotranspiration (2013)</t>
  </si>
  <si>
    <t>GW recharge (2013)
[including irrigation]</t>
  </si>
  <si>
    <t>million m3/yr</t>
  </si>
  <si>
    <t>mm/day</t>
  </si>
  <si>
    <t>Source: Model evaulation of artificial gw recharge at MSA PPT, slide 19</t>
  </si>
  <si>
    <t>No 2 aquifer top
(Total Kumamoto area)</t>
  </si>
  <si>
    <t>GW recharge</t>
  </si>
  <si>
    <t>GW uptake</t>
  </si>
  <si>
    <t>Does this mean withdrawals?</t>
  </si>
  <si>
    <t>Mid stream of
Shira river</t>
  </si>
  <si>
    <t>GW recharge from ground surface (including irrigation)</t>
  </si>
  <si>
    <t>GW recharge to No 2 aquifer</t>
  </si>
  <si>
    <t>Lake Ezu</t>
  </si>
  <si>
    <t>Discharge from ground surface</t>
  </si>
  <si>
    <t>Discharge from top of No 2 aquifer</t>
  </si>
  <si>
    <t>Aquifer (No 2) area:</t>
  </si>
  <si>
    <t>km2</t>
  </si>
  <si>
    <t>m2</t>
  </si>
  <si>
    <t>Conversion:</t>
  </si>
  <si>
    <t>Area in m2:</t>
  </si>
  <si>
    <t>m2/km2</t>
  </si>
  <si>
    <t>Thickness</t>
  </si>
  <si>
    <t>10-200</t>
  </si>
  <si>
    <t>Source: Takahiro Hisono</t>
  </si>
  <si>
    <t>Source: Jun Shimada</t>
  </si>
  <si>
    <t>Actually aquifer no 2 includes Aso 1-3 and Togawa lava but Jun said ok to use 0.2</t>
  </si>
  <si>
    <t>Electricity unit cost (JPY/kWh)</t>
  </si>
  <si>
    <t>y*x=</t>
  </si>
  <si>
    <t>(change due to ponding relative to total volume)</t>
  </si>
  <si>
    <t>Lift (m)</t>
  </si>
  <si>
    <t>z = .0044w + .1021</t>
  </si>
  <si>
    <t>Average (most recent 5 years) annual pumping from Kumamoto and Mashiki wells:</t>
  </si>
  <si>
    <t>Average price per kWh (most recent year for Kumamoto wells)=</t>
  </si>
  <si>
    <t>JPY/kWh</t>
  </si>
  <si>
    <t>Total change in energy cost=</t>
  </si>
  <si>
    <t>m3/year</t>
  </si>
  <si>
    <t>For a hypothetical 1 m increase in head</t>
  </si>
  <si>
    <t>kWh/year</t>
  </si>
  <si>
    <t>JPY/year</t>
  </si>
  <si>
    <t>Not sure how to interpret but maybe total recharge change is 10 (377-367) and of that 10 about 6 (212-206) goes to No 2 aquifer</t>
  </si>
  <si>
    <t>Total decrease in energy required=</t>
  </si>
  <si>
    <t>From the water depth and pump costs tab start with the relationship between lift and energy required</t>
  </si>
  <si>
    <t>Decrease in energy required per m3 pumped=</t>
  </si>
  <si>
    <t>Change in energy per change in lift:</t>
  </si>
  <si>
    <t>Change in energy per change in head:</t>
  </si>
  <si>
    <t>kWh/m3/m</t>
  </si>
  <si>
    <t>m3/yr</t>
  </si>
  <si>
    <t>Average annual pumping (most recent 5 yrs):</t>
  </si>
  <si>
    <t>Kumamoto (PW-6,8,10) and Mashiki (PW-3,4,5,9)</t>
  </si>
  <si>
    <t>Avg across Kumamoto PW-6,8,10</t>
  </si>
  <si>
    <t>Incremental head change (m/yr)</t>
  </si>
  <si>
    <t>Avg price of electricity for pumping (most recent yr):</t>
  </si>
  <si>
    <t>Cumulative head change (m)</t>
  </si>
  <si>
    <t>Cost saving (JPY)</t>
  </si>
  <si>
    <t>TOTAL:</t>
  </si>
  <si>
    <t>Year (J)</t>
  </si>
  <si>
    <t>Kumamoto PW-6</t>
  </si>
  <si>
    <t>Kumamoto PW-8</t>
  </si>
  <si>
    <t>Pumping (m3)</t>
  </si>
  <si>
    <t>Kumamoto PW-10</t>
  </si>
  <si>
    <t>Head level (m)</t>
  </si>
  <si>
    <t>Kumamoto OW-1</t>
  </si>
  <si>
    <t>Kumamoto OW-5</t>
  </si>
  <si>
    <t>Kumamoto OW-10</t>
  </si>
  <si>
    <t>Weather station</t>
  </si>
  <si>
    <t>Electricity expenditures (JPY)</t>
  </si>
  <si>
    <t>USD</t>
  </si>
  <si>
    <t>OW 10 goes with all Mashiki wells</t>
  </si>
  <si>
    <t>OW 5 goes with Kumamoto 10</t>
  </si>
  <si>
    <t>OW 1 goes with Kumamoto 6 and 8</t>
  </si>
  <si>
    <t>With constant precipitation, increase of 6 million m3/yr</t>
  </si>
  <si>
    <t>http://www.kumamoto-waterworks.jp/wp-content/uploads/020500.pdf</t>
  </si>
  <si>
    <t>(2006-2010)</t>
  </si>
  <si>
    <t>Average (last 5 years):</t>
  </si>
  <si>
    <t>http://www.kumamoto-waterworks.jp/wp-content/uploads/02(1).pdf</t>
  </si>
  <si>
    <t>(2010-2014)</t>
  </si>
  <si>
    <t>http://www.kumamoto-waterworks.jp/wp-content/uploads/28_2.pdf</t>
  </si>
  <si>
    <t>(2012-2016)</t>
  </si>
  <si>
    <t>Sources:</t>
  </si>
  <si>
    <t>Electric power consumption by water source area (kWh)</t>
  </si>
  <si>
    <t>Eletricity expenditure by water source area (JPY)</t>
  </si>
  <si>
    <t>Average (most recent year):</t>
  </si>
  <si>
    <t>1000 JPY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</si>
  <si>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</si>
  <si>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</si>
  <si>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</si>
  <si>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</si>
  <si>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</si>
  <si>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</si>
  <si>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</si>
  <si>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</si>
  <si>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</si>
  <si>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</si>
  <si>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</si>
  <si>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</si>
  <si>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</si>
  <si>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</si>
  <si>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</si>
  <si>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Agricultural income source: https://www.pref.kumamoto.jp/kiji_17143.html</t>
  </si>
  <si>
    <t>Number of households source: https://www.pref.kumamoto.jp/hpkiji/pub/List.aspx?c_id=3&amp;class_set_id=1&amp;class_id=5232</t>
  </si>
  <si>
    <t>Averge income source: https://www.pref.kumamoto.jp/kiji_9030.html</t>
  </si>
  <si>
    <t>million JPY</t>
  </si>
  <si>
    <t>Pumping Benefit (Cost Savings)</t>
  </si>
  <si>
    <t>Farmer Benefit (Avoided Income Loss)</t>
  </si>
  <si>
    <t xml:space="preserve">Ozu ag income </t>
  </si>
  <si>
    <t>Ozu farm households</t>
  </si>
  <si>
    <t>Ozu avg income per capita</t>
  </si>
  <si>
    <t>Ozu opp cost</t>
  </si>
  <si>
    <t>Kikuyo ag income</t>
  </si>
  <si>
    <t>Kikuyo farm households</t>
  </si>
  <si>
    <t>Ozu subsidized farms*</t>
  </si>
  <si>
    <t>*Calculated as proportion of total farms (Ozu+Kikuyo) x total # participating farmers in subsidy program</t>
  </si>
  <si>
    <t>Kikuyo subsidized farms*</t>
  </si>
  <si>
    <t>Kikuyo avg income per capita</t>
  </si>
  <si>
    <t>Kikuyo opp cost</t>
  </si>
  <si>
    <t>0.2 m/yr increase in head</t>
  </si>
  <si>
    <t>0.3 m/yr increase in head</t>
  </si>
  <si>
    <t>Sensitivity Analysis for Pumping</t>
  </si>
  <si>
    <t>Sensitivity Analysis for Ponding Recharge Effect on Head</t>
  </si>
  <si>
    <t>Energy price (JPY/kWh)</t>
  </si>
  <si>
    <t>Sensitivity Analysis for Energy Price</t>
  </si>
  <si>
    <t>Baseline Case</t>
  </si>
  <si>
    <t>1M m3 increase in pumping/yr</t>
  </si>
  <si>
    <t>1 M m3 decrease in pumping/yr</t>
  </si>
  <si>
    <t>Ozu avoided farm income loss</t>
  </si>
  <si>
    <t>JPY</t>
  </si>
  <si>
    <t>Kikuyo avoided farm income loss</t>
  </si>
  <si>
    <t>Ozu ag income per household</t>
  </si>
  <si>
    <t>Kikuyo ag income per household</t>
  </si>
  <si>
    <t>Combined avoided farm income loss</t>
  </si>
  <si>
    <t>Cost saving (USD)</t>
  </si>
  <si>
    <t>0.5 JPY/kWh increase/yr</t>
  </si>
  <si>
    <t>0.5 JPY/kWh decrease/yr</t>
  </si>
  <si>
    <t>Avoided Income Loss (USD)</t>
  </si>
  <si>
    <t>Avoided Income Loss (JPY)</t>
  </si>
  <si>
    <t>Minimum:</t>
  </si>
  <si>
    <t>Baseline</t>
  </si>
  <si>
    <t>Minimum</t>
  </si>
  <si>
    <t>Maximum</t>
  </si>
  <si>
    <t>Maximum:</t>
  </si>
  <si>
    <t>Annual subsidy cost (average 2004-2017):</t>
  </si>
  <si>
    <t>Average annual farm income (2004-2014):</t>
  </si>
  <si>
    <t>Minimum annual farm income (2004-2014):</t>
  </si>
  <si>
    <t>Maximum annual farm income (2004-2014):</t>
  </si>
  <si>
    <t>Baseline farmer benefit</t>
  </si>
  <si>
    <t>Baseline pumping benefit</t>
  </si>
  <si>
    <t>1M m3 decrease in pumping/yr</t>
  </si>
  <si>
    <t>0.5 JPY/kWh increase in energy price/yr</t>
  </si>
  <si>
    <t>0.5 JPY/kWh decrease in energy price/yr</t>
  </si>
  <si>
    <t>Total Net Benefit Over 20 Years</t>
  </si>
  <si>
    <t>JPY/USD</t>
  </si>
  <si>
    <t>Kengun PW-6</t>
  </si>
  <si>
    <t>Shoguchi PW-8</t>
  </si>
  <si>
    <t>Diff in head (ht-hmax)</t>
  </si>
  <si>
    <t>Annual intake (m3)</t>
  </si>
  <si>
    <t>Energy unit cost (JPY/kWh)</t>
  </si>
  <si>
    <t>Synergy loss (JPY)</t>
  </si>
  <si>
    <t>Takuma PW-10</t>
  </si>
  <si>
    <t>Energy unit cost (JPY/kWh)*</t>
  </si>
  <si>
    <t>* Unit energy costs for Mashiki PWs were not available so average across Kumamoto PWs was used</t>
  </si>
  <si>
    <t>SUMMARY AND TOTALS</t>
  </si>
  <si>
    <t>Synergy Loss (Nominal JPY)</t>
  </si>
  <si>
    <t>Synergy Loss (Real)</t>
  </si>
  <si>
    <t>Total (2018 USD)</t>
  </si>
  <si>
    <t>Total (1983-2016)</t>
  </si>
  <si>
    <t>Ozu</t>
  </si>
  <si>
    <t>Kikuyo</t>
  </si>
  <si>
    <t>Ag income (million JPY)</t>
  </si>
  <si>
    <t>Synergy loss (million JPY)</t>
  </si>
  <si>
    <t>Combined synergy loss</t>
  </si>
  <si>
    <t>Nominal</t>
  </si>
  <si>
    <t>Real (2018 values)*</t>
  </si>
  <si>
    <t>Real (million JPY)*</t>
  </si>
  <si>
    <t>Real (million USD)</t>
  </si>
  <si>
    <t>Total (1982-2015):</t>
  </si>
  <si>
    <t>* Real values calculated from https://www.statbureau.org/en/japan/inflation-calculators</t>
  </si>
  <si>
    <t>"All data and calculations are based on the official Consumer Price Indexes published monthly by the Statistics Bureau, Ministry of Internal Affairs and Communications"</t>
  </si>
  <si>
    <t>Impact of a 5 m decline in head level</t>
  </si>
  <si>
    <t>Pumping cost impact</t>
  </si>
  <si>
    <t>Cost due to a 5-m decline in head level:</t>
  </si>
  <si>
    <t>JPY/yr</t>
  </si>
  <si>
    <t>Tourism impact</t>
  </si>
  <si>
    <t>Lake Ezu is a symbol of Kumamoto and important for tourism</t>
  </si>
  <si>
    <t>Will dry up if gw level declines by an amount equal to lake depth:</t>
  </si>
  <si>
    <t>Time until a 5 m decline (based on Kikuyo OW-5 trend):</t>
  </si>
  <si>
    <t>yrs</t>
  </si>
  <si>
    <t>Number of tourists that visit park surrounding Lake Ezu:</t>
  </si>
  <si>
    <t>visitors/yr</t>
  </si>
  <si>
    <t>Total number of tourists that visit Kumamoto:</t>
  </si>
  <si>
    <t>Proportion of total tourists that visit Lake Ezu:</t>
  </si>
  <si>
    <t>Total tourist spending in Kumamoto:</t>
  </si>
  <si>
    <t>Proportional tourist spending at Lake Ezu:</t>
  </si>
  <si>
    <t xml:space="preserve">Source: 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</si>
  <si>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</si>
  <si>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</si>
  <si>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</si>
  <si>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</si>
  <si>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</si>
  <si>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</si>
  <si>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</si>
  <si>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</si>
  <si>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</si>
  <si>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</si>
  <si>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</si>
  <si>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</t>
  </si>
  <si>
    <t>S63</t>
  </si>
  <si>
    <t>S62</t>
  </si>
  <si>
    <t>S57</t>
  </si>
  <si>
    <t>S58</t>
  </si>
  <si>
    <t>S59</t>
  </si>
  <si>
    <t>S60</t>
  </si>
  <si>
    <t>S61</t>
  </si>
  <si>
    <t>50% of Baseline</t>
  </si>
  <si>
    <t>25% of Baseline</t>
  </si>
  <si>
    <t>50% of baseline farmer benefit</t>
  </si>
  <si>
    <t>25% of baseline farmer benefit</t>
  </si>
  <si>
    <t>Exchange rate:</t>
  </si>
  <si>
    <t>Exchange rate (11/26/18):</t>
  </si>
  <si>
    <t>USD/yr</t>
  </si>
  <si>
    <t>Static water level (m)</t>
  </si>
  <si>
    <t>Total (2018 JPY)</t>
  </si>
  <si>
    <t>Kumamoto City (2017): Tourist Statistic 2017 in Kumamoto City, 21pp</t>
  </si>
  <si>
    <t>Kumamoto OW-1 (Suizenji)</t>
    <phoneticPr fontId="21"/>
  </si>
  <si>
    <t>Kumamoto OW-5 (Kikuyo)</t>
    <phoneticPr fontId="21"/>
  </si>
  <si>
    <t>Kumamoto OW-10
(Mashiki)</t>
    <phoneticPr fontId="21"/>
  </si>
  <si>
    <t>Kumamoto OW-10 (Mashiki)</t>
    <phoneticPr fontId="21"/>
  </si>
  <si>
    <t>Yanagimizu 3rd water source</t>
    <phoneticPr fontId="21"/>
  </si>
  <si>
    <t>Muro water source</t>
    <phoneticPr fontId="21"/>
  </si>
  <si>
    <t>Okino 2nd water source</t>
    <phoneticPr fontId="21"/>
  </si>
  <si>
    <t>Horikawa water source</t>
    <phoneticPr fontId="21"/>
  </si>
  <si>
    <t>Hirakawa 1st water source</t>
    <phoneticPr fontId="21"/>
  </si>
  <si>
    <t>Hirakawa 2nd water source</t>
    <phoneticPr fontId="21"/>
  </si>
  <si>
    <t>Tsutsujidai 2nd water source</t>
    <phoneticPr fontId="21"/>
  </si>
  <si>
    <t>Hiyoshigaoka 2nd water source</t>
    <phoneticPr fontId="21"/>
  </si>
  <si>
    <t>Isemaebaru 2nd water source</t>
    <phoneticPr fontId="21"/>
  </si>
  <si>
    <t>Takaono 2nd water source</t>
    <phoneticPr fontId="21"/>
  </si>
  <si>
    <t>Caliber (mm)</t>
    <phoneticPr fontId="21"/>
  </si>
  <si>
    <r>
      <t>Flow rate (m</t>
    </r>
    <r>
      <rPr>
        <b/>
        <vertAlign val="superscript"/>
        <sz val="12"/>
        <color indexed="8"/>
        <rFont val="游ゴシック"/>
        <family val="3"/>
        <charset val="128"/>
        <scheme val="minor"/>
      </rPr>
      <t>3</t>
    </r>
    <r>
      <rPr>
        <b/>
        <sz val="12"/>
        <color indexed="8"/>
        <rFont val="游ゴシック"/>
        <family val="2"/>
        <scheme val="minor"/>
      </rPr>
      <t>/min)</t>
    </r>
    <phoneticPr fontId="21"/>
  </si>
  <si>
    <r>
      <t>Annual amount of water pumped per well (m</t>
    </r>
    <r>
      <rPr>
        <b/>
        <vertAlign val="superscript"/>
        <sz val="12"/>
        <color indexed="8"/>
        <rFont val="游ゴシック"/>
        <family val="3"/>
        <charset val="128"/>
        <scheme val="minor"/>
      </rPr>
      <t>3</t>
    </r>
    <r>
      <rPr>
        <b/>
        <sz val="12"/>
        <color indexed="8"/>
        <rFont val="游ゴシック"/>
        <family val="2"/>
        <scheme val="minor"/>
      </rPr>
      <t>)</t>
    </r>
    <phoneticPr fontId="21"/>
  </si>
  <si>
    <r>
      <t>Electric energy per pumped amount (kWh/m</t>
    </r>
    <r>
      <rPr>
        <b/>
        <vertAlign val="superscript"/>
        <sz val="12"/>
        <rFont val="游ゴシック"/>
        <family val="3"/>
        <charset val="128"/>
        <scheme val="minor"/>
      </rPr>
      <t>3</t>
    </r>
    <r>
      <rPr>
        <b/>
        <sz val="12"/>
        <rFont val="游ゴシック"/>
        <family val="2"/>
        <scheme val="minor"/>
      </rPr>
      <t>)</t>
    </r>
    <phoneticPr fontId="21"/>
  </si>
  <si>
    <t>PW-6 Kengun</t>
    <phoneticPr fontId="21"/>
  </si>
  <si>
    <t>PW-8 Shoguchi</t>
    <phoneticPr fontId="21"/>
  </si>
  <si>
    <t>PW-10 Takuma</t>
    <phoneticPr fontId="21"/>
  </si>
  <si>
    <r>
      <t>Annual water intake by source area (m</t>
    </r>
    <r>
      <rPr>
        <b/>
        <vertAlign val="superscript"/>
        <sz val="14"/>
        <color theme="1"/>
        <rFont val="游ゴシック"/>
        <family val="3"/>
        <charset val="128"/>
        <scheme val="minor"/>
      </rPr>
      <t>3</t>
    </r>
    <r>
      <rPr>
        <b/>
        <sz val="14"/>
        <color theme="1"/>
        <rFont val="游ゴシック"/>
        <family val="2"/>
        <scheme val="minor"/>
      </rPr>
      <t>)</t>
    </r>
    <phoneticPr fontId="21"/>
  </si>
  <si>
    <r>
      <t>Electricity required per unit of water (kWh/m</t>
    </r>
    <r>
      <rPr>
        <b/>
        <vertAlign val="superscript"/>
        <sz val="14"/>
        <color theme="1"/>
        <rFont val="游ゴシック"/>
        <family val="3"/>
        <charset val="128"/>
        <scheme val="minor"/>
      </rPr>
      <t>3</t>
    </r>
    <r>
      <rPr>
        <b/>
        <sz val="14"/>
        <color theme="1"/>
        <rFont val="游ゴシック"/>
        <family val="2"/>
        <scheme val="minor"/>
      </rPr>
      <t>)</t>
    </r>
    <phoneticPr fontId="21"/>
  </si>
  <si>
    <r>
      <t>Electricity cost per unit of water (JPY/m</t>
    </r>
    <r>
      <rPr>
        <b/>
        <vertAlign val="superscript"/>
        <sz val="14"/>
        <color theme="1"/>
        <rFont val="游ゴシック"/>
        <family val="3"/>
        <charset val="128"/>
        <scheme val="minor"/>
      </rPr>
      <t>3</t>
    </r>
    <r>
      <rPr>
        <b/>
        <sz val="14"/>
        <color theme="1"/>
        <rFont val="游ゴシック"/>
        <family val="2"/>
        <scheme val="minor"/>
      </rPr>
      <t>)</t>
    </r>
    <phoneticPr fontId="21"/>
  </si>
  <si>
    <r>
      <t>Pumped quantity (m</t>
    </r>
    <r>
      <rPr>
        <b/>
        <vertAlign val="superscript"/>
        <sz val="12"/>
        <color theme="1"/>
        <rFont val="游ゴシック"/>
        <family val="3"/>
        <charset val="128"/>
        <scheme val="minor"/>
      </rPr>
      <t>3</t>
    </r>
    <r>
      <rPr>
        <b/>
        <sz val="12"/>
        <color theme="1"/>
        <rFont val="游ゴシック"/>
        <family val="2"/>
        <scheme val="minor"/>
      </rPr>
      <t>)</t>
    </r>
    <phoneticPr fontId="21"/>
  </si>
  <si>
    <r>
      <t>Paddy field area (m</t>
    </r>
    <r>
      <rPr>
        <vertAlign val="superscript"/>
        <sz val="12"/>
        <color theme="1"/>
        <rFont val="游ゴシック"/>
        <family val="3"/>
        <charset val="128"/>
        <scheme val="minor"/>
      </rPr>
      <t>2</t>
    </r>
    <r>
      <rPr>
        <sz val="12"/>
        <color theme="1"/>
        <rFont val="游ゴシック"/>
        <family val="2"/>
        <charset val="204"/>
        <scheme val="minor"/>
      </rPr>
      <t>)</t>
    </r>
    <phoneticPr fontId="21"/>
  </si>
  <si>
    <r>
      <t>Estimated amount of recharge (m</t>
    </r>
    <r>
      <rPr>
        <vertAlign val="superscript"/>
        <sz val="12"/>
        <color theme="1"/>
        <rFont val="游ゴシック"/>
        <family val="3"/>
        <charset val="128"/>
        <scheme val="minor"/>
      </rPr>
      <t>3</t>
    </r>
    <r>
      <rPr>
        <sz val="12"/>
        <color theme="1"/>
        <rFont val="游ゴシック"/>
        <family val="2"/>
        <charset val="204"/>
        <scheme val="minor"/>
      </rPr>
      <t>)</t>
    </r>
    <phoneticPr fontId="21"/>
  </si>
  <si>
    <r>
      <t>Pumping (m</t>
    </r>
    <r>
      <rPr>
        <b/>
        <vertAlign val="superscript"/>
        <sz val="14"/>
        <color theme="1"/>
        <rFont val="游ゴシック"/>
        <family val="3"/>
        <charset val="128"/>
        <scheme val="minor"/>
      </rPr>
      <t>3</t>
    </r>
    <r>
      <rPr>
        <b/>
        <sz val="14"/>
        <color theme="1"/>
        <rFont val="游ゴシック"/>
        <family val="2"/>
        <scheme val="minor"/>
      </rPr>
      <t>)</t>
    </r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</si>
</sst>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[$-409]mmm\-yy;@"/>
    <numFmt numFmtId="178" formatCode="0.00_ "/>
    <numFmt numFmtId="179" formatCode="0.0_);[Red]\(0.0\)"/>
    <numFmt numFmtId="180" formatCode="0_ "/>
    <numFmt numFmtId="181" formatCode="0.00000000"/>
    <numFmt numFmtId="182" formatCode="0.0000"/>
    <numFmt numFmtId="183" formatCode="&quot;$&quot;#,##0"/>
    <numFmt numFmtId="184" formatCode="&quot;$&quot;#,##0.00"/>
  </numFmts>
  <fonts count="27" x14ac:knownFonts="1">
    <font>
      <sz val="12"/>
      <color theme="1"/>
      <name val="游ゴシック"/>
      <family val="2"/>
      <charset val="204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b/>
      <u/>
      <sz val="12"/>
      <color theme="1"/>
      <name val="游ゴシック"/>
      <family val="2"/>
      <scheme val="minor"/>
    </font>
    <font>
      <u/>
      <sz val="12"/>
      <color theme="1"/>
      <name val="游ゴシック"/>
      <family val="2"/>
      <scheme val="minor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Arial"/>
      <family val="2"/>
    </font>
    <font>
      <sz val="14"/>
      <name val="游ゴシック"/>
      <family val="2"/>
      <scheme val="minor"/>
    </font>
    <font>
      <b/>
      <sz val="12"/>
      <color indexed="8"/>
      <name val="游ゴシック"/>
      <family val="2"/>
      <scheme val="minor"/>
    </font>
    <font>
      <sz val="12"/>
      <name val="游ゴシック"/>
      <family val="2"/>
      <scheme val="minor"/>
    </font>
    <font>
      <sz val="12"/>
      <color indexed="8"/>
      <name val="游ゴシック"/>
      <family val="2"/>
      <scheme val="minor"/>
    </font>
    <font>
      <b/>
      <sz val="12"/>
      <name val="游ゴシック"/>
      <family val="2"/>
      <scheme val="minor"/>
    </font>
    <font>
      <sz val="12"/>
      <color rgb="FFFF0000"/>
      <name val="游ゴシック"/>
      <family val="2"/>
      <scheme val="minor"/>
    </font>
    <font>
      <b/>
      <sz val="14"/>
      <color theme="1"/>
      <name val="游ゴシック"/>
      <family val="2"/>
      <scheme val="minor"/>
    </font>
    <font>
      <u/>
      <sz val="12"/>
      <color theme="10"/>
      <name val="游ゴシック"/>
      <family val="2"/>
      <scheme val="minor"/>
    </font>
    <font>
      <u/>
      <sz val="12"/>
      <color theme="11"/>
      <name val="游ゴシック"/>
      <family val="2"/>
      <scheme val="minor"/>
    </font>
    <font>
      <i/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vertAlign val="superscript"/>
      <sz val="12"/>
      <color indexed="8"/>
      <name val="游ゴシック"/>
      <family val="3"/>
      <charset val="128"/>
      <scheme val="minor"/>
    </font>
    <font>
      <b/>
      <vertAlign val="superscript"/>
      <sz val="12"/>
      <name val="游ゴシック"/>
      <family val="3"/>
      <charset val="128"/>
      <scheme val="minor"/>
    </font>
    <font>
      <b/>
      <vertAlign val="superscript"/>
      <sz val="14"/>
      <color theme="1"/>
      <name val="游ゴシック"/>
      <family val="3"/>
      <charset val="128"/>
      <scheme val="minor"/>
    </font>
    <font>
      <b/>
      <vertAlign val="superscript"/>
      <sz val="12"/>
      <color theme="1"/>
      <name val="游ゴシック"/>
      <family val="3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76" fontId="4" fillId="0" borderId="0" applyFont="0" applyFill="0" applyBorder="0" applyAlignment="0" applyProtection="0"/>
    <xf numFmtId="0" fontId="9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6" fillId="0" borderId="0" xfId="0" applyFont="1"/>
    <xf numFmtId="0" fontId="0" fillId="0" borderId="0" xfId="0" applyFont="1"/>
    <xf numFmtId="0" fontId="5" fillId="0" borderId="0" xfId="0" applyFont="1" applyAlignment="1">
      <alignment horizontal="right"/>
    </xf>
    <xf numFmtId="2" fontId="5" fillId="0" borderId="0" xfId="0" applyNumberFormat="1" applyFont="1"/>
    <xf numFmtId="178" fontId="8" fillId="0" borderId="0" xfId="0" applyNumberFormat="1" applyFont="1" applyFill="1"/>
    <xf numFmtId="0" fontId="8" fillId="0" borderId="0" xfId="0" applyFont="1" applyFill="1" applyAlignment="1">
      <alignment horizontal="center"/>
    </xf>
    <xf numFmtId="179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/>
    <xf numFmtId="0" fontId="8" fillId="0" borderId="0" xfId="0" applyFont="1" applyFill="1"/>
    <xf numFmtId="0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10" fillId="0" borderId="0" xfId="0" applyNumberFormat="1" applyFont="1" applyFill="1"/>
    <xf numFmtId="0" fontId="13" fillId="0" borderId="0" xfId="0" applyNumberFormat="1" applyFont="1" applyFill="1" applyAlignment="1">
      <alignment horizontal="center" vertical="center"/>
    </xf>
    <xf numFmtId="49" fontId="12" fillId="0" borderId="0" xfId="2" applyNumberFormat="1" applyFont="1" applyFill="1" applyBorder="1" applyAlignment="1">
      <alignment horizontal="center" vertical="center" wrapText="1"/>
    </xf>
    <xf numFmtId="0" fontId="14" fillId="0" borderId="0" xfId="2" applyNumberFormat="1" applyFont="1" applyFill="1" applyBorder="1" applyAlignment="1">
      <alignment horizontal="center" vertical="center" wrapText="1"/>
    </xf>
    <xf numFmtId="178" fontId="14" fillId="0" borderId="0" xfId="2" applyNumberFormat="1" applyFont="1" applyFill="1" applyBorder="1" applyAlignment="1">
      <alignment horizontal="center" vertical="center" wrapText="1"/>
    </xf>
    <xf numFmtId="180" fontId="14" fillId="0" borderId="0" xfId="2" applyNumberFormat="1" applyFont="1" applyFill="1" applyBorder="1" applyAlignment="1">
      <alignment horizontal="center" vertical="center" wrapText="1"/>
    </xf>
    <xf numFmtId="179" fontId="14" fillId="0" borderId="0" xfId="2" applyNumberFormat="1" applyFont="1" applyFill="1" applyBorder="1" applyAlignment="1">
      <alignment horizontal="center" vertical="center" wrapText="1"/>
    </xf>
    <xf numFmtId="49" fontId="14" fillId="0" borderId="0" xfId="2" applyNumberFormat="1" applyFont="1" applyFill="1" applyBorder="1" applyAlignment="1">
      <alignment horizontal="center" vertical="center" wrapText="1"/>
    </xf>
    <xf numFmtId="49" fontId="13" fillId="0" borderId="0" xfId="2" applyNumberFormat="1" applyFont="1" applyFill="1" applyBorder="1" applyAlignment="1">
      <alignment horizontal="center" vertical="center" wrapText="1"/>
    </xf>
    <xf numFmtId="176" fontId="14" fillId="0" borderId="0" xfId="1" applyFont="1" applyFill="1" applyBorder="1" applyAlignment="1">
      <alignment horizontal="center" vertical="center" wrapText="1"/>
    </xf>
    <xf numFmtId="0" fontId="11" fillId="0" borderId="0" xfId="0" applyFont="1" applyFill="1"/>
    <xf numFmtId="3" fontId="0" fillId="0" borderId="0" xfId="0" applyNumberFormat="1"/>
    <xf numFmtId="3" fontId="0" fillId="0" borderId="0" xfId="0" applyNumberFormat="1" applyAlignment="1"/>
    <xf numFmtId="2" fontId="0" fillId="0" borderId="0" xfId="0" applyNumberFormat="1"/>
    <xf numFmtId="181" fontId="0" fillId="0" borderId="0" xfId="0" applyNumberFormat="1"/>
    <xf numFmtId="0" fontId="0" fillId="2" borderId="0" xfId="0" applyFill="1"/>
    <xf numFmtId="0" fontId="0" fillId="0" borderId="0" xfId="0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0" fontId="16" fillId="0" borderId="0" xfId="0" applyFont="1" applyFill="1"/>
    <xf numFmtId="0" fontId="16" fillId="0" borderId="0" xfId="0" applyFont="1"/>
    <xf numFmtId="0" fontId="17" fillId="0" borderId="0" xfId="0" applyFont="1"/>
    <xf numFmtId="0" fontId="0" fillId="0" borderId="0" xfId="0" applyBorder="1"/>
    <xf numFmtId="0" fontId="5" fillId="0" borderId="0" xfId="0" applyFont="1" applyBorder="1" applyAlignment="1">
      <alignment wrapText="1"/>
    </xf>
    <xf numFmtId="49" fontId="13" fillId="0" borderId="0" xfId="0" applyNumberFormat="1" applyFont="1" applyFill="1" applyAlignment="1">
      <alignment horizontal="center" vertical="center"/>
    </xf>
    <xf numFmtId="1" fontId="0" fillId="0" borderId="0" xfId="0" applyNumberFormat="1"/>
    <xf numFmtId="4" fontId="0" fillId="0" borderId="0" xfId="0" applyNumberFormat="1"/>
    <xf numFmtId="0" fontId="8" fillId="0" borderId="0" xfId="0" applyNumberFormat="1" applyFont="1" applyFill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/>
    <xf numFmtId="0" fontId="0" fillId="0" borderId="0" xfId="0" applyFont="1" applyAlignment="1">
      <alignment horizontal="right"/>
    </xf>
    <xf numFmtId="3" fontId="0" fillId="0" borderId="0" xfId="0" applyNumberFormat="1" applyFont="1" applyAlignment="1">
      <alignment wrapText="1"/>
    </xf>
    <xf numFmtId="0" fontId="18" fillId="0" borderId="0" xfId="5"/>
    <xf numFmtId="3" fontId="0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0" xfId="0" applyNumberFormat="1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0" xfId="0" applyFill="1" applyBorder="1"/>
    <xf numFmtId="0" fontId="0" fillId="0" borderId="6" xfId="0" applyBorder="1"/>
    <xf numFmtId="183" fontId="0" fillId="0" borderId="6" xfId="0" applyNumberFormat="1" applyBorder="1"/>
    <xf numFmtId="3" fontId="0" fillId="0" borderId="0" xfId="0" applyNumberFormat="1" applyFill="1"/>
    <xf numFmtId="0" fontId="5" fillId="0" borderId="0" xfId="0" applyFont="1" applyFill="1" applyAlignment="1">
      <alignment wrapText="1"/>
    </xf>
    <xf numFmtId="183" fontId="0" fillId="0" borderId="0" xfId="0" applyNumberFormat="1" applyFill="1"/>
    <xf numFmtId="3" fontId="0" fillId="0" borderId="0" xfId="0" applyNumberFormat="1" applyFill="1" applyBorder="1"/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6" xfId="0" applyFill="1" applyBorder="1" applyAlignment="1">
      <alignment wrapText="1"/>
    </xf>
    <xf numFmtId="3" fontId="0" fillId="0" borderId="6" xfId="0" applyNumberFormat="1" applyFill="1" applyBorder="1"/>
    <xf numFmtId="3" fontId="0" fillId="0" borderId="5" xfId="0" applyNumberFormat="1" applyFill="1" applyBorder="1"/>
    <xf numFmtId="2" fontId="0" fillId="0" borderId="5" xfId="0" applyNumberFormat="1" applyFill="1" applyBorder="1"/>
    <xf numFmtId="2" fontId="0" fillId="0" borderId="0" xfId="0" applyNumberFormat="1" applyFill="1" applyBorder="1"/>
    <xf numFmtId="0" fontId="3" fillId="0" borderId="0" xfId="0" applyFont="1"/>
    <xf numFmtId="3" fontId="3" fillId="0" borderId="0" xfId="0" applyNumberFormat="1" applyFont="1"/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6" xfId="0" applyFont="1" applyFill="1" applyBorder="1" applyAlignment="1">
      <alignment wrapText="1"/>
    </xf>
    <xf numFmtId="3" fontId="0" fillId="0" borderId="5" xfId="0" applyNumberFormat="1" applyBorder="1"/>
    <xf numFmtId="184" fontId="3" fillId="0" borderId="0" xfId="0" applyNumberFormat="1" applyFont="1"/>
    <xf numFmtId="0" fontId="20" fillId="0" borderId="5" xfId="0" applyFont="1" applyBorder="1"/>
    <xf numFmtId="0" fontId="20" fillId="0" borderId="6" xfId="0" applyFont="1" applyBorder="1"/>
    <xf numFmtId="0" fontId="20" fillId="0" borderId="0" xfId="0" applyFont="1" applyBorder="1"/>
    <xf numFmtId="4" fontId="0" fillId="0" borderId="0" xfId="0" applyNumberFormat="1" applyBorder="1"/>
    <xf numFmtId="3" fontId="0" fillId="0" borderId="6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8" xfId="0" applyNumberFormat="1" applyBorder="1"/>
    <xf numFmtId="3" fontId="0" fillId="0" borderId="7" xfId="0" applyNumberFormat="1" applyBorder="1"/>
    <xf numFmtId="4" fontId="0" fillId="0" borderId="1" xfId="0" applyNumberFormat="1" applyBorder="1"/>
    <xf numFmtId="3" fontId="0" fillId="0" borderId="8" xfId="0" applyNumberFormat="1" applyBorder="1"/>
    <xf numFmtId="0" fontId="20" fillId="0" borderId="0" xfId="0" applyFont="1"/>
    <xf numFmtId="2" fontId="0" fillId="0" borderId="0" xfId="0" applyNumberFormat="1" applyBorder="1"/>
    <xf numFmtId="2" fontId="0" fillId="0" borderId="1" xfId="0" applyNumberFormat="1" applyBorder="1"/>
    <xf numFmtId="0" fontId="20" fillId="0" borderId="0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184" fontId="0" fillId="0" borderId="6" xfId="0" applyNumberFormat="1" applyBorder="1"/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wrapText="1"/>
    </xf>
    <xf numFmtId="2" fontId="0" fillId="0" borderId="7" xfId="0" applyNumberFormat="1" applyFill="1" applyBorder="1"/>
    <xf numFmtId="3" fontId="3" fillId="0" borderId="5" xfId="0" applyNumberFormat="1" applyFont="1" applyFill="1" applyBorder="1" applyAlignment="1">
      <alignment horizontal="center"/>
    </xf>
    <xf numFmtId="183" fontId="3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183" fontId="3" fillId="0" borderId="8" xfId="0" applyNumberFormat="1" applyFont="1" applyFill="1" applyBorder="1" applyAlignment="1">
      <alignment horizontal="center"/>
    </xf>
    <xf numFmtId="184" fontId="0" fillId="0" borderId="0" xfId="0" applyNumberFormat="1"/>
    <xf numFmtId="0" fontId="0" fillId="0" borderId="1" xfId="0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78" fontId="12" fillId="0" borderId="0" xfId="2" applyNumberFormat="1" applyFont="1" applyFill="1" applyBorder="1" applyAlignment="1">
      <alignment horizontal="center" vertical="center" wrapText="1"/>
    </xf>
    <xf numFmtId="179" fontId="12" fillId="0" borderId="0" xfId="2" applyNumberFormat="1" applyFont="1" applyFill="1" applyBorder="1" applyAlignment="1">
      <alignment horizontal="center" vertical="center" wrapText="1"/>
    </xf>
    <xf numFmtId="0" fontId="12" fillId="0" borderId="0" xfId="2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vertical="center" wrapText="1"/>
    </xf>
    <xf numFmtId="0" fontId="16" fillId="0" borderId="0" xfId="0" applyFont="1" applyFill="1" applyBorder="1"/>
    <xf numFmtId="0" fontId="17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182" fontId="0" fillId="0" borderId="0" xfId="0" applyNumberFormat="1" applyFont="1" applyFill="1" applyBorder="1" applyAlignment="1">
      <alignment wrapText="1"/>
    </xf>
    <xf numFmtId="182" fontId="2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horizontal="right"/>
    </xf>
    <xf numFmtId="182" fontId="0" fillId="0" borderId="0" xfId="0" applyNumberFormat="1" applyFill="1" applyBorder="1"/>
    <xf numFmtId="182" fontId="5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3" fontId="5" fillId="0" borderId="0" xfId="0" applyNumberFormat="1" applyFont="1" applyFill="1"/>
    <xf numFmtId="0" fontId="1" fillId="0" borderId="0" xfId="0" applyFont="1" applyFill="1"/>
    <xf numFmtId="2" fontId="1" fillId="0" borderId="0" xfId="0" applyNumberFormat="1" applyFont="1" applyFill="1"/>
    <xf numFmtId="1" fontId="1" fillId="0" borderId="0" xfId="0" applyNumberFormat="1" applyFont="1" applyFill="1"/>
    <xf numFmtId="3" fontId="1" fillId="0" borderId="0" xfId="0" applyNumberFormat="1" applyFont="1" applyFill="1"/>
    <xf numFmtId="183" fontId="1" fillId="0" borderId="0" xfId="0" applyNumberFormat="1" applyFont="1" applyFill="1"/>
    <xf numFmtId="183" fontId="0" fillId="0" borderId="6" xfId="0" applyNumberFormat="1" applyFill="1" applyBorder="1"/>
    <xf numFmtId="0" fontId="0" fillId="0" borderId="5" xfId="0" applyFill="1" applyBorder="1"/>
    <xf numFmtId="0" fontId="5" fillId="0" borderId="1" xfId="0" applyFont="1" applyFill="1" applyBorder="1" applyAlignment="1">
      <alignment horizontal="right"/>
    </xf>
    <xf numFmtId="3" fontId="5" fillId="0" borderId="1" xfId="0" applyNumberFormat="1" applyFont="1" applyFill="1" applyBorder="1"/>
    <xf numFmtId="183" fontId="5" fillId="0" borderId="8" xfId="0" applyNumberFormat="1" applyFont="1" applyFill="1" applyBorder="1"/>
    <xf numFmtId="0" fontId="0" fillId="0" borderId="1" xfId="0" applyFill="1" applyBorder="1"/>
    <xf numFmtId="0" fontId="5" fillId="0" borderId="1" xfId="0" applyFont="1" applyFill="1" applyBorder="1"/>
    <xf numFmtId="3" fontId="5" fillId="0" borderId="8" xfId="0" applyNumberFormat="1" applyFont="1" applyFill="1" applyBorder="1"/>
    <xf numFmtId="0" fontId="5" fillId="0" borderId="7" xfId="0" applyFont="1" applyFill="1" applyBorder="1"/>
    <xf numFmtId="3" fontId="3" fillId="0" borderId="0" xfId="0" applyNumberFormat="1" applyFont="1" applyFill="1"/>
    <xf numFmtId="0" fontId="3" fillId="0" borderId="0" xfId="0" applyFont="1" applyFill="1"/>
    <xf numFmtId="0" fontId="5" fillId="0" borderId="7" xfId="0" applyFont="1" applyFill="1" applyBorder="1" applyAlignment="1">
      <alignment horizontal="right"/>
    </xf>
    <xf numFmtId="3" fontId="5" fillId="0" borderId="7" xfId="0" applyNumberFormat="1" applyFont="1" applyFill="1" applyBorder="1"/>
    <xf numFmtId="0" fontId="17" fillId="0" borderId="0" xfId="0" applyFont="1" applyFill="1"/>
    <xf numFmtId="184" fontId="3" fillId="0" borderId="0" xfId="0" applyNumberFormat="1" applyFont="1" applyFill="1"/>
    <xf numFmtId="3" fontId="0" fillId="0" borderId="0" xfId="0" applyNumberFormat="1" applyFill="1" applyBorder="1" applyAlignment="1">
      <alignment horizontal="center"/>
    </xf>
    <xf numFmtId="0" fontId="5" fillId="0" borderId="0" xfId="0" applyFont="1" applyFill="1" applyBorder="1"/>
    <xf numFmtId="0" fontId="20" fillId="0" borderId="0" xfId="0" applyFont="1" applyFill="1" applyBorder="1"/>
    <xf numFmtId="0" fontId="0" fillId="0" borderId="0" xfId="0" applyFill="1" applyBorder="1" applyAlignment="1">
      <alignment horizontal="center"/>
    </xf>
    <xf numFmtId="183" fontId="0" fillId="0" borderId="0" xfId="0" applyNumberForma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83" fontId="5" fillId="0" borderId="0" xfId="0" applyNumberFormat="1" applyFont="1" applyFill="1" applyBorder="1" applyAlignment="1">
      <alignment horizontal="center"/>
    </xf>
    <xf numFmtId="2" fontId="0" fillId="0" borderId="6" xfId="0" applyNumberFormat="1" applyFill="1" applyBorder="1"/>
    <xf numFmtId="184" fontId="0" fillId="0" borderId="6" xfId="0" applyNumberFormat="1" applyFill="1" applyBorder="1"/>
    <xf numFmtId="4" fontId="5" fillId="0" borderId="7" xfId="0" applyNumberFormat="1" applyFont="1" applyFill="1" applyBorder="1"/>
    <xf numFmtId="4" fontId="5" fillId="0" borderId="9" xfId="0" applyNumberFormat="1" applyFont="1" applyFill="1" applyBorder="1"/>
    <xf numFmtId="4" fontId="5" fillId="0" borderId="1" xfId="0" applyNumberFormat="1" applyFont="1" applyFill="1" applyBorder="1"/>
    <xf numFmtId="4" fontId="5" fillId="0" borderId="8" xfId="0" applyNumberFormat="1" applyFont="1" applyFill="1" applyBorder="1"/>
    <xf numFmtId="184" fontId="5" fillId="0" borderId="8" xfId="0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0" fillId="0" borderId="6" xfId="0" applyBorder="1" applyAlignment="1"/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7">
    <cellStyle name="ハイパーリンク" xfId="3" builtinId="8" hidden="1"/>
    <cellStyle name="ハイパーリンク" xfId="5" builtinId="8"/>
    <cellStyle name="桁区切り" xfId="1" builtinId="6"/>
    <cellStyle name="標準" xfId="0" builtinId="0"/>
    <cellStyle name="標準_Sheet1" xfId="2" xr:uid="{00000000-0005-0000-0000-000006000000}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228600</xdr:colOff>
      <xdr:row>1</xdr:row>
      <xdr:rowOff>0</xdr:rowOff>
    </xdr:from>
    <xdr:to>
      <xdr:col>25</xdr:col>
      <xdr:colOff>228600</xdr:colOff>
      <xdr:row>36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EA7BD41-3022-A841-9126-971E0335020D}"/>
            </a:ext>
          </a:extLst>
        </xdr:cNvPr>
        <xdr:cNvCxnSpPr/>
      </xdr:nvCxnSpPr>
      <xdr:spPr>
        <a:xfrm flipV="1">
          <a:off x="20574000" y="609600"/>
          <a:ext cx="0" cy="793750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kumamoto-waterworks.jp/wp-content/uploads/02(1).pdf" TargetMode="External"/><Relationship Id="rId1" Type="http://schemas.openxmlformats.org/officeDocument/2006/relationships/hyperlink" Target="http://www.kumamoto-waterworks.jp/wp-content/uploads/0205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1"/>
  <sheetViews>
    <sheetView tabSelected="1" workbookViewId="0"/>
  </sheetViews>
  <sheetFormatPr defaultColWidth="8.81640625" defaultRowHeight="19.8" x14ac:dyDescent="0.5"/>
  <cols>
    <col min="1" max="1" width="11.1796875" style="1" bestFit="1" customWidth="1"/>
    <col min="2" max="2" width="12" style="1" customWidth="1"/>
    <col min="3" max="3" width="15.1796875" style="1" customWidth="1"/>
    <col min="4" max="4" width="15.6328125" style="1" customWidth="1"/>
    <col min="5" max="5" width="16.1796875" style="1" customWidth="1"/>
    <col min="6" max="6" width="2.81640625" style="1" customWidth="1"/>
    <col min="7" max="7" width="11.1796875" style="1" bestFit="1" customWidth="1"/>
    <col min="8" max="8" width="15.1796875" style="1" customWidth="1"/>
    <col min="9" max="9" width="13.1796875" style="1" customWidth="1"/>
    <col min="10" max="10" width="13" style="1" customWidth="1"/>
    <col min="11" max="11" width="3.36328125" style="1" customWidth="1"/>
    <col min="12" max="12" width="5.453125" style="7" bestFit="1" customWidth="1"/>
    <col min="13" max="13" width="12" style="7" customWidth="1"/>
    <col min="14" max="14" width="15.36328125" style="7" customWidth="1"/>
    <col min="15" max="15" width="12.81640625" style="7" customWidth="1"/>
    <col min="16" max="16" width="13" style="1" customWidth="1"/>
    <col min="17" max="16384" width="8.81640625" style="1"/>
  </cols>
  <sheetData>
    <row r="1" spans="1:16" x14ac:dyDescent="0.5">
      <c r="A1" s="8"/>
      <c r="B1" s="174" t="s">
        <v>0</v>
      </c>
      <c r="C1" s="174"/>
      <c r="D1" s="174"/>
      <c r="E1" s="174"/>
      <c r="F1" s="2"/>
      <c r="G1" s="175" t="s">
        <v>1</v>
      </c>
      <c r="H1" s="175"/>
      <c r="I1" s="175"/>
      <c r="J1" s="175"/>
      <c r="L1" s="13"/>
      <c r="M1" s="175" t="s">
        <v>2</v>
      </c>
      <c r="N1" s="175"/>
      <c r="O1" s="175"/>
      <c r="P1" s="175"/>
    </row>
    <row r="2" spans="1:16" ht="81" customHeight="1" x14ac:dyDescent="0.5">
      <c r="A2" s="9"/>
      <c r="B2" s="10" t="s">
        <v>3</v>
      </c>
      <c r="C2" s="9" t="s">
        <v>337</v>
      </c>
      <c r="D2" s="9" t="s">
        <v>338</v>
      </c>
      <c r="E2" s="9" t="s">
        <v>339</v>
      </c>
      <c r="F2" s="3"/>
      <c r="G2" s="11" t="s">
        <v>5</v>
      </c>
      <c r="H2" s="11" t="s">
        <v>337</v>
      </c>
      <c r="I2" s="11" t="s">
        <v>338</v>
      </c>
      <c r="J2" s="11" t="s">
        <v>340</v>
      </c>
      <c r="K2" s="2"/>
      <c r="L2" s="122" t="s">
        <v>4</v>
      </c>
      <c r="M2" s="11" t="s">
        <v>6</v>
      </c>
      <c r="N2" s="11" t="s">
        <v>337</v>
      </c>
      <c r="O2" s="11" t="s">
        <v>338</v>
      </c>
      <c r="P2" s="11" t="s">
        <v>340</v>
      </c>
    </row>
    <row r="3" spans="1:16" x14ac:dyDescent="0.5">
      <c r="A3" s="4">
        <v>30042</v>
      </c>
      <c r="B3" s="1">
        <v>108</v>
      </c>
      <c r="C3" s="5">
        <v>7.2463469999999965</v>
      </c>
      <c r="D3" s="5">
        <v>22.890683857142864</v>
      </c>
      <c r="E3" s="5"/>
      <c r="F3" s="5"/>
      <c r="G3" s="12"/>
      <c r="H3" s="13"/>
      <c r="I3" s="13"/>
      <c r="J3" s="13"/>
      <c r="L3" s="13">
        <v>1982</v>
      </c>
      <c r="M3" s="123">
        <f>SUM(B3:B11)</f>
        <v>2050</v>
      </c>
      <c r="N3" s="6">
        <f>AVERAGE(C3:C11)</f>
        <v>7.5322973967326341</v>
      </c>
      <c r="O3" s="6">
        <f>AVERAGE(D3:D11)</f>
        <v>28.265594535052912</v>
      </c>
      <c r="P3" s="6"/>
    </row>
    <row r="4" spans="1:16" x14ac:dyDescent="0.5">
      <c r="A4" s="4">
        <v>30072</v>
      </c>
      <c r="B4" s="1">
        <v>136</v>
      </c>
      <c r="C4" s="5">
        <v>7.1494340967741907</v>
      </c>
      <c r="D4" s="5">
        <v>22.191166000000006</v>
      </c>
      <c r="E4" s="5"/>
      <c r="F4" s="5"/>
      <c r="G4" s="12"/>
      <c r="H4" s="13"/>
      <c r="I4" s="13"/>
      <c r="J4" s="13"/>
      <c r="L4" s="13">
        <v>1983</v>
      </c>
      <c r="M4" s="123">
        <f>SUM(B12:B23)</f>
        <v>1716</v>
      </c>
      <c r="N4" s="6">
        <f>AVERAGE(C12:C23)</f>
        <v>7.3822002795698891</v>
      </c>
      <c r="O4" s="6">
        <f>AVERAGE(D12:D23)</f>
        <v>27.04792092831542</v>
      </c>
      <c r="P4" s="6"/>
    </row>
    <row r="5" spans="1:16" x14ac:dyDescent="0.5">
      <c r="A5" s="4">
        <v>30103</v>
      </c>
      <c r="B5" s="1">
        <v>79</v>
      </c>
      <c r="C5" s="5">
        <v>7.0851303333333311</v>
      </c>
      <c r="D5" s="5">
        <v>21.920541000000007</v>
      </c>
      <c r="E5" s="5"/>
      <c r="F5" s="5"/>
      <c r="G5" s="12"/>
      <c r="H5" s="13"/>
      <c r="I5" s="13"/>
      <c r="J5" s="13"/>
      <c r="L5" s="13">
        <v>1984</v>
      </c>
      <c r="M5" s="123">
        <f>SUM(B24:B35)</f>
        <v>1724.5</v>
      </c>
      <c r="N5" s="6">
        <f>AVERAGE(C24:C35)</f>
        <v>7.1836422898550696</v>
      </c>
      <c r="O5" s="6">
        <f>AVERAGE(D24:D35)</f>
        <v>24.467798591768641</v>
      </c>
      <c r="P5" s="6"/>
    </row>
    <row r="6" spans="1:16" x14ac:dyDescent="0.5">
      <c r="A6" s="4">
        <v>30133</v>
      </c>
      <c r="B6" s="1">
        <v>1263</v>
      </c>
      <c r="C6" s="5">
        <v>7.4107761666666656</v>
      </c>
      <c r="D6" s="5">
        <v>22.73455662500001</v>
      </c>
      <c r="E6" s="5"/>
      <c r="F6" s="5"/>
      <c r="G6" s="12"/>
      <c r="H6" s="13"/>
      <c r="I6" s="13"/>
      <c r="J6" s="13"/>
      <c r="L6" s="13">
        <v>1985</v>
      </c>
      <c r="M6" s="123">
        <f>SUM(B36:B47)</f>
        <v>2121</v>
      </c>
      <c r="N6" s="6">
        <f>AVERAGE(C36:C47)</f>
        <v>7.1864056042472209</v>
      </c>
      <c r="O6" s="6">
        <f>AVERAGE(D36:D47)</f>
        <v>24.87321132130057</v>
      </c>
      <c r="P6" s="6"/>
    </row>
    <row r="7" spans="1:16" x14ac:dyDescent="0.5">
      <c r="A7" s="4">
        <v>30164</v>
      </c>
      <c r="B7" s="1">
        <v>96.5</v>
      </c>
      <c r="C7" s="5">
        <v>7.8179340967741906</v>
      </c>
      <c r="D7" s="5">
        <v>31.384613580645169</v>
      </c>
      <c r="E7" s="5"/>
      <c r="F7" s="5"/>
      <c r="G7" s="12"/>
      <c r="H7" s="13"/>
      <c r="I7" s="13"/>
      <c r="J7" s="13"/>
      <c r="L7" s="13">
        <v>1986</v>
      </c>
      <c r="M7" s="123">
        <f>SUM(B48:B59)</f>
        <v>1799.5</v>
      </c>
      <c r="N7" s="6">
        <f>AVERAGE(C48:C59)</f>
        <v>7.1629148990237939</v>
      </c>
      <c r="O7" s="6">
        <f>AVERAGE(D48:D59)</f>
        <v>24.513259058755768</v>
      </c>
      <c r="P7" s="6"/>
    </row>
    <row r="8" spans="1:16" x14ac:dyDescent="0.5">
      <c r="A8" s="4">
        <v>30195</v>
      </c>
      <c r="B8" s="1">
        <v>118</v>
      </c>
      <c r="C8" s="5">
        <v>7.817916565217387</v>
      </c>
      <c r="D8" s="5">
        <v>33.979074333333351</v>
      </c>
      <c r="E8" s="5"/>
      <c r="F8" s="5"/>
      <c r="G8" s="12"/>
      <c r="H8" s="13"/>
      <c r="I8" s="13"/>
      <c r="J8" s="13"/>
      <c r="L8" s="13">
        <v>1987</v>
      </c>
      <c r="M8" s="123">
        <f>SUM(B60:B71)</f>
        <v>2752.5</v>
      </c>
      <c r="N8" s="6">
        <f t="shared" ref="N8:P8" si="0">AVERAGE(C60:C71)</f>
        <v>7.3507308677675347</v>
      </c>
      <c r="O8" s="6">
        <f t="shared" si="0"/>
        <v>27.07678518202766</v>
      </c>
      <c r="P8" s="6">
        <f t="shared" si="0"/>
        <v>17.682210976434721</v>
      </c>
    </row>
    <row r="9" spans="1:16" x14ac:dyDescent="0.5">
      <c r="A9" s="4">
        <v>30225</v>
      </c>
      <c r="B9" s="1">
        <v>53</v>
      </c>
      <c r="C9" s="5">
        <v>7.8437244193548352</v>
      </c>
      <c r="D9" s="5">
        <v>35.017150677419359</v>
      </c>
      <c r="E9" s="5"/>
      <c r="F9" s="5"/>
      <c r="G9" s="12"/>
      <c r="H9" s="13"/>
      <c r="I9" s="13"/>
      <c r="J9" s="13"/>
      <c r="L9" s="13">
        <v>1988</v>
      </c>
      <c r="M9" s="123">
        <f>SUM(B72:B83)</f>
        <v>2204</v>
      </c>
      <c r="N9" s="6">
        <f t="shared" ref="N9:P9" si="1">AVERAGE(C72:C83)</f>
        <v>7.3729769221357033</v>
      </c>
      <c r="O9" s="6">
        <f t="shared" si="1"/>
        <v>27.800693294215804</v>
      </c>
      <c r="P9" s="6">
        <f t="shared" si="1"/>
        <v>17.680484418118898</v>
      </c>
    </row>
    <row r="10" spans="1:16" x14ac:dyDescent="0.5">
      <c r="A10" s="4">
        <v>30256</v>
      </c>
      <c r="B10" s="1">
        <v>156</v>
      </c>
      <c r="C10" s="5">
        <v>7.7819636666666652</v>
      </c>
      <c r="D10" s="5">
        <v>33.320606000000005</v>
      </c>
      <c r="E10" s="5"/>
      <c r="F10" s="5"/>
      <c r="G10" s="12"/>
      <c r="H10" s="13"/>
      <c r="I10" s="13"/>
      <c r="J10" s="13"/>
      <c r="L10" s="13">
        <v>1989</v>
      </c>
      <c r="M10" s="123">
        <f>SUM(B84:B95)</f>
        <v>2104.5</v>
      </c>
      <c r="N10" s="6">
        <f t="shared" ref="N10:P10" si="2">AVERAGE(C84:C95)</f>
        <v>7.2315701177872276</v>
      </c>
      <c r="O10" s="6">
        <f t="shared" si="2"/>
        <v>25.406366684843842</v>
      </c>
      <c r="P10" s="6">
        <f t="shared" si="2"/>
        <v>16.461038237839222</v>
      </c>
    </row>
    <row r="11" spans="1:16" x14ac:dyDescent="0.5">
      <c r="A11" s="4">
        <v>30286</v>
      </c>
      <c r="B11" s="1">
        <v>40.5</v>
      </c>
      <c r="C11" s="5">
        <v>7.6374502258064476</v>
      </c>
      <c r="D11" s="5">
        <v>30.951958741935485</v>
      </c>
      <c r="E11" s="5"/>
      <c r="F11" s="5"/>
      <c r="G11" s="12"/>
      <c r="H11" s="13"/>
      <c r="I11" s="13"/>
      <c r="J11" s="13"/>
      <c r="L11" s="13">
        <v>1990</v>
      </c>
      <c r="M11" s="123">
        <f>SUM(B96:B107)</f>
        <v>1952.5</v>
      </c>
      <c r="N11" s="6">
        <f t="shared" ref="N11:P11" si="3">AVERAGE(C96:C107)</f>
        <v>7.1429290852534537</v>
      </c>
      <c r="O11" s="6">
        <f t="shared" si="3"/>
        <v>24.197013478238613</v>
      </c>
      <c r="P11" s="6">
        <f t="shared" si="3"/>
        <v>15.925954136456737</v>
      </c>
    </row>
    <row r="12" spans="1:16" x14ac:dyDescent="0.5">
      <c r="A12" s="4">
        <v>30317</v>
      </c>
      <c r="B12" s="1">
        <v>34.5</v>
      </c>
      <c r="C12" s="5">
        <v>7.4857791428571385</v>
      </c>
      <c r="D12" s="5"/>
      <c r="E12" s="5"/>
      <c r="F12" s="5"/>
      <c r="G12" s="12"/>
      <c r="H12" s="13"/>
      <c r="I12" s="13"/>
      <c r="J12" s="13"/>
      <c r="L12" s="13">
        <v>1991</v>
      </c>
      <c r="M12" s="123">
        <f>SUM(B108:B119)</f>
        <v>2222.5</v>
      </c>
      <c r="N12" s="6">
        <f t="shared" ref="N12:P12" si="4">AVERAGE(C108:C119)</f>
        <v>7.1344057493599555</v>
      </c>
      <c r="O12" s="6">
        <f t="shared" si="4"/>
        <v>21.363996385628205</v>
      </c>
      <c r="P12" s="6">
        <f t="shared" si="4"/>
        <v>15.862324509401979</v>
      </c>
    </row>
    <row r="13" spans="1:16" x14ac:dyDescent="0.5">
      <c r="A13" s="4">
        <v>30348</v>
      </c>
      <c r="B13" s="1">
        <v>53</v>
      </c>
      <c r="C13" s="5">
        <v>7.3678684285714242</v>
      </c>
      <c r="D13" s="5"/>
      <c r="E13" s="5"/>
      <c r="F13" s="5"/>
      <c r="G13" s="12"/>
      <c r="H13" s="13"/>
      <c r="I13" s="13"/>
      <c r="J13" s="13"/>
      <c r="L13" s="13">
        <v>1992</v>
      </c>
      <c r="M13" s="123">
        <f>SUM(B120:B131)</f>
        <v>1592.5</v>
      </c>
      <c r="N13" s="6">
        <f t="shared" ref="N13:P13" si="5">AVERAGE(C120:C131)</f>
        <v>7.0406642753676891</v>
      </c>
      <c r="O13" s="6">
        <f t="shared" si="5"/>
        <v>23.046140560117308</v>
      </c>
      <c r="P13" s="6">
        <f t="shared" si="5"/>
        <v>15.167365879001363</v>
      </c>
    </row>
    <row r="14" spans="1:16" x14ac:dyDescent="0.5">
      <c r="A14" s="4">
        <v>30376</v>
      </c>
      <c r="B14" s="1">
        <v>167</v>
      </c>
      <c r="C14" s="5">
        <v>7.2918534516129005</v>
      </c>
      <c r="D14" s="5"/>
      <c r="E14" s="5"/>
      <c r="F14" s="5"/>
      <c r="G14" s="6">
        <f>AVERAGE(B3:B14)</f>
        <v>192.04166666666666</v>
      </c>
      <c r="H14" s="6">
        <f>AVERAGE(C3:C14)</f>
        <v>7.4946814661362637</v>
      </c>
      <c r="I14" s="6"/>
      <c r="J14" s="6"/>
      <c r="L14" s="13">
        <v>1993</v>
      </c>
      <c r="M14" s="123">
        <f>SUM(B132:B143)</f>
        <v>3369</v>
      </c>
      <c r="N14" s="6">
        <f t="shared" ref="N14:P14" si="6">AVERAGE(C132:C143)</f>
        <v>7.3825442478238577</v>
      </c>
      <c r="O14" s="6">
        <f t="shared" si="6"/>
        <v>27.428503429595498</v>
      </c>
      <c r="P14" s="6">
        <f t="shared" si="6"/>
        <v>17.563238024121201</v>
      </c>
    </row>
    <row r="15" spans="1:16" x14ac:dyDescent="0.5">
      <c r="A15" s="4">
        <v>30407</v>
      </c>
      <c r="B15" s="1">
        <v>205.5</v>
      </c>
      <c r="C15" s="5">
        <v>7.2893669999999959</v>
      </c>
      <c r="D15" s="5">
        <v>24.337691000000003</v>
      </c>
      <c r="E15" s="5"/>
      <c r="F15" s="5"/>
      <c r="G15" s="6">
        <f t="shared" ref="G15:J78" si="7">AVERAGE(B4:B15)</f>
        <v>200.16666666666666</v>
      </c>
      <c r="H15" s="6">
        <f>AVERAGE(C4:C15)</f>
        <v>7.4982664661362639</v>
      </c>
      <c r="I15" s="6">
        <f t="shared" ref="I15:J63" si="8">AVERAGE(D4:D15)</f>
        <v>28.426373106481485</v>
      </c>
      <c r="J15" s="6"/>
      <c r="L15" s="13">
        <v>1994</v>
      </c>
      <c r="M15" s="123">
        <f>SUM(B144:B155)</f>
        <v>920.5</v>
      </c>
      <c r="N15" s="6">
        <f t="shared" ref="N15:P15" si="9">AVERAGE(C144:C155)</f>
        <v>7.1743427949308725</v>
      </c>
      <c r="O15" s="6">
        <f t="shared" si="9"/>
        <v>25.954800184587825</v>
      </c>
      <c r="P15" s="6">
        <f t="shared" si="9"/>
        <v>16.731439691742803</v>
      </c>
    </row>
    <row r="16" spans="1:16" x14ac:dyDescent="0.5">
      <c r="A16" s="4">
        <v>30437</v>
      </c>
      <c r="B16" s="1">
        <v>207.5</v>
      </c>
      <c r="C16" s="5">
        <v>7.2703857096774165</v>
      </c>
      <c r="D16" s="5">
        <v>23.743763580645172</v>
      </c>
      <c r="E16" s="5"/>
      <c r="F16" s="5"/>
      <c r="G16" s="6">
        <f t="shared" si="7"/>
        <v>206.125</v>
      </c>
      <c r="H16" s="6">
        <f t="shared" si="7"/>
        <v>7.5083457672115328</v>
      </c>
      <c r="I16" s="6">
        <f t="shared" si="8"/>
        <v>28.598883948775395</v>
      </c>
      <c r="J16" s="6"/>
      <c r="L16" s="13">
        <v>1995</v>
      </c>
      <c r="M16" s="123">
        <f>SUM(B156:B167)</f>
        <v>1875.5</v>
      </c>
      <c r="N16" s="6">
        <f t="shared" ref="N16:P16" si="10">AVERAGE(C156:C167)</f>
        <v>6.9409968527905734</v>
      </c>
      <c r="O16" s="6">
        <f t="shared" si="10"/>
        <v>21.952493252944205</v>
      </c>
      <c r="P16" s="6">
        <f t="shared" si="10"/>
        <v>14.710396532770099</v>
      </c>
    </row>
    <row r="17" spans="1:16" x14ac:dyDescent="0.5">
      <c r="A17" s="4">
        <v>30468</v>
      </c>
      <c r="B17" s="1">
        <v>317</v>
      </c>
      <c r="C17" s="5">
        <v>7.251030333333329</v>
      </c>
      <c r="D17" s="5">
        <v>23.801724333333343</v>
      </c>
      <c r="E17" s="5"/>
      <c r="F17" s="5"/>
      <c r="G17" s="6">
        <f t="shared" si="7"/>
        <v>225.95833333333334</v>
      </c>
      <c r="H17" s="6">
        <f t="shared" si="7"/>
        <v>7.5221707672115334</v>
      </c>
      <c r="I17" s="6">
        <f t="shared" si="8"/>
        <v>28.807904319145766</v>
      </c>
      <c r="J17" s="6"/>
      <c r="L17" s="13">
        <v>1996</v>
      </c>
      <c r="M17" s="123">
        <f>SUM(B168:B179)</f>
        <v>1489.5</v>
      </c>
      <c r="N17" s="6">
        <f t="shared" ref="N17:P17" si="11">AVERAGE(C168:C179)</f>
        <v>6.9439240393029253</v>
      </c>
      <c r="O17" s="6">
        <f t="shared" si="11"/>
        <v>22.220342224611713</v>
      </c>
      <c r="P17" s="6">
        <f t="shared" si="11"/>
        <v>14.858635898158449</v>
      </c>
    </row>
    <row r="18" spans="1:16" x14ac:dyDescent="0.5">
      <c r="A18" s="4">
        <v>30498</v>
      </c>
      <c r="B18" s="1">
        <v>289.5</v>
      </c>
      <c r="C18" s="5">
        <v>7.1885469999999954</v>
      </c>
      <c r="D18" s="5">
        <v>25.90314583870968</v>
      </c>
      <c r="E18" s="5"/>
      <c r="F18" s="5"/>
      <c r="G18" s="6">
        <f t="shared" si="7"/>
        <v>144.83333333333334</v>
      </c>
      <c r="H18" s="6">
        <f t="shared" si="7"/>
        <v>7.5036516699893108</v>
      </c>
      <c r="I18" s="6">
        <f t="shared" si="8"/>
        <v>29.159969787335726</v>
      </c>
      <c r="J18" s="6"/>
      <c r="L18" s="13">
        <v>1997</v>
      </c>
      <c r="M18" s="123">
        <f>SUM(B180:B191)</f>
        <v>2395</v>
      </c>
      <c r="N18" s="6">
        <f t="shared" ref="N18:P18" si="12">AVERAGE(C180:C191)</f>
        <v>7.0802312719673139</v>
      </c>
      <c r="O18" s="6">
        <f t="shared" si="12"/>
        <v>23.700325869431651</v>
      </c>
      <c r="P18" s="6">
        <f t="shared" si="12"/>
        <v>15.699576480286742</v>
      </c>
    </row>
    <row r="19" spans="1:16" x14ac:dyDescent="0.5">
      <c r="A19" s="4">
        <v>30529</v>
      </c>
      <c r="B19" s="1">
        <v>106.5</v>
      </c>
      <c r="C19" s="5">
        <v>7.3427244193548358</v>
      </c>
      <c r="D19" s="5">
        <v>28.486016806451623</v>
      </c>
      <c r="E19" s="5"/>
      <c r="F19" s="5"/>
      <c r="G19" s="6">
        <f t="shared" si="7"/>
        <v>145.66666666666666</v>
      </c>
      <c r="H19" s="6">
        <f t="shared" si="7"/>
        <v>7.4640508635376994</v>
      </c>
      <c r="I19" s="6">
        <f t="shared" si="8"/>
        <v>28.837903479091999</v>
      </c>
      <c r="J19" s="6"/>
      <c r="L19" s="13">
        <v>1998</v>
      </c>
      <c r="M19" s="123">
        <f>SUM(B192:B203)</f>
        <v>1905</v>
      </c>
      <c r="N19" s="6">
        <f t="shared" ref="N19:P19" si="13">AVERAGE(C192:C203)</f>
        <v>7.2142588215565757</v>
      </c>
      <c r="O19" s="6">
        <f t="shared" si="13"/>
        <v>25.641066537634419</v>
      </c>
      <c r="P19" s="6">
        <f t="shared" si="13"/>
        <v>16.455036157706093</v>
      </c>
    </row>
    <row r="20" spans="1:16" x14ac:dyDescent="0.5">
      <c r="A20" s="4">
        <v>30560</v>
      </c>
      <c r="B20" s="1">
        <v>227</v>
      </c>
      <c r="C20" s="5">
        <v>7.6089219999999971</v>
      </c>
      <c r="D20" s="5">
        <v>30.586974333333337</v>
      </c>
      <c r="E20" s="5"/>
      <c r="F20" s="5"/>
      <c r="G20" s="6">
        <f t="shared" si="7"/>
        <v>154.75</v>
      </c>
      <c r="H20" s="6">
        <f t="shared" si="7"/>
        <v>7.4466346497695826</v>
      </c>
      <c r="I20" s="6">
        <f t="shared" si="8"/>
        <v>28.461003479092003</v>
      </c>
      <c r="J20" s="6"/>
      <c r="L20" s="13">
        <v>1999</v>
      </c>
      <c r="M20" s="123">
        <f>SUM(B204:B215)</f>
        <v>1946</v>
      </c>
      <c r="N20" s="6">
        <f t="shared" ref="N20:P20" si="14">AVERAGE(C204:C215)</f>
        <v>7.076411087301584</v>
      </c>
      <c r="O20" s="6">
        <f t="shared" si="14"/>
        <v>23.403106214355546</v>
      </c>
      <c r="P20" s="6">
        <f t="shared" si="14"/>
        <v>15.550904757296466</v>
      </c>
    </row>
    <row r="21" spans="1:16" x14ac:dyDescent="0.5">
      <c r="A21" s="4">
        <v>30590</v>
      </c>
      <c r="B21" s="1">
        <v>76.5</v>
      </c>
      <c r="C21" s="5">
        <v>7.6011437741935461</v>
      </c>
      <c r="D21" s="5">
        <v>30.667081322580653</v>
      </c>
      <c r="E21" s="5"/>
      <c r="F21" s="5"/>
      <c r="G21" s="6">
        <f t="shared" si="7"/>
        <v>156.70833333333334</v>
      </c>
      <c r="H21" s="6">
        <f t="shared" si="7"/>
        <v>7.4264195960061414</v>
      </c>
      <c r="I21" s="6">
        <f t="shared" si="8"/>
        <v>27.97766243966548</v>
      </c>
      <c r="J21" s="6"/>
      <c r="L21" s="13">
        <v>2000</v>
      </c>
      <c r="M21" s="123">
        <f>SUM(B216:B227)</f>
        <v>1825.5</v>
      </c>
      <c r="N21" s="6">
        <f t="shared" ref="N21:P21" si="15">AVERAGE(C216:C227)</f>
        <v>7.0021841236424764</v>
      </c>
      <c r="O21" s="6">
        <f t="shared" si="15"/>
        <v>23.198478762416809</v>
      </c>
      <c r="P21" s="6">
        <f t="shared" si="15"/>
        <v>15.224814707947104</v>
      </c>
    </row>
    <row r="22" spans="1:16" x14ac:dyDescent="0.5">
      <c r="A22" s="4">
        <v>30621</v>
      </c>
      <c r="B22" s="1">
        <v>4.5</v>
      </c>
      <c r="C22" s="5">
        <v>7.5166636666666626</v>
      </c>
      <c r="D22" s="5">
        <v>28.947874333333349</v>
      </c>
      <c r="E22" s="5"/>
      <c r="F22" s="5"/>
      <c r="G22" s="6">
        <f t="shared" si="7"/>
        <v>144.08333333333334</v>
      </c>
      <c r="H22" s="6">
        <f t="shared" si="7"/>
        <v>7.404311262672806</v>
      </c>
      <c r="I22" s="6">
        <f t="shared" si="8"/>
        <v>27.491803365591405</v>
      </c>
      <c r="J22" s="6"/>
      <c r="L22" s="13">
        <v>2001</v>
      </c>
      <c r="M22" s="123">
        <f>SUM(B228:B239)</f>
        <v>1798.5</v>
      </c>
      <c r="N22" s="6">
        <f t="shared" ref="N22:P22" si="16">AVERAGE(C228:C239)</f>
        <v>6.9737946958525319</v>
      </c>
      <c r="O22" s="6">
        <f t="shared" si="16"/>
        <v>23.051740884792636</v>
      </c>
      <c r="P22" s="6">
        <f t="shared" si="16"/>
        <v>15.048893633384537</v>
      </c>
    </row>
    <row r="23" spans="1:16" x14ac:dyDescent="0.5">
      <c r="A23" s="4">
        <v>30651</v>
      </c>
      <c r="B23" s="1">
        <v>27.5</v>
      </c>
      <c r="C23" s="5">
        <v>7.3721184285714259</v>
      </c>
      <c r="D23" s="5">
        <v>26.957016806451623</v>
      </c>
      <c r="E23" s="5"/>
      <c r="F23" s="5"/>
      <c r="G23" s="6">
        <f t="shared" si="7"/>
        <v>143</v>
      </c>
      <c r="H23" s="6">
        <f t="shared" si="7"/>
        <v>7.3822002795698891</v>
      </c>
      <c r="I23" s="6">
        <f t="shared" si="8"/>
        <v>27.04792092831542</v>
      </c>
      <c r="J23" s="6"/>
      <c r="L23" s="13">
        <v>2002</v>
      </c>
      <c r="M23" s="123">
        <f>SUM(B240:B251)</f>
        <v>1543.5</v>
      </c>
      <c r="N23" s="6">
        <f t="shared" ref="N23:P23" si="17">AVERAGE(C240:C251)</f>
        <v>6.9339694270353265</v>
      </c>
      <c r="O23" s="6">
        <f t="shared" si="17"/>
        <v>22.388391518433185</v>
      </c>
      <c r="P23" s="6">
        <f t="shared" si="17"/>
        <v>14.776661834113019</v>
      </c>
    </row>
    <row r="24" spans="1:16" x14ac:dyDescent="0.5">
      <c r="A24" s="4">
        <v>30682</v>
      </c>
      <c r="B24" s="1">
        <v>87.5</v>
      </c>
      <c r="C24" s="5">
        <v>7.2492244193548361</v>
      </c>
      <c r="D24" s="5">
        <v>25.318010354838719</v>
      </c>
      <c r="E24" s="5"/>
      <c r="F24" s="5"/>
      <c r="G24" s="6">
        <f t="shared" si="7"/>
        <v>147.41666666666666</v>
      </c>
      <c r="H24" s="6">
        <f t="shared" si="7"/>
        <v>7.3624873859446964</v>
      </c>
      <c r="I24" s="6">
        <f t="shared" si="8"/>
        <v>26.874929870967755</v>
      </c>
      <c r="J24" s="6"/>
      <c r="L24" s="13">
        <v>2003</v>
      </c>
      <c r="M24" s="123">
        <f>SUM(B252:B263)</f>
        <v>2256</v>
      </c>
      <c r="N24" s="6">
        <f t="shared" ref="N24:P24" si="18">AVERAGE(C252:C263)</f>
        <v>6.993834282386068</v>
      </c>
      <c r="O24" s="6">
        <f t="shared" si="18"/>
        <v>23.193433793138766</v>
      </c>
      <c r="P24" s="6">
        <f t="shared" si="18"/>
        <v>15.051685799283154</v>
      </c>
    </row>
    <row r="25" spans="1:16" x14ac:dyDescent="0.5">
      <c r="A25" s="4">
        <v>30713</v>
      </c>
      <c r="B25" s="1">
        <v>41.5</v>
      </c>
      <c r="C25" s="5">
        <v>7.1620904782608674</v>
      </c>
      <c r="D25" s="5">
        <v>23.983153068965521</v>
      </c>
      <c r="E25" s="5"/>
      <c r="F25" s="5"/>
      <c r="G25" s="6">
        <f t="shared" si="7"/>
        <v>146.45833333333334</v>
      </c>
      <c r="H25" s="6">
        <f t="shared" si="7"/>
        <v>7.3453392234188177</v>
      </c>
      <c r="I25" s="6">
        <f t="shared" si="8"/>
        <v>26.612041070785732</v>
      </c>
      <c r="J25" s="6"/>
      <c r="L25" s="13">
        <v>2004</v>
      </c>
      <c r="M25" s="123">
        <f>SUM(B264:B275)</f>
        <v>1804.5</v>
      </c>
      <c r="N25" s="6">
        <f t="shared" ref="N25:P25" si="19">AVERAGE(C264:C275)</f>
        <v>6.9996290961047229</v>
      </c>
      <c r="O25" s="6">
        <f t="shared" si="19"/>
        <v>22.87704129026271</v>
      </c>
      <c r="P25" s="6">
        <f t="shared" si="19"/>
        <v>15.230308351862154</v>
      </c>
    </row>
    <row r="26" spans="1:16" x14ac:dyDescent="0.5">
      <c r="A26" s="4">
        <v>30742</v>
      </c>
      <c r="B26" s="1">
        <v>86.5</v>
      </c>
      <c r="C26" s="5">
        <v>7.0675308709677376</v>
      </c>
      <c r="D26" s="5">
        <v>22.882081322580657</v>
      </c>
      <c r="E26" s="5"/>
      <c r="F26" s="5"/>
      <c r="G26" s="6">
        <f t="shared" si="7"/>
        <v>139.75</v>
      </c>
      <c r="H26" s="6">
        <f t="shared" si="7"/>
        <v>7.3266456750317204</v>
      </c>
      <c r="I26" s="6">
        <f t="shared" si="8"/>
        <v>26.301211091768639</v>
      </c>
      <c r="J26" s="6"/>
      <c r="L26" s="13">
        <v>2005</v>
      </c>
      <c r="M26" s="123">
        <f>SUM(B276:B287)</f>
        <v>1324.5</v>
      </c>
      <c r="N26" s="6">
        <f t="shared" ref="N26:P26" si="20">AVERAGE(C276:C287)</f>
        <v>6.9281962015488956</v>
      </c>
      <c r="O26" s="6">
        <f t="shared" si="20"/>
        <v>22.124073589641309</v>
      </c>
      <c r="P26" s="6">
        <f t="shared" si="20"/>
        <v>14.894827269670595</v>
      </c>
    </row>
    <row r="27" spans="1:16" x14ac:dyDescent="0.5">
      <c r="A27" s="4">
        <v>30773</v>
      </c>
      <c r="B27" s="1">
        <v>112.5</v>
      </c>
      <c r="C27" s="5">
        <v>7.0183803333333286</v>
      </c>
      <c r="D27" s="5">
        <v>22.049524333333345</v>
      </c>
      <c r="E27" s="5"/>
      <c r="F27" s="5"/>
      <c r="G27" s="6">
        <f t="shared" si="7"/>
        <v>132</v>
      </c>
      <c r="H27" s="6">
        <f t="shared" si="7"/>
        <v>7.3040634528094976</v>
      </c>
      <c r="I27" s="6">
        <f t="shared" si="8"/>
        <v>26.11053053621308</v>
      </c>
      <c r="J27" s="6"/>
      <c r="L27" s="13">
        <v>2006</v>
      </c>
      <c r="M27" s="123">
        <f>SUM(B288:B299)</f>
        <v>2800.5</v>
      </c>
      <c r="N27" s="6">
        <f t="shared" ref="N27:P27" si="21">AVERAGE(C288:C299)</f>
        <v>7.1477571648708382</v>
      </c>
      <c r="O27" s="6">
        <f t="shared" si="21"/>
        <v>24.892460173528409</v>
      </c>
      <c r="P27" s="6">
        <f t="shared" si="21"/>
        <v>16.160461840949825</v>
      </c>
    </row>
    <row r="28" spans="1:16" x14ac:dyDescent="0.5">
      <c r="A28" s="4">
        <v>30803</v>
      </c>
      <c r="B28" s="1">
        <v>176</v>
      </c>
      <c r="C28" s="5">
        <v>7.0055631290322546</v>
      </c>
      <c r="D28" s="5">
        <v>21.403710354838719</v>
      </c>
      <c r="E28" s="5"/>
      <c r="F28" s="5"/>
      <c r="G28" s="6">
        <f t="shared" si="7"/>
        <v>129.375</v>
      </c>
      <c r="H28" s="6">
        <f t="shared" si="7"/>
        <v>7.2819949044224019</v>
      </c>
      <c r="I28" s="6">
        <f t="shared" si="8"/>
        <v>25.915526100729213</v>
      </c>
      <c r="J28" s="6"/>
      <c r="L28" s="13">
        <v>2007</v>
      </c>
      <c r="M28" s="123">
        <f>SUM(B300:B311)</f>
        <v>1810.5</v>
      </c>
      <c r="N28" s="6">
        <f t="shared" ref="N28:P28" si="22">AVERAGE(C300:C311)</f>
        <v>7.1507345053336699</v>
      </c>
      <c r="O28" s="6">
        <f t="shared" si="22"/>
        <v>24.858539842592606</v>
      </c>
      <c r="P28" s="6">
        <f t="shared" si="22"/>
        <v>16.272489082693294</v>
      </c>
    </row>
    <row r="29" spans="1:16" x14ac:dyDescent="0.5">
      <c r="A29" s="4">
        <v>30834</v>
      </c>
      <c r="B29" s="1">
        <v>495.5</v>
      </c>
      <c r="C29" s="5">
        <v>7.095063666666662</v>
      </c>
      <c r="D29" s="5">
        <v>21.184607666666675</v>
      </c>
      <c r="E29" s="5"/>
      <c r="F29" s="5"/>
      <c r="G29" s="6">
        <f t="shared" si="7"/>
        <v>144.25</v>
      </c>
      <c r="H29" s="6">
        <f t="shared" si="7"/>
        <v>7.2689976822001787</v>
      </c>
      <c r="I29" s="6">
        <f t="shared" si="8"/>
        <v>25.697433045173664</v>
      </c>
      <c r="J29" s="6"/>
      <c r="L29" s="13">
        <v>2008</v>
      </c>
      <c r="M29" s="123">
        <f>SUM(B312:B323)</f>
        <v>2353</v>
      </c>
      <c r="N29" s="6">
        <f t="shared" ref="N29:P29" si="23">AVERAGE(C312:C323)</f>
        <v>7.1016296085053314</v>
      </c>
      <c r="O29" s="6">
        <f t="shared" si="23"/>
        <v>23.477364635321322</v>
      </c>
      <c r="P29" s="6">
        <f t="shared" si="23"/>
        <v>15.619662581613317</v>
      </c>
    </row>
    <row r="30" spans="1:16" x14ac:dyDescent="0.5">
      <c r="A30" s="4">
        <v>30864</v>
      </c>
      <c r="B30" s="1">
        <v>215</v>
      </c>
      <c r="C30" s="5">
        <v>7.2009340967741906</v>
      </c>
      <c r="D30" s="5">
        <v>23.302387774193555</v>
      </c>
      <c r="E30" s="5"/>
      <c r="F30" s="5"/>
      <c r="G30" s="6">
        <f t="shared" si="7"/>
        <v>138.04166666666666</v>
      </c>
      <c r="H30" s="6">
        <f t="shared" si="7"/>
        <v>7.2700299402646955</v>
      </c>
      <c r="I30" s="6">
        <f t="shared" si="8"/>
        <v>25.480703206463986</v>
      </c>
      <c r="J30" s="6"/>
      <c r="L30" s="13">
        <v>2009</v>
      </c>
      <c r="M30" s="123">
        <f>SUM(B324:B335)</f>
        <v>1565.5</v>
      </c>
      <c r="N30" s="6">
        <f t="shared" ref="N30:P30" si="24">AVERAGE(C324:C335)</f>
        <v>7.0725829356332106</v>
      </c>
      <c r="O30" s="6">
        <f t="shared" si="24"/>
        <v>23.479749723661353</v>
      </c>
      <c r="P30" s="6">
        <f t="shared" si="24"/>
        <v>15.532213281041988</v>
      </c>
    </row>
    <row r="31" spans="1:16" x14ac:dyDescent="0.5">
      <c r="A31" s="4">
        <v>30895</v>
      </c>
      <c r="B31" s="1">
        <v>284.5</v>
      </c>
      <c r="C31" s="5">
        <v>7.1974824838709637</v>
      </c>
      <c r="D31" s="5">
        <v>25.412613580645161</v>
      </c>
      <c r="E31" s="5"/>
      <c r="F31" s="5"/>
      <c r="G31" s="6">
        <f t="shared" si="7"/>
        <v>152.875</v>
      </c>
      <c r="H31" s="6">
        <f t="shared" si="7"/>
        <v>7.2579264456410399</v>
      </c>
      <c r="I31" s="6">
        <f t="shared" si="8"/>
        <v>25.224586270980108</v>
      </c>
      <c r="J31" s="6"/>
      <c r="L31" s="13">
        <v>2010</v>
      </c>
      <c r="M31" s="123">
        <f>SUM(B336:B347)</f>
        <v>2072.5</v>
      </c>
      <c r="N31" s="6">
        <f t="shared" ref="N31:P31" si="25">AVERAGE(C336:C347)</f>
        <v>7.1449894389827584</v>
      </c>
      <c r="O31" s="6">
        <f t="shared" si="25"/>
        <v>24.089275310995912</v>
      </c>
      <c r="P31" s="6">
        <f t="shared" si="25"/>
        <v>15.687445941265574</v>
      </c>
    </row>
    <row r="32" spans="1:16" x14ac:dyDescent="0.5">
      <c r="A32" s="4">
        <v>30926</v>
      </c>
      <c r="B32" s="1">
        <v>79.5</v>
      </c>
      <c r="C32" s="5">
        <v>7.3400969999999965</v>
      </c>
      <c r="D32" s="5">
        <v>27.785074333333338</v>
      </c>
      <c r="E32" s="5"/>
      <c r="F32" s="5"/>
      <c r="G32" s="6">
        <f t="shared" si="7"/>
        <v>140.58333333333334</v>
      </c>
      <c r="H32" s="6">
        <f t="shared" si="7"/>
        <v>7.2355243623077063</v>
      </c>
      <c r="I32" s="6">
        <f t="shared" si="8"/>
        <v>24.991094604313442</v>
      </c>
      <c r="J32" s="6"/>
      <c r="L32" s="13">
        <v>2011</v>
      </c>
      <c r="M32" s="123">
        <f>SUM(B348:B359)</f>
        <v>2154.5</v>
      </c>
      <c r="N32" s="6">
        <f t="shared" ref="N32:P32" si="26">AVERAGE(C348:C359)</f>
        <v>7.1290938126191916</v>
      </c>
      <c r="O32" s="6">
        <f t="shared" si="26"/>
        <v>23.827250670146174</v>
      </c>
      <c r="P32" s="6">
        <f t="shared" si="26"/>
        <v>15.632374600699778</v>
      </c>
    </row>
    <row r="33" spans="1:16" x14ac:dyDescent="0.5">
      <c r="A33" s="4">
        <v>30956</v>
      </c>
      <c r="B33" s="1">
        <v>25</v>
      </c>
      <c r="C33" s="5">
        <v>7.3840357096774163</v>
      </c>
      <c r="D33" s="5">
        <v>28.412000677419364</v>
      </c>
      <c r="E33" s="5"/>
      <c r="F33" s="5"/>
      <c r="G33" s="6">
        <f t="shared" si="7"/>
        <v>136.29166666666666</v>
      </c>
      <c r="H33" s="6">
        <f t="shared" si="7"/>
        <v>7.2174320235980298</v>
      </c>
      <c r="I33" s="6">
        <f t="shared" si="8"/>
        <v>24.803171217216672</v>
      </c>
      <c r="J33" s="6"/>
      <c r="L33" s="13">
        <v>2012</v>
      </c>
      <c r="M33" s="123">
        <f>SUM(B360:B371)</f>
        <v>2209.5</v>
      </c>
      <c r="N33" s="6">
        <f t="shared" ref="N33:P33" si="27">AVERAGE(C360:C371)</f>
        <v>7.2455179847790383</v>
      </c>
      <c r="O33" s="6">
        <f t="shared" si="27"/>
        <v>24.82955836621316</v>
      </c>
      <c r="P33" s="6">
        <f t="shared" si="27"/>
        <v>16.30742370621801</v>
      </c>
    </row>
    <row r="34" spans="1:16" x14ac:dyDescent="0.5">
      <c r="A34" s="4">
        <v>30987</v>
      </c>
      <c r="B34" s="1">
        <v>78.5</v>
      </c>
      <c r="C34" s="5">
        <v>7.310596999999996</v>
      </c>
      <c r="D34" s="5">
        <v>26.839757666666674</v>
      </c>
      <c r="E34" s="5"/>
      <c r="F34" s="5"/>
      <c r="G34" s="6">
        <f t="shared" si="7"/>
        <v>142.45833333333334</v>
      </c>
      <c r="H34" s="6">
        <f t="shared" si="7"/>
        <v>7.2002598013758066</v>
      </c>
      <c r="I34" s="6">
        <f t="shared" si="8"/>
        <v>24.62749482832778</v>
      </c>
      <c r="J34" s="6"/>
      <c r="L34" s="13">
        <v>2013</v>
      </c>
      <c r="M34" s="123">
        <f>SUM(B372:B383)</f>
        <v>1930</v>
      </c>
      <c r="N34" s="6">
        <f t="shared" ref="N34:P34" si="28">AVERAGE(C372:C383)</f>
        <v>7.1622038607057492</v>
      </c>
      <c r="O34" s="6">
        <f t="shared" si="28"/>
        <v>24.0366101406333</v>
      </c>
      <c r="P34" s="6">
        <f t="shared" si="28"/>
        <v>15.825029414607869</v>
      </c>
    </row>
    <row r="35" spans="1:16" x14ac:dyDescent="0.5">
      <c r="A35" s="4">
        <v>31017</v>
      </c>
      <c r="B35" s="1">
        <v>42.5</v>
      </c>
      <c r="C35" s="5">
        <v>7.1727082903225776</v>
      </c>
      <c r="D35" s="5">
        <v>25.040661967741947</v>
      </c>
      <c r="E35" s="5"/>
      <c r="F35" s="5"/>
      <c r="G35" s="6">
        <f t="shared" si="7"/>
        <v>143.70833333333334</v>
      </c>
      <c r="H35" s="6">
        <f t="shared" si="7"/>
        <v>7.1836422898550696</v>
      </c>
      <c r="I35" s="6">
        <f t="shared" si="8"/>
        <v>24.467798591768641</v>
      </c>
      <c r="J35" s="6"/>
      <c r="L35" s="13">
        <v>2014</v>
      </c>
      <c r="M35" s="123">
        <f>SUM(B384:B395)</f>
        <v>1694</v>
      </c>
      <c r="N35" s="6">
        <f t="shared" ref="N35:P35" si="29">AVERAGE(C384:C395)</f>
        <v>7.0685089282300702</v>
      </c>
      <c r="O35" s="6">
        <f t="shared" si="29"/>
        <v>22.703968722833071</v>
      </c>
      <c r="P35" s="6">
        <f t="shared" si="29"/>
        <v>15.136797349311246</v>
      </c>
    </row>
    <row r="36" spans="1:16" x14ac:dyDescent="0.5">
      <c r="A36" s="4">
        <v>31048</v>
      </c>
      <c r="B36" s="1">
        <v>16</v>
      </c>
      <c r="C36" s="5">
        <v>7.0222194137931009</v>
      </c>
      <c r="D36" s="5">
        <v>23.655274870967755</v>
      </c>
      <c r="E36" s="5"/>
      <c r="F36" s="5"/>
      <c r="G36" s="6">
        <f t="shared" si="7"/>
        <v>137.75</v>
      </c>
      <c r="H36" s="6">
        <f t="shared" si="7"/>
        <v>7.1647252060582574</v>
      </c>
      <c r="I36" s="6">
        <f t="shared" si="8"/>
        <v>24.32923730144606</v>
      </c>
      <c r="J36" s="6"/>
      <c r="L36" s="13">
        <v>2015</v>
      </c>
      <c r="M36" s="123">
        <f>SUM(B396:B407)</f>
        <v>2292</v>
      </c>
      <c r="N36" s="6">
        <f t="shared" ref="N36:P36" si="30">AVERAGE(C396:C407)</f>
        <v>7.1108518523994384</v>
      </c>
      <c r="O36" s="6">
        <f t="shared" si="30"/>
        <v>23.353230640359214</v>
      </c>
      <c r="P36" s="6">
        <f t="shared" si="30"/>
        <v>15.355331880864258</v>
      </c>
    </row>
    <row r="37" spans="1:16" x14ac:dyDescent="0.5">
      <c r="A37" s="4">
        <v>31079</v>
      </c>
      <c r="B37" s="1">
        <v>121</v>
      </c>
      <c r="C37" s="5">
        <v>6.9409934285714252</v>
      </c>
      <c r="D37" s="5">
        <v>22.492505285714298</v>
      </c>
      <c r="E37" s="5"/>
      <c r="F37" s="5"/>
      <c r="G37" s="6">
        <f t="shared" si="7"/>
        <v>144.375</v>
      </c>
      <c r="H37" s="6">
        <f t="shared" si="7"/>
        <v>7.1463004519174715</v>
      </c>
      <c r="I37" s="6">
        <f t="shared" si="8"/>
        <v>24.205016652841792</v>
      </c>
      <c r="J37" s="6"/>
      <c r="L37" s="13">
        <v>2016</v>
      </c>
      <c r="M37" s="123">
        <f>SUM(B408:B419)</f>
        <v>2504</v>
      </c>
      <c r="N37" s="6">
        <f t="shared" ref="N37:P37" si="31">AVERAGE(C408:C419)</f>
        <v>7.0516213190813843</v>
      </c>
      <c r="O37" s="6">
        <f t="shared" si="31"/>
        <v>26.377997353043636</v>
      </c>
      <c r="P37" s="6">
        <f t="shared" si="31"/>
        <v>16.48662649063689</v>
      </c>
    </row>
    <row r="38" spans="1:16" x14ac:dyDescent="0.5">
      <c r="A38" s="4">
        <v>31107</v>
      </c>
      <c r="B38" s="1">
        <v>236</v>
      </c>
      <c r="C38" s="5">
        <v>6.9389986129032231</v>
      </c>
      <c r="D38" s="5">
        <v>21.634661967741945</v>
      </c>
      <c r="E38" s="5"/>
      <c r="F38" s="5"/>
      <c r="G38" s="6">
        <f t="shared" si="7"/>
        <v>156.83333333333334</v>
      </c>
      <c r="H38" s="6">
        <f t="shared" si="7"/>
        <v>7.1355894304120957</v>
      </c>
      <c r="I38" s="6">
        <f t="shared" si="8"/>
        <v>24.101065039938565</v>
      </c>
      <c r="J38" s="6"/>
      <c r="L38" s="13">
        <v>2017</v>
      </c>
      <c r="M38" s="123">
        <f>SUM(B420:B431)</f>
        <v>1818.5</v>
      </c>
      <c r="N38" s="6">
        <f t="shared" ref="N38:P38" si="32">AVERAGE(C420:C431)</f>
        <v>7.0018113414814103</v>
      </c>
      <c r="O38" s="6">
        <f t="shared" si="32"/>
        <v>27.14050995024532</v>
      </c>
      <c r="P38" s="6">
        <f t="shared" si="32"/>
        <v>16.697098771723688</v>
      </c>
    </row>
    <row r="39" spans="1:16" x14ac:dyDescent="0.5">
      <c r="A39" s="4">
        <v>31138</v>
      </c>
      <c r="B39" s="1">
        <v>158</v>
      </c>
      <c r="C39" s="5">
        <v>6.9231469999999957</v>
      </c>
      <c r="D39" s="5">
        <v>21.126774333333341</v>
      </c>
      <c r="E39" s="5"/>
      <c r="F39" s="5"/>
      <c r="G39" s="6">
        <f t="shared" si="7"/>
        <v>160.625</v>
      </c>
      <c r="H39" s="6">
        <f t="shared" si="7"/>
        <v>7.1276533193009834</v>
      </c>
      <c r="I39" s="6">
        <f t="shared" si="8"/>
        <v>24.024169206605233</v>
      </c>
      <c r="J39" s="6"/>
      <c r="L39" s="6"/>
      <c r="M39" s="6"/>
      <c r="N39" s="6"/>
      <c r="O39" s="6"/>
      <c r="P39" s="7"/>
    </row>
    <row r="40" spans="1:16" x14ac:dyDescent="0.5">
      <c r="A40" s="4">
        <v>31168</v>
      </c>
      <c r="B40" s="1">
        <v>208.5</v>
      </c>
      <c r="C40" s="5">
        <v>6.913293774193547</v>
      </c>
      <c r="D40" s="5">
        <v>20.784000677419364</v>
      </c>
      <c r="E40" s="5"/>
      <c r="F40" s="5"/>
      <c r="G40" s="6">
        <f t="shared" si="7"/>
        <v>163.33333333333334</v>
      </c>
      <c r="H40" s="6">
        <f t="shared" si="7"/>
        <v>7.119964206397758</v>
      </c>
      <c r="I40" s="6">
        <f t="shared" si="8"/>
        <v>23.972526733486955</v>
      </c>
      <c r="J40" s="6"/>
      <c r="L40" s="6"/>
      <c r="M40" s="6"/>
      <c r="N40" s="6"/>
      <c r="O40" s="6"/>
    </row>
    <row r="41" spans="1:16" x14ac:dyDescent="0.5">
      <c r="A41" s="4">
        <v>31199</v>
      </c>
      <c r="B41" s="1">
        <v>434.5</v>
      </c>
      <c r="C41" s="5">
        <v>7.0243969999999978</v>
      </c>
      <c r="D41" s="5">
        <v>21.081307666666675</v>
      </c>
      <c r="E41" s="5"/>
      <c r="F41" s="5"/>
      <c r="G41" s="6">
        <f t="shared" si="7"/>
        <v>158.25</v>
      </c>
      <c r="H41" s="6">
        <f t="shared" si="7"/>
        <v>7.1140753175088696</v>
      </c>
      <c r="I41" s="6">
        <f t="shared" si="8"/>
        <v>23.96391840015362</v>
      </c>
      <c r="J41" s="6"/>
      <c r="L41" s="6"/>
      <c r="M41" s="6"/>
      <c r="N41" s="6"/>
      <c r="O41" s="6"/>
    </row>
    <row r="42" spans="1:16" x14ac:dyDescent="0.5">
      <c r="A42" s="4">
        <v>31229</v>
      </c>
      <c r="B42" s="1">
        <v>416.5</v>
      </c>
      <c r="C42" s="5">
        <v>7.3737566774193528</v>
      </c>
      <c r="D42" s="5">
        <v>24.45672648387097</v>
      </c>
      <c r="E42" s="5"/>
      <c r="F42" s="5"/>
      <c r="G42" s="6">
        <f t="shared" si="7"/>
        <v>175.04166666666666</v>
      </c>
      <c r="H42" s="6">
        <f t="shared" si="7"/>
        <v>7.128477199229299</v>
      </c>
      <c r="I42" s="6">
        <f t="shared" si="8"/>
        <v>24.060113292626735</v>
      </c>
      <c r="J42" s="6"/>
      <c r="L42" s="6"/>
      <c r="M42" s="6"/>
      <c r="N42" s="6"/>
      <c r="O42" s="6"/>
    </row>
    <row r="43" spans="1:16" x14ac:dyDescent="0.5">
      <c r="A43" s="4">
        <v>31260</v>
      </c>
      <c r="B43" s="1">
        <v>58</v>
      </c>
      <c r="C43" s="5">
        <v>7.3417728064516092</v>
      </c>
      <c r="D43" s="5">
        <v>27.754597451612913</v>
      </c>
      <c r="E43" s="5"/>
      <c r="F43" s="5"/>
      <c r="G43" s="6">
        <f t="shared" si="7"/>
        <v>156.16666666666666</v>
      </c>
      <c r="H43" s="6">
        <f t="shared" si="7"/>
        <v>7.1405013927776864</v>
      </c>
      <c r="I43" s="6">
        <f t="shared" si="8"/>
        <v>24.255278615207384</v>
      </c>
      <c r="J43" s="6"/>
      <c r="L43" s="6"/>
      <c r="M43" s="6"/>
      <c r="N43" s="6"/>
      <c r="O43" s="6"/>
    </row>
    <row r="44" spans="1:16" x14ac:dyDescent="0.5">
      <c r="A44" s="4">
        <v>31291</v>
      </c>
      <c r="B44" s="1">
        <v>189.5</v>
      </c>
      <c r="C44" s="5">
        <v>7.4508136666666633</v>
      </c>
      <c r="D44" s="5">
        <v>29.91859100000001</v>
      </c>
      <c r="E44" s="5"/>
      <c r="F44" s="5"/>
      <c r="G44" s="6">
        <f t="shared" si="7"/>
        <v>165.33333333333334</v>
      </c>
      <c r="H44" s="6">
        <f t="shared" si="7"/>
        <v>7.1497277816665763</v>
      </c>
      <c r="I44" s="6">
        <f t="shared" si="8"/>
        <v>24.433071670762939</v>
      </c>
      <c r="J44" s="6"/>
      <c r="L44" s="6"/>
      <c r="M44" s="6"/>
      <c r="N44" s="6"/>
      <c r="O44" s="6"/>
    </row>
    <row r="45" spans="1:16" x14ac:dyDescent="0.5">
      <c r="A45" s="4">
        <v>31321</v>
      </c>
      <c r="B45" s="1">
        <v>132.5</v>
      </c>
      <c r="C45" s="5">
        <v>7.5308695806451595</v>
      </c>
      <c r="D45" s="5">
        <v>30.327936161290328</v>
      </c>
      <c r="E45" s="5"/>
      <c r="F45" s="5"/>
      <c r="G45" s="6">
        <f t="shared" si="7"/>
        <v>174.29166666666666</v>
      </c>
      <c r="H45" s="6">
        <f t="shared" si="7"/>
        <v>7.1619639375805546</v>
      </c>
      <c r="I45" s="6">
        <f t="shared" si="8"/>
        <v>24.592732961085517</v>
      </c>
      <c r="J45" s="6"/>
      <c r="L45" s="6"/>
      <c r="M45" s="6"/>
      <c r="N45" s="6"/>
      <c r="O45" s="6"/>
    </row>
    <row r="46" spans="1:16" x14ac:dyDescent="0.5">
      <c r="A46" s="4">
        <v>31352</v>
      </c>
      <c r="B46" s="1">
        <v>94</v>
      </c>
      <c r="C46" s="5">
        <v>7.4568969999999952</v>
      </c>
      <c r="D46" s="5">
        <v>28.651707666666677</v>
      </c>
      <c r="E46" s="5"/>
      <c r="F46" s="5"/>
      <c r="G46" s="6">
        <f t="shared" si="7"/>
        <v>175.58333333333334</v>
      </c>
      <c r="H46" s="6">
        <f t="shared" si="7"/>
        <v>7.174155604247221</v>
      </c>
      <c r="I46" s="6">
        <f t="shared" si="8"/>
        <v>24.743728794418853</v>
      </c>
      <c r="J46" s="6"/>
      <c r="L46" s="6"/>
      <c r="M46" s="6"/>
      <c r="N46" s="6"/>
      <c r="O46" s="6"/>
    </row>
    <row r="47" spans="1:16" x14ac:dyDescent="0.5">
      <c r="A47" s="4">
        <v>31382</v>
      </c>
      <c r="B47" s="1">
        <v>56.5</v>
      </c>
      <c r="C47" s="5">
        <v>7.3197082903225796</v>
      </c>
      <c r="D47" s="5">
        <v>26.594452290322586</v>
      </c>
      <c r="E47" s="5"/>
      <c r="F47" s="5"/>
      <c r="G47" s="6">
        <f t="shared" si="7"/>
        <v>176.75</v>
      </c>
      <c r="H47" s="6">
        <f t="shared" si="7"/>
        <v>7.1864056042472209</v>
      </c>
      <c r="I47" s="6">
        <f t="shared" si="8"/>
        <v>24.87321132130057</v>
      </c>
      <c r="J47" s="6"/>
      <c r="L47" s="6"/>
      <c r="M47" s="6"/>
      <c r="N47" s="6"/>
      <c r="O47" s="6"/>
    </row>
    <row r="48" spans="1:16" x14ac:dyDescent="0.5">
      <c r="A48" s="4">
        <v>31413</v>
      </c>
      <c r="B48" s="1">
        <v>26</v>
      </c>
      <c r="C48" s="5">
        <v>7.3185687391304315</v>
      </c>
      <c r="D48" s="5">
        <v>24.859694225806457</v>
      </c>
      <c r="E48" s="5"/>
      <c r="F48" s="5"/>
      <c r="G48" s="6">
        <f t="shared" si="7"/>
        <v>177.58333333333334</v>
      </c>
      <c r="H48" s="6">
        <f t="shared" si="7"/>
        <v>7.211101381358664</v>
      </c>
      <c r="I48" s="6">
        <f t="shared" si="8"/>
        <v>24.973579600870462</v>
      </c>
      <c r="J48" s="6"/>
      <c r="L48" s="6"/>
      <c r="M48" s="6"/>
      <c r="N48" s="6"/>
      <c r="O48" s="6"/>
    </row>
    <row r="49" spans="1:15" x14ac:dyDescent="0.5">
      <c r="A49" s="4">
        <v>31444</v>
      </c>
      <c r="B49" s="1">
        <v>57.5</v>
      </c>
      <c r="C49" s="5">
        <v>7.0586362857142833</v>
      </c>
      <c r="D49" s="5">
        <v>23.372630285714294</v>
      </c>
      <c r="E49" s="5"/>
      <c r="F49" s="5"/>
      <c r="G49" s="6">
        <f t="shared" si="7"/>
        <v>172.29166666666666</v>
      </c>
      <c r="H49" s="6">
        <f t="shared" si="7"/>
        <v>7.2209049527872367</v>
      </c>
      <c r="I49" s="6">
        <f t="shared" si="8"/>
        <v>25.046923350870461</v>
      </c>
      <c r="J49" s="6"/>
      <c r="L49" s="6"/>
      <c r="M49" s="6"/>
      <c r="N49" s="6"/>
      <c r="O49" s="6"/>
    </row>
    <row r="50" spans="1:15" x14ac:dyDescent="0.5">
      <c r="A50" s="4">
        <v>31472</v>
      </c>
      <c r="B50" s="1">
        <v>129.5</v>
      </c>
      <c r="C50" s="5">
        <v>6.9833211935483837</v>
      </c>
      <c r="D50" s="5">
        <v>22.215661967741948</v>
      </c>
      <c r="E50" s="5"/>
      <c r="F50" s="5"/>
      <c r="G50" s="6">
        <f t="shared" si="7"/>
        <v>163.41666666666666</v>
      </c>
      <c r="H50" s="6">
        <f t="shared" si="7"/>
        <v>7.2245985011743317</v>
      </c>
      <c r="I50" s="6">
        <f t="shared" si="8"/>
        <v>25.095340017537129</v>
      </c>
      <c r="J50" s="6"/>
      <c r="L50" s="6"/>
      <c r="M50" s="6"/>
      <c r="N50" s="6"/>
      <c r="O50" s="6"/>
    </row>
    <row r="51" spans="1:15" x14ac:dyDescent="0.5">
      <c r="A51" s="4">
        <v>31503</v>
      </c>
      <c r="B51" s="1">
        <v>117.5</v>
      </c>
      <c r="C51" s="5">
        <v>6.9250303333333276</v>
      </c>
      <c r="D51" s="5">
        <v>21.373841000000009</v>
      </c>
      <c r="E51" s="5"/>
      <c r="F51" s="5"/>
      <c r="G51" s="6">
        <f t="shared" si="7"/>
        <v>160.04166666666666</v>
      </c>
      <c r="H51" s="6">
        <f t="shared" si="7"/>
        <v>7.2247554456187766</v>
      </c>
      <c r="I51" s="6">
        <f t="shared" si="8"/>
        <v>25.115928906426021</v>
      </c>
      <c r="J51" s="6"/>
      <c r="L51" s="6"/>
      <c r="M51" s="6"/>
      <c r="N51" s="6"/>
      <c r="O51" s="6"/>
    </row>
    <row r="52" spans="1:15" x14ac:dyDescent="0.5">
      <c r="A52" s="4">
        <v>31533</v>
      </c>
      <c r="B52" s="1">
        <v>241</v>
      </c>
      <c r="C52" s="5">
        <v>6.9337728064516089</v>
      </c>
      <c r="D52" s="5">
        <v>20.816791000000002</v>
      </c>
      <c r="E52" s="5"/>
      <c r="F52" s="5"/>
      <c r="G52" s="6">
        <f t="shared" si="7"/>
        <v>162.75</v>
      </c>
      <c r="H52" s="6">
        <f t="shared" si="7"/>
        <v>7.2264620316402821</v>
      </c>
      <c r="I52" s="6">
        <f t="shared" si="8"/>
        <v>25.118661433307739</v>
      </c>
      <c r="J52" s="6"/>
      <c r="L52" s="6"/>
      <c r="M52" s="6"/>
      <c r="N52" s="6"/>
      <c r="O52" s="6"/>
    </row>
    <row r="53" spans="1:15" x14ac:dyDescent="0.5">
      <c r="A53" s="4">
        <v>31564</v>
      </c>
      <c r="B53" s="1">
        <v>434</v>
      </c>
      <c r="C53" s="5">
        <v>6.9289136666666655</v>
      </c>
      <c r="D53" s="5">
        <v>20.674057666666673</v>
      </c>
      <c r="E53" s="5"/>
      <c r="F53" s="5"/>
      <c r="G53" s="6">
        <f t="shared" si="7"/>
        <v>162.70833333333334</v>
      </c>
      <c r="H53" s="6">
        <f t="shared" si="7"/>
        <v>7.2185050871958394</v>
      </c>
      <c r="I53" s="6">
        <f t="shared" si="8"/>
        <v>25.084723933307743</v>
      </c>
      <c r="J53" s="6"/>
      <c r="L53" s="6"/>
      <c r="M53" s="6"/>
      <c r="N53" s="6"/>
      <c r="O53" s="6"/>
    </row>
    <row r="54" spans="1:15" x14ac:dyDescent="0.5">
      <c r="A54" s="4">
        <v>31594</v>
      </c>
      <c r="B54" s="1">
        <v>328.5</v>
      </c>
      <c r="C54" s="5">
        <v>7.1766115161290287</v>
      </c>
      <c r="D54" s="5">
        <v>22.9996780967742</v>
      </c>
      <c r="E54" s="5"/>
      <c r="F54" s="5"/>
      <c r="G54" s="6">
        <f t="shared" si="7"/>
        <v>155.375</v>
      </c>
      <c r="H54" s="6">
        <f t="shared" si="7"/>
        <v>7.2020763237549792</v>
      </c>
      <c r="I54" s="6">
        <f t="shared" si="8"/>
        <v>24.963303234383005</v>
      </c>
      <c r="J54" s="6"/>
      <c r="L54" s="6"/>
      <c r="M54" s="6"/>
      <c r="N54" s="6"/>
      <c r="O54" s="6"/>
    </row>
    <row r="55" spans="1:15" x14ac:dyDescent="0.5">
      <c r="A55" s="4">
        <v>31625</v>
      </c>
      <c r="B55" s="1">
        <v>122</v>
      </c>
      <c r="C55" s="5">
        <v>7.2046437741935456</v>
      </c>
      <c r="D55" s="5">
        <v>26.251984548387099</v>
      </c>
      <c r="E55" s="5"/>
      <c r="F55" s="5"/>
      <c r="G55" s="6">
        <f t="shared" si="7"/>
        <v>160.70833333333334</v>
      </c>
      <c r="H55" s="6">
        <f t="shared" si="7"/>
        <v>7.1906489044001392</v>
      </c>
      <c r="I55" s="6">
        <f t="shared" si="8"/>
        <v>24.838085492447519</v>
      </c>
      <c r="J55" s="6"/>
      <c r="L55" s="6"/>
      <c r="M55" s="6"/>
      <c r="N55" s="6"/>
      <c r="O55" s="6"/>
    </row>
    <row r="56" spans="1:15" x14ac:dyDescent="0.5">
      <c r="A56" s="4">
        <v>31656</v>
      </c>
      <c r="B56" s="1">
        <v>156.5</v>
      </c>
      <c r="C56" s="5">
        <v>7.3705303333333303</v>
      </c>
      <c r="D56" s="5">
        <v>28.392657666666675</v>
      </c>
      <c r="E56" s="5"/>
      <c r="F56" s="5"/>
      <c r="G56" s="6">
        <f t="shared" si="7"/>
        <v>157.95833333333334</v>
      </c>
      <c r="H56" s="6">
        <f t="shared" si="7"/>
        <v>7.1839586266223607</v>
      </c>
      <c r="I56" s="6">
        <f t="shared" si="8"/>
        <v>24.710924381336412</v>
      </c>
      <c r="J56" s="6"/>
      <c r="L56" s="6"/>
      <c r="M56" s="6"/>
      <c r="N56" s="6"/>
      <c r="O56" s="6"/>
    </row>
    <row r="57" spans="1:15" x14ac:dyDescent="0.5">
      <c r="A57" s="4">
        <v>31686</v>
      </c>
      <c r="B57" s="1">
        <v>73.5</v>
      </c>
      <c r="C57" s="5">
        <v>7.4164018387096728</v>
      </c>
      <c r="D57" s="5">
        <v>28.973758741935498</v>
      </c>
      <c r="E57" s="5"/>
      <c r="F57" s="5"/>
      <c r="G57" s="6">
        <f t="shared" si="7"/>
        <v>153.04166666666666</v>
      </c>
      <c r="H57" s="6">
        <f t="shared" si="7"/>
        <v>7.1744196481277376</v>
      </c>
      <c r="I57" s="6">
        <f t="shared" si="8"/>
        <v>24.598076263056843</v>
      </c>
      <c r="J57" s="6"/>
      <c r="L57" s="6"/>
      <c r="M57" s="6"/>
      <c r="N57" s="6"/>
      <c r="O57" s="6"/>
    </row>
    <row r="58" spans="1:15" x14ac:dyDescent="0.5">
      <c r="A58" s="4">
        <v>31717</v>
      </c>
      <c r="B58" s="1">
        <v>22</v>
      </c>
      <c r="C58" s="5">
        <v>7.3831303333333276</v>
      </c>
      <c r="D58" s="5">
        <v>27.986707666666675</v>
      </c>
      <c r="E58" s="5"/>
      <c r="F58" s="5"/>
      <c r="G58" s="6">
        <f t="shared" si="7"/>
        <v>147.04166666666666</v>
      </c>
      <c r="H58" s="6">
        <f t="shared" si="7"/>
        <v>7.1682724259055162</v>
      </c>
      <c r="I58" s="6">
        <f t="shared" si="8"/>
        <v>24.54265959639018</v>
      </c>
      <c r="J58" s="6"/>
      <c r="L58" s="6"/>
      <c r="M58" s="6"/>
      <c r="N58" s="6"/>
      <c r="O58" s="6"/>
    </row>
    <row r="59" spans="1:15" x14ac:dyDescent="0.5">
      <c r="A59" s="4">
        <v>31747</v>
      </c>
      <c r="B59" s="1">
        <v>91.5</v>
      </c>
      <c r="C59" s="5">
        <v>7.2554179677419306</v>
      </c>
      <c r="D59" s="5">
        <v>26.241645838709687</v>
      </c>
      <c r="E59" s="5"/>
      <c r="F59" s="5"/>
      <c r="G59" s="6">
        <f t="shared" si="7"/>
        <v>149.95833333333334</v>
      </c>
      <c r="H59" s="6">
        <f t="shared" si="7"/>
        <v>7.1629148990237939</v>
      </c>
      <c r="I59" s="6">
        <f t="shared" si="8"/>
        <v>24.513259058755768</v>
      </c>
      <c r="J59" s="6"/>
      <c r="L59" s="6"/>
      <c r="M59" s="6"/>
      <c r="N59" s="6"/>
      <c r="O59" s="6"/>
    </row>
    <row r="60" spans="1:15" x14ac:dyDescent="0.5">
      <c r="A60" s="4">
        <v>31778</v>
      </c>
      <c r="B60" s="1">
        <v>67.5</v>
      </c>
      <c r="C60" s="5">
        <v>7.1567405483870923</v>
      </c>
      <c r="D60" s="5">
        <v>24.768823258064526</v>
      </c>
      <c r="E60" s="5"/>
      <c r="F60" s="5"/>
      <c r="G60" s="6">
        <f t="shared" si="7"/>
        <v>153.41666666666666</v>
      </c>
      <c r="H60" s="6">
        <f t="shared" si="7"/>
        <v>7.1494292164618507</v>
      </c>
      <c r="I60" s="6">
        <f t="shared" si="8"/>
        <v>24.505686478110608</v>
      </c>
      <c r="J60" s="6"/>
      <c r="L60" s="6"/>
      <c r="M60" s="6"/>
      <c r="N60" s="6"/>
      <c r="O60" s="6"/>
    </row>
    <row r="61" spans="1:15" x14ac:dyDescent="0.5">
      <c r="A61" s="4">
        <v>31809</v>
      </c>
      <c r="B61" s="1">
        <v>70.5</v>
      </c>
      <c r="C61" s="5">
        <v>7.0564577142857106</v>
      </c>
      <c r="D61" s="5">
        <v>23.500219571428588</v>
      </c>
      <c r="E61" s="5"/>
      <c r="F61" s="5"/>
      <c r="G61" s="6">
        <f t="shared" si="7"/>
        <v>154.5</v>
      </c>
      <c r="H61" s="6">
        <f t="shared" si="7"/>
        <v>7.1492476688428033</v>
      </c>
      <c r="I61" s="6">
        <f t="shared" si="8"/>
        <v>24.516318918586801</v>
      </c>
      <c r="J61" s="6"/>
      <c r="L61" s="6"/>
      <c r="M61" s="6"/>
      <c r="N61" s="6"/>
      <c r="O61" s="6"/>
    </row>
    <row r="62" spans="1:15" x14ac:dyDescent="0.5">
      <c r="A62" s="4">
        <v>31837</v>
      </c>
      <c r="B62" s="1">
        <v>234</v>
      </c>
      <c r="C62" s="5">
        <v>7.0177082903225791</v>
      </c>
      <c r="D62" s="5">
        <v>22.540242612903238</v>
      </c>
      <c r="E62" s="5"/>
      <c r="F62" s="5"/>
      <c r="G62" s="6">
        <f t="shared" si="7"/>
        <v>163.20833333333334</v>
      </c>
      <c r="H62" s="6">
        <f t="shared" si="7"/>
        <v>7.1521132602406512</v>
      </c>
      <c r="I62" s="6">
        <f t="shared" si="8"/>
        <v>24.543367305683574</v>
      </c>
      <c r="J62" s="6"/>
      <c r="L62" s="6"/>
      <c r="M62" s="6"/>
      <c r="N62" s="6"/>
      <c r="O62" s="6"/>
    </row>
    <row r="63" spans="1:15" x14ac:dyDescent="0.5">
      <c r="A63" s="4">
        <v>31868</v>
      </c>
      <c r="B63" s="1">
        <v>176.5</v>
      </c>
      <c r="C63" s="5">
        <v>6.9953803333333306</v>
      </c>
      <c r="D63" s="5">
        <v>21.979957666666678</v>
      </c>
      <c r="E63" s="5">
        <v>14.855688379310347</v>
      </c>
      <c r="F63" s="5"/>
      <c r="G63" s="6">
        <f t="shared" si="7"/>
        <v>168.125</v>
      </c>
      <c r="H63" s="6">
        <f t="shared" si="7"/>
        <v>7.1579757602406522</v>
      </c>
      <c r="I63" s="6">
        <f t="shared" si="8"/>
        <v>24.593877027905794</v>
      </c>
      <c r="J63" s="6">
        <f t="shared" si="8"/>
        <v>14.855688379310347</v>
      </c>
      <c r="L63" s="6"/>
      <c r="M63" s="6"/>
      <c r="N63" s="6"/>
      <c r="O63" s="6"/>
    </row>
    <row r="64" spans="1:15" x14ac:dyDescent="0.5">
      <c r="A64" s="4">
        <v>31898</v>
      </c>
      <c r="B64" s="1">
        <v>282.5</v>
      </c>
      <c r="C64" s="5">
        <v>7.0195631290322549</v>
      </c>
      <c r="D64" s="5">
        <v>21.705839387096784</v>
      </c>
      <c r="E64" s="5">
        <v>14.628285709677421</v>
      </c>
      <c r="F64" s="5"/>
      <c r="G64" s="6">
        <f t="shared" si="7"/>
        <v>171.58333333333334</v>
      </c>
      <c r="H64" s="6">
        <f t="shared" si="7"/>
        <v>7.1651249537890385</v>
      </c>
      <c r="I64" s="6">
        <f t="shared" si="7"/>
        <v>24.66796439349719</v>
      </c>
      <c r="J64" s="6">
        <f t="shared" si="7"/>
        <v>14.741987044493884</v>
      </c>
      <c r="L64" s="6"/>
      <c r="M64" s="6"/>
      <c r="N64" s="6"/>
      <c r="O64" s="6"/>
    </row>
    <row r="65" spans="1:15" x14ac:dyDescent="0.5">
      <c r="A65" s="4">
        <v>31929</v>
      </c>
      <c r="B65" s="1">
        <v>246</v>
      </c>
      <c r="C65" s="5">
        <v>7.0968803333333303</v>
      </c>
      <c r="D65" s="5">
        <v>22.108124333333347</v>
      </c>
      <c r="E65" s="5">
        <v>14.682447</v>
      </c>
      <c r="F65" s="5"/>
      <c r="G65" s="6">
        <f t="shared" si="7"/>
        <v>155.91666666666666</v>
      </c>
      <c r="H65" s="6">
        <f t="shared" si="7"/>
        <v>7.1791221760112611</v>
      </c>
      <c r="I65" s="6">
        <f t="shared" si="7"/>
        <v>24.787469949052749</v>
      </c>
      <c r="J65" s="6">
        <f t="shared" si="7"/>
        <v>14.722140362995923</v>
      </c>
      <c r="L65" s="6"/>
      <c r="M65" s="6"/>
      <c r="N65" s="6"/>
      <c r="O65" s="6"/>
    </row>
    <row r="66" spans="1:15" x14ac:dyDescent="0.5">
      <c r="A66" s="4">
        <v>31959</v>
      </c>
      <c r="B66" s="1">
        <v>854.5</v>
      </c>
      <c r="C66" s="5">
        <v>7.4547244193548359</v>
      </c>
      <c r="D66" s="5">
        <v>25.086484548387112</v>
      </c>
      <c r="E66" s="5">
        <v>16.244253451612906</v>
      </c>
      <c r="F66" s="5"/>
      <c r="G66" s="6">
        <f t="shared" si="7"/>
        <v>199.75</v>
      </c>
      <c r="H66" s="6">
        <f t="shared" si="7"/>
        <v>7.2022982512800793</v>
      </c>
      <c r="I66" s="6">
        <f t="shared" si="7"/>
        <v>24.961370486687159</v>
      </c>
      <c r="J66" s="6">
        <f t="shared" si="7"/>
        <v>15.102668635150168</v>
      </c>
      <c r="L66" s="6"/>
      <c r="M66" s="6"/>
      <c r="N66" s="6"/>
      <c r="O66" s="6"/>
    </row>
    <row r="67" spans="1:15" x14ac:dyDescent="0.5">
      <c r="A67" s="4">
        <v>31990</v>
      </c>
      <c r="B67" s="1">
        <v>477.5</v>
      </c>
      <c r="C67" s="5">
        <v>7.7169824838709635</v>
      </c>
      <c r="D67" s="5">
        <v>31.190839387096783</v>
      </c>
      <c r="E67" s="5">
        <v>19.250059903225807</v>
      </c>
      <c r="F67" s="5"/>
      <c r="G67" s="6">
        <f t="shared" si="7"/>
        <v>229.375</v>
      </c>
      <c r="H67" s="6">
        <f t="shared" si="7"/>
        <v>7.244993143753196</v>
      </c>
      <c r="I67" s="6">
        <f t="shared" si="7"/>
        <v>25.372941723246299</v>
      </c>
      <c r="J67" s="6">
        <f t="shared" si="7"/>
        <v>15.932146888765297</v>
      </c>
      <c r="L67" s="6"/>
      <c r="M67" s="6"/>
      <c r="N67" s="6"/>
      <c r="O67" s="6"/>
    </row>
    <row r="68" spans="1:15" x14ac:dyDescent="0.5">
      <c r="A68" s="4">
        <v>32021</v>
      </c>
      <c r="B68" s="1">
        <v>118.5</v>
      </c>
      <c r="C68" s="5">
        <v>7.76738033333333</v>
      </c>
      <c r="D68" s="5">
        <v>33.539457666666671</v>
      </c>
      <c r="E68" s="5">
        <v>20.087446999999997</v>
      </c>
      <c r="F68" s="5"/>
      <c r="G68" s="6">
        <f t="shared" si="7"/>
        <v>226.20833333333334</v>
      </c>
      <c r="H68" s="6">
        <f t="shared" si="7"/>
        <v>7.2780639770865294</v>
      </c>
      <c r="I68" s="6">
        <f t="shared" si="7"/>
        <v>25.801841723246298</v>
      </c>
      <c r="J68" s="6">
        <f t="shared" si="7"/>
        <v>16.624696907304415</v>
      </c>
      <c r="L68" s="6"/>
      <c r="M68" s="6"/>
      <c r="N68" s="6"/>
      <c r="O68" s="6"/>
    </row>
    <row r="69" spans="1:15" x14ac:dyDescent="0.5">
      <c r="A69" s="4">
        <v>32051</v>
      </c>
      <c r="B69" s="1">
        <v>148</v>
      </c>
      <c r="C69" s="5">
        <v>7.7653695806451593</v>
      </c>
      <c r="D69" s="5">
        <v>34.268581322580658</v>
      </c>
      <c r="E69" s="5">
        <v>20.377156677419357</v>
      </c>
      <c r="F69" s="5"/>
      <c r="G69" s="6">
        <f t="shared" si="7"/>
        <v>232.41666666666666</v>
      </c>
      <c r="H69" s="6">
        <f t="shared" si="7"/>
        <v>7.3071446222478214</v>
      </c>
      <c r="I69" s="6">
        <f t="shared" si="7"/>
        <v>26.243076938300064</v>
      </c>
      <c r="J69" s="6">
        <f t="shared" si="7"/>
        <v>17.160762588749407</v>
      </c>
      <c r="L69" s="6"/>
      <c r="M69" s="6"/>
      <c r="N69" s="6"/>
      <c r="O69" s="6"/>
    </row>
    <row r="70" spans="1:15" x14ac:dyDescent="0.5">
      <c r="A70" s="4">
        <v>32082</v>
      </c>
      <c r="B70" s="1">
        <v>48</v>
      </c>
      <c r="C70" s="5">
        <v>7.6762136666666638</v>
      </c>
      <c r="D70" s="5">
        <v>33.097174333333342</v>
      </c>
      <c r="E70" s="5">
        <v>19.929613666666668</v>
      </c>
      <c r="F70" s="5"/>
      <c r="G70" s="6">
        <f t="shared" si="7"/>
        <v>234.58333333333334</v>
      </c>
      <c r="H70" s="6">
        <f t="shared" si="7"/>
        <v>7.3315682333589329</v>
      </c>
      <c r="I70" s="6">
        <f t="shared" si="7"/>
        <v>26.668949160522285</v>
      </c>
      <c r="J70" s="6">
        <f t="shared" si="7"/>
        <v>17.506868973489063</v>
      </c>
      <c r="L70" s="6"/>
      <c r="M70" s="6"/>
      <c r="N70" s="6"/>
      <c r="O70" s="6"/>
    </row>
    <row r="71" spans="1:15" x14ac:dyDescent="0.5">
      <c r="A71" s="4">
        <v>32112</v>
      </c>
      <c r="B71" s="1">
        <v>29</v>
      </c>
      <c r="C71" s="5">
        <v>7.4853695806451572</v>
      </c>
      <c r="D71" s="5">
        <v>31.1356780967742</v>
      </c>
      <c r="E71" s="5">
        <v>19.084947</v>
      </c>
      <c r="F71" s="5"/>
      <c r="G71" s="6">
        <f t="shared" si="7"/>
        <v>229.375</v>
      </c>
      <c r="H71" s="6">
        <f t="shared" si="7"/>
        <v>7.3507308677675347</v>
      </c>
      <c r="I71" s="6">
        <f t="shared" si="7"/>
        <v>27.07678518202766</v>
      </c>
      <c r="J71" s="6">
        <f t="shared" si="7"/>
        <v>17.682210976434721</v>
      </c>
      <c r="L71" s="6"/>
      <c r="M71" s="6"/>
      <c r="N71" s="6"/>
      <c r="O71" s="6"/>
    </row>
    <row r="72" spans="1:15" x14ac:dyDescent="0.5">
      <c r="A72" s="4">
        <v>32143</v>
      </c>
      <c r="B72" s="1">
        <v>37.5</v>
      </c>
      <c r="C72" s="5">
        <v>7.3763373225806426</v>
      </c>
      <c r="D72" s="5">
        <v>29.214549064516142</v>
      </c>
      <c r="E72" s="5">
        <v>18.257640548387098</v>
      </c>
      <c r="F72" s="5"/>
      <c r="G72" s="6">
        <f t="shared" si="7"/>
        <v>226.875</v>
      </c>
      <c r="H72" s="6">
        <f t="shared" si="7"/>
        <v>7.3690305989503306</v>
      </c>
      <c r="I72" s="6">
        <f t="shared" si="7"/>
        <v>27.447262332565291</v>
      </c>
      <c r="J72" s="6">
        <f t="shared" si="7"/>
        <v>17.739753933629959</v>
      </c>
      <c r="L72" s="6"/>
      <c r="M72" s="6"/>
      <c r="N72" s="6"/>
      <c r="O72" s="6"/>
    </row>
    <row r="73" spans="1:15" x14ac:dyDescent="0.5">
      <c r="A73" s="4">
        <v>32174</v>
      </c>
      <c r="B73" s="1">
        <v>70</v>
      </c>
      <c r="C73" s="5">
        <v>7.2840125172413792</v>
      </c>
      <c r="D73" s="5">
        <v>27.308842724137936</v>
      </c>
      <c r="E73" s="5">
        <v>17.457240103448274</v>
      </c>
      <c r="F73" s="5"/>
      <c r="G73" s="6">
        <f t="shared" si="7"/>
        <v>226.83333333333334</v>
      </c>
      <c r="H73" s="6">
        <f t="shared" si="7"/>
        <v>7.387993499196635</v>
      </c>
      <c r="I73" s="6">
        <f t="shared" si="7"/>
        <v>27.76464759529107</v>
      </c>
      <c r="J73" s="6">
        <f t="shared" si="7"/>
        <v>17.714070858158895</v>
      </c>
      <c r="L73" s="6"/>
      <c r="M73" s="6"/>
      <c r="N73" s="6"/>
      <c r="O73" s="6"/>
    </row>
    <row r="74" spans="1:15" x14ac:dyDescent="0.5">
      <c r="A74" s="4">
        <v>32203</v>
      </c>
      <c r="B74" s="1">
        <v>184</v>
      </c>
      <c r="C74" s="5">
        <v>7.1903695806451564</v>
      </c>
      <c r="D74" s="5">
        <v>25.683258741935497</v>
      </c>
      <c r="E74" s="5">
        <v>16.797801838709677</v>
      </c>
      <c r="F74" s="5"/>
      <c r="G74" s="6">
        <f t="shared" si="7"/>
        <v>222.66666666666666</v>
      </c>
      <c r="H74" s="6">
        <f t="shared" si="7"/>
        <v>7.4023819400568494</v>
      </c>
      <c r="I74" s="6">
        <f t="shared" si="7"/>
        <v>28.026565606043761</v>
      </c>
      <c r="J74" s="6">
        <f t="shared" si="7"/>
        <v>17.637715106538128</v>
      </c>
      <c r="L74" s="6"/>
      <c r="M74" s="6"/>
      <c r="N74" s="6"/>
      <c r="O74" s="6"/>
    </row>
    <row r="75" spans="1:15" x14ac:dyDescent="0.5">
      <c r="A75" s="4">
        <v>32234</v>
      </c>
      <c r="B75" s="1">
        <v>140</v>
      </c>
      <c r="C75" s="5">
        <v>7.1455469999999943</v>
      </c>
      <c r="D75" s="5">
        <v>24.393291000000001</v>
      </c>
      <c r="E75" s="5">
        <v>16.280447000000002</v>
      </c>
      <c r="F75" s="5"/>
      <c r="G75" s="6">
        <f t="shared" si="7"/>
        <v>219.625</v>
      </c>
      <c r="H75" s="6">
        <f t="shared" si="7"/>
        <v>7.4148958289457383</v>
      </c>
      <c r="I75" s="6">
        <f t="shared" si="7"/>
        <v>28.227676717154868</v>
      </c>
      <c r="J75" s="6">
        <f t="shared" si="7"/>
        <v>17.756444991595604</v>
      </c>
      <c r="L75" s="6"/>
      <c r="M75" s="6"/>
      <c r="N75" s="6"/>
      <c r="O75" s="6"/>
    </row>
    <row r="76" spans="1:15" x14ac:dyDescent="0.5">
      <c r="A76" s="4">
        <v>32264</v>
      </c>
      <c r="B76" s="1">
        <v>553</v>
      </c>
      <c r="C76" s="5">
        <v>7.3292405483870962</v>
      </c>
      <c r="D76" s="5">
        <v>24.426968419354843</v>
      </c>
      <c r="E76" s="5">
        <v>16.384253451612906</v>
      </c>
      <c r="F76" s="5"/>
      <c r="G76" s="6">
        <f t="shared" si="7"/>
        <v>242.16666666666666</v>
      </c>
      <c r="H76" s="6">
        <f t="shared" si="7"/>
        <v>7.440702280558642</v>
      </c>
      <c r="I76" s="6">
        <f t="shared" si="7"/>
        <v>28.454437469843043</v>
      </c>
      <c r="J76" s="6">
        <f t="shared" si="7"/>
        <v>17.902775636756889</v>
      </c>
      <c r="L76" s="6"/>
      <c r="M76" s="6"/>
      <c r="N76" s="6"/>
      <c r="O76" s="6"/>
    </row>
    <row r="77" spans="1:15" x14ac:dyDescent="0.5">
      <c r="A77" s="4">
        <v>32295</v>
      </c>
      <c r="B77" s="1">
        <v>539</v>
      </c>
      <c r="C77" s="5">
        <v>7.3525469999999968</v>
      </c>
      <c r="D77" s="5">
        <v>25.135291000000013</v>
      </c>
      <c r="E77" s="5">
        <v>16.704447000000002</v>
      </c>
      <c r="F77" s="5"/>
      <c r="G77" s="6">
        <f t="shared" si="7"/>
        <v>266.58333333333331</v>
      </c>
      <c r="H77" s="6">
        <f t="shared" si="7"/>
        <v>7.4620078361141973</v>
      </c>
      <c r="I77" s="6">
        <f t="shared" si="7"/>
        <v>28.706701358731934</v>
      </c>
      <c r="J77" s="6">
        <f t="shared" si="7"/>
        <v>18.071275636756894</v>
      </c>
      <c r="L77" s="6"/>
      <c r="M77" s="6"/>
      <c r="N77" s="6"/>
      <c r="O77" s="6"/>
    </row>
    <row r="78" spans="1:15" x14ac:dyDescent="0.5">
      <c r="A78" s="4">
        <v>32325</v>
      </c>
      <c r="B78" s="1">
        <v>249</v>
      </c>
      <c r="C78" s="5">
        <v>7.3816599032258026</v>
      </c>
      <c r="D78" s="5">
        <v>27.309387774193556</v>
      </c>
      <c r="E78" s="5">
        <v>17.539898612903229</v>
      </c>
      <c r="F78" s="5"/>
      <c r="G78" s="6">
        <f t="shared" si="7"/>
        <v>216.125</v>
      </c>
      <c r="H78" s="6">
        <f t="shared" si="7"/>
        <v>7.4559191264367781</v>
      </c>
      <c r="I78" s="6">
        <f t="shared" si="7"/>
        <v>28.891943294215807</v>
      </c>
      <c r="J78" s="6">
        <f t="shared" si="7"/>
        <v>18.179246066864422</v>
      </c>
      <c r="L78" s="6"/>
      <c r="M78" s="6"/>
      <c r="N78" s="6"/>
      <c r="O78" s="6"/>
    </row>
    <row r="79" spans="1:15" x14ac:dyDescent="0.5">
      <c r="A79" s="4">
        <v>32356</v>
      </c>
      <c r="B79" s="1">
        <v>149</v>
      </c>
      <c r="C79" s="5">
        <v>7.4753695806451574</v>
      </c>
      <c r="D79" s="5">
        <v>29.63927487096775</v>
      </c>
      <c r="E79" s="5">
        <v>18.487963129032259</v>
      </c>
      <c r="F79" s="5"/>
      <c r="G79" s="6">
        <f t="shared" ref="G79:J142" si="33">AVERAGE(B68:B79)</f>
        <v>188.75</v>
      </c>
      <c r="H79" s="6">
        <f t="shared" si="33"/>
        <v>7.4357847178346264</v>
      </c>
      <c r="I79" s="6">
        <f t="shared" si="33"/>
        <v>28.762646251205055</v>
      </c>
      <c r="J79" s="6">
        <f t="shared" si="33"/>
        <v>18.115738002348294</v>
      </c>
      <c r="L79" s="6"/>
      <c r="M79" s="6"/>
      <c r="N79" s="6"/>
      <c r="O79" s="6"/>
    </row>
    <row r="80" spans="1:15" x14ac:dyDescent="0.5">
      <c r="A80" s="4">
        <v>32387</v>
      </c>
      <c r="B80" s="1">
        <v>200</v>
      </c>
      <c r="C80" s="5">
        <v>7.5542136666666631</v>
      </c>
      <c r="D80" s="5">
        <v>31.110674333333346</v>
      </c>
      <c r="E80" s="5">
        <v>19.017280333333332</v>
      </c>
      <c r="F80" s="5"/>
      <c r="G80" s="6">
        <f t="shared" si="33"/>
        <v>195.54166666666666</v>
      </c>
      <c r="H80" s="6">
        <f t="shared" si="33"/>
        <v>7.4180208289457381</v>
      </c>
      <c r="I80" s="6">
        <f t="shared" si="33"/>
        <v>28.560247640093944</v>
      </c>
      <c r="J80" s="6">
        <f t="shared" si="33"/>
        <v>18.026557446792733</v>
      </c>
      <c r="L80" s="6"/>
      <c r="M80" s="6"/>
      <c r="N80" s="6"/>
      <c r="O80" s="6"/>
    </row>
    <row r="81" spans="1:15" x14ac:dyDescent="0.5">
      <c r="A81" s="4">
        <v>32417</v>
      </c>
      <c r="B81" s="1">
        <v>27.5</v>
      </c>
      <c r="C81" s="5">
        <v>7.554240548387094</v>
      </c>
      <c r="D81" s="5">
        <v>31.374549064516138</v>
      </c>
      <c r="E81" s="5">
        <v>19.079576032258061</v>
      </c>
      <c r="F81" s="5"/>
      <c r="G81" s="6">
        <f t="shared" si="33"/>
        <v>185.5</v>
      </c>
      <c r="H81" s="6">
        <f t="shared" si="33"/>
        <v>7.4004267429242345</v>
      </c>
      <c r="I81" s="6">
        <f t="shared" si="33"/>
        <v>28.31907828525523</v>
      </c>
      <c r="J81" s="6">
        <f t="shared" si="33"/>
        <v>17.918425726362628</v>
      </c>
      <c r="L81" s="6"/>
      <c r="M81" s="6"/>
      <c r="N81" s="6"/>
      <c r="O81" s="6"/>
    </row>
    <row r="82" spans="1:15" x14ac:dyDescent="0.5">
      <c r="A82" s="4">
        <v>32448</v>
      </c>
      <c r="B82" s="1">
        <v>38</v>
      </c>
      <c r="C82" s="5">
        <v>7.4748803333333314</v>
      </c>
      <c r="D82" s="5">
        <v>29.969457666666671</v>
      </c>
      <c r="E82" s="5">
        <v>18.501947000000001</v>
      </c>
      <c r="F82" s="5"/>
      <c r="G82" s="6">
        <f t="shared" si="33"/>
        <v>184.66666666666666</v>
      </c>
      <c r="H82" s="6">
        <f t="shared" si="33"/>
        <v>7.383648965146457</v>
      </c>
      <c r="I82" s="6">
        <f t="shared" si="33"/>
        <v>28.058435229699672</v>
      </c>
      <c r="J82" s="6">
        <f t="shared" si="33"/>
        <v>17.799453504140406</v>
      </c>
      <c r="L82" s="6"/>
      <c r="M82" s="6"/>
      <c r="N82" s="6"/>
      <c r="O82" s="6"/>
    </row>
    <row r="83" spans="1:15" x14ac:dyDescent="0.5">
      <c r="A83" s="4">
        <v>32478</v>
      </c>
      <c r="B83" s="1">
        <v>17</v>
      </c>
      <c r="C83" s="5">
        <v>7.357305064516126</v>
      </c>
      <c r="D83" s="5">
        <v>28.042774870967751</v>
      </c>
      <c r="E83" s="5">
        <v>17.657317967741939</v>
      </c>
      <c r="F83" s="5"/>
      <c r="G83" s="6">
        <f t="shared" si="33"/>
        <v>183.66666666666666</v>
      </c>
      <c r="H83" s="6">
        <f t="shared" si="33"/>
        <v>7.3729769221357033</v>
      </c>
      <c r="I83" s="6">
        <f t="shared" si="33"/>
        <v>27.800693294215804</v>
      </c>
      <c r="J83" s="6">
        <f t="shared" si="33"/>
        <v>17.680484418118898</v>
      </c>
      <c r="L83" s="6"/>
      <c r="M83" s="6"/>
      <c r="N83" s="6"/>
      <c r="O83" s="6"/>
    </row>
    <row r="84" spans="1:15" x14ac:dyDescent="0.5">
      <c r="A84" s="4">
        <v>32509</v>
      </c>
      <c r="B84" s="1">
        <v>171.5</v>
      </c>
      <c r="C84" s="5">
        <v>7.2656921612903194</v>
      </c>
      <c r="D84" s="5">
        <v>26.310032935483878</v>
      </c>
      <c r="E84" s="5">
        <v>16.917479258064517</v>
      </c>
      <c r="F84" s="5"/>
      <c r="G84" s="6">
        <f t="shared" si="33"/>
        <v>194.83333333333334</v>
      </c>
      <c r="H84" s="6">
        <f t="shared" si="33"/>
        <v>7.3637564920281759</v>
      </c>
      <c r="I84" s="6">
        <f t="shared" si="33"/>
        <v>27.55865028346312</v>
      </c>
      <c r="J84" s="6">
        <f t="shared" si="33"/>
        <v>17.568804310592018</v>
      </c>
      <c r="L84" s="6"/>
      <c r="M84" s="6"/>
      <c r="N84" s="6"/>
      <c r="O84" s="6"/>
    </row>
    <row r="85" spans="1:15" x14ac:dyDescent="0.5">
      <c r="A85" s="4">
        <v>32540</v>
      </c>
      <c r="B85" s="1">
        <v>200.5</v>
      </c>
      <c r="C85" s="5">
        <v>7.2055827142857121</v>
      </c>
      <c r="D85" s="5">
        <v>25.048898142857148</v>
      </c>
      <c r="E85" s="5">
        <v>16.293982714285718</v>
      </c>
      <c r="F85" s="5"/>
      <c r="G85" s="6">
        <f t="shared" si="33"/>
        <v>205.70833333333334</v>
      </c>
      <c r="H85" s="6">
        <f t="shared" si="33"/>
        <v>7.3572206751152045</v>
      </c>
      <c r="I85" s="6">
        <f t="shared" si="33"/>
        <v>27.370321568356385</v>
      </c>
      <c r="J85" s="6">
        <f t="shared" si="33"/>
        <v>17.471866194828475</v>
      </c>
      <c r="L85" s="6"/>
      <c r="M85" s="6"/>
      <c r="N85" s="6"/>
      <c r="O85" s="6"/>
    </row>
    <row r="86" spans="1:15" x14ac:dyDescent="0.5">
      <c r="A86" s="4">
        <v>32568</v>
      </c>
      <c r="B86" s="1">
        <v>148.5</v>
      </c>
      <c r="C86" s="5">
        <v>7.1595631290322554</v>
      </c>
      <c r="D86" s="5">
        <v>23.891807129032266</v>
      </c>
      <c r="E86" s="5">
        <v>15.867479258064517</v>
      </c>
      <c r="F86" s="5"/>
      <c r="G86" s="6">
        <f t="shared" si="33"/>
        <v>202.75</v>
      </c>
      <c r="H86" s="6">
        <f t="shared" si="33"/>
        <v>7.354653470814128</v>
      </c>
      <c r="I86" s="6">
        <f t="shared" si="33"/>
        <v>27.221033933947776</v>
      </c>
      <c r="J86" s="6">
        <f t="shared" si="33"/>
        <v>17.394339313108038</v>
      </c>
      <c r="L86" s="6"/>
      <c r="M86" s="6"/>
      <c r="N86" s="6"/>
      <c r="O86" s="6"/>
    </row>
    <row r="87" spans="1:15" x14ac:dyDescent="0.5">
      <c r="A87" s="4">
        <v>32599</v>
      </c>
      <c r="B87" s="1">
        <v>35.5</v>
      </c>
      <c r="C87" s="5">
        <v>7.0847136666666648</v>
      </c>
      <c r="D87" s="5">
        <v>23.131457666666684</v>
      </c>
      <c r="E87" s="5">
        <v>15.494113666666667</v>
      </c>
      <c r="F87" s="5"/>
      <c r="G87" s="6">
        <f t="shared" si="33"/>
        <v>194.04166666666666</v>
      </c>
      <c r="H87" s="6">
        <f t="shared" si="33"/>
        <v>7.3495840263696834</v>
      </c>
      <c r="I87" s="6">
        <f t="shared" si="33"/>
        <v>27.115881156170005</v>
      </c>
      <c r="J87" s="6">
        <f t="shared" si="33"/>
        <v>17.328811535330264</v>
      </c>
      <c r="L87" s="6"/>
      <c r="M87" s="6"/>
      <c r="N87" s="6"/>
      <c r="O87" s="6"/>
    </row>
    <row r="88" spans="1:15" x14ac:dyDescent="0.5">
      <c r="A88" s="4">
        <v>32629</v>
      </c>
      <c r="B88" s="1">
        <v>291.5</v>
      </c>
      <c r="C88" s="5">
        <v>7.0866599032258026</v>
      </c>
      <c r="D88" s="5">
        <v>22.561484548387114</v>
      </c>
      <c r="E88" s="5">
        <v>15.263656677419355</v>
      </c>
      <c r="F88" s="5"/>
      <c r="G88" s="6">
        <f t="shared" si="33"/>
        <v>172.25</v>
      </c>
      <c r="H88" s="6">
        <f t="shared" si="33"/>
        <v>7.3293689726062432</v>
      </c>
      <c r="I88" s="6">
        <f t="shared" si="33"/>
        <v>26.960424166922692</v>
      </c>
      <c r="J88" s="6">
        <f t="shared" si="33"/>
        <v>17.235428470814135</v>
      </c>
      <c r="L88" s="6"/>
      <c r="M88" s="6"/>
      <c r="N88" s="6"/>
      <c r="O88" s="6"/>
    </row>
    <row r="89" spans="1:15" x14ac:dyDescent="0.5">
      <c r="A89" s="4">
        <v>32660</v>
      </c>
      <c r="B89" s="1">
        <v>229.5</v>
      </c>
      <c r="C89" s="5">
        <v>7.0905231904761861</v>
      </c>
      <c r="D89" s="5">
        <v>22.735291000000007</v>
      </c>
      <c r="E89" s="5">
        <v>15.311280333333334</v>
      </c>
      <c r="F89" s="5"/>
      <c r="G89" s="6">
        <f t="shared" si="33"/>
        <v>146.45833333333334</v>
      </c>
      <c r="H89" s="6">
        <f t="shared" si="33"/>
        <v>7.3075336551459253</v>
      </c>
      <c r="I89" s="6">
        <f t="shared" si="33"/>
        <v>26.760424166922693</v>
      </c>
      <c r="J89" s="6">
        <f t="shared" si="33"/>
        <v>17.119331248591912</v>
      </c>
      <c r="L89" s="6"/>
      <c r="M89" s="6"/>
      <c r="N89" s="6"/>
      <c r="O89" s="6"/>
    </row>
    <row r="90" spans="1:15" x14ac:dyDescent="0.5">
      <c r="A90" s="4">
        <v>32690</v>
      </c>
      <c r="B90" s="1">
        <v>264.5</v>
      </c>
      <c r="C90" s="5">
        <v>7.1588931538461509</v>
      </c>
      <c r="D90" s="5">
        <v>24.046161967741948</v>
      </c>
      <c r="E90" s="5">
        <v>15.84586635483871</v>
      </c>
      <c r="F90" s="5"/>
      <c r="G90" s="6">
        <f t="shared" si="33"/>
        <v>147.75</v>
      </c>
      <c r="H90" s="6">
        <f t="shared" si="33"/>
        <v>7.2889697593642886</v>
      </c>
      <c r="I90" s="6">
        <f t="shared" si="33"/>
        <v>26.488488683051727</v>
      </c>
      <c r="J90" s="6">
        <f t="shared" si="33"/>
        <v>16.9781618937532</v>
      </c>
      <c r="L90" s="6"/>
      <c r="M90" s="6"/>
      <c r="N90" s="6"/>
      <c r="O90" s="6"/>
    </row>
    <row r="91" spans="1:15" x14ac:dyDescent="0.5">
      <c r="A91" s="4">
        <v>32721</v>
      </c>
      <c r="B91" s="1">
        <v>171</v>
      </c>
      <c r="C91" s="5">
        <v>7.1845631290322531</v>
      </c>
      <c r="D91" s="5">
        <v>25.692129709677427</v>
      </c>
      <c r="E91" s="5">
        <v>16.477366354838715</v>
      </c>
      <c r="F91" s="5"/>
      <c r="G91" s="6">
        <f t="shared" si="33"/>
        <v>149.58333333333334</v>
      </c>
      <c r="H91" s="6">
        <f t="shared" si="33"/>
        <v>7.2647358883965474</v>
      </c>
      <c r="I91" s="6">
        <f t="shared" si="33"/>
        <v>26.159559919610867</v>
      </c>
      <c r="J91" s="6">
        <f t="shared" si="33"/>
        <v>16.810612162570408</v>
      </c>
      <c r="L91" s="6"/>
      <c r="M91" s="6"/>
      <c r="N91" s="6"/>
      <c r="O91" s="6"/>
    </row>
    <row r="92" spans="1:15" x14ac:dyDescent="0.5">
      <c r="A92" s="4">
        <v>32752</v>
      </c>
      <c r="B92" s="1">
        <v>454</v>
      </c>
      <c r="C92" s="5">
        <v>7.4190469999999964</v>
      </c>
      <c r="D92" s="5">
        <v>27.85545766666667</v>
      </c>
      <c r="E92" s="5">
        <v>17.422613666666663</v>
      </c>
      <c r="F92" s="5"/>
      <c r="G92" s="6">
        <f t="shared" si="33"/>
        <v>170.75</v>
      </c>
      <c r="H92" s="6">
        <f t="shared" si="33"/>
        <v>7.2534719995076573</v>
      </c>
      <c r="I92" s="6">
        <f t="shared" si="33"/>
        <v>25.888291864055308</v>
      </c>
      <c r="J92" s="6">
        <f t="shared" si="33"/>
        <v>16.677723273681519</v>
      </c>
      <c r="L92" s="6"/>
      <c r="M92" s="6"/>
      <c r="N92" s="6"/>
      <c r="O92" s="6"/>
    </row>
    <row r="93" spans="1:15" x14ac:dyDescent="0.5">
      <c r="A93" s="4">
        <v>32782</v>
      </c>
      <c r="B93" s="1">
        <v>26</v>
      </c>
      <c r="C93" s="5">
        <v>7.450692161290319</v>
      </c>
      <c r="D93" s="5">
        <v>29.038742612903231</v>
      </c>
      <c r="E93" s="5">
        <v>17.983446999999998</v>
      </c>
      <c r="F93" s="5"/>
      <c r="G93" s="6">
        <f t="shared" si="33"/>
        <v>170.625</v>
      </c>
      <c r="H93" s="6">
        <f t="shared" si="33"/>
        <v>7.2448429672495926</v>
      </c>
      <c r="I93" s="6">
        <f t="shared" si="33"/>
        <v>25.693641326420899</v>
      </c>
      <c r="J93" s="6">
        <f t="shared" si="33"/>
        <v>16.586379187660015</v>
      </c>
      <c r="L93" s="6"/>
      <c r="M93" s="6"/>
      <c r="N93" s="6"/>
      <c r="O93" s="6"/>
    </row>
    <row r="94" spans="1:15" x14ac:dyDescent="0.5">
      <c r="A94" s="4">
        <v>32813</v>
      </c>
      <c r="B94" s="1">
        <v>87.5</v>
      </c>
      <c r="C94" s="5">
        <v>7.3923803333333318</v>
      </c>
      <c r="D94" s="5">
        <v>28.078291000000011</v>
      </c>
      <c r="E94" s="5">
        <v>17.655113666666665</v>
      </c>
      <c r="F94" s="5"/>
      <c r="G94" s="6">
        <f t="shared" si="33"/>
        <v>174.75</v>
      </c>
      <c r="H94" s="6">
        <f t="shared" si="33"/>
        <v>7.2379679672495927</v>
      </c>
      <c r="I94" s="6">
        <f t="shared" si="33"/>
        <v>25.53604410419868</v>
      </c>
      <c r="J94" s="6">
        <f t="shared" si="33"/>
        <v>16.515809743215566</v>
      </c>
      <c r="L94" s="6"/>
      <c r="M94" s="6"/>
      <c r="N94" s="6"/>
      <c r="O94" s="6"/>
    </row>
    <row r="95" spans="1:15" x14ac:dyDescent="0.5">
      <c r="A95" s="4">
        <v>32843</v>
      </c>
      <c r="B95" s="1">
        <v>24.5</v>
      </c>
      <c r="C95" s="5">
        <v>7.2805308709677385</v>
      </c>
      <c r="D95" s="5">
        <v>26.486645838709684</v>
      </c>
      <c r="E95" s="5">
        <v>17.000059903225807</v>
      </c>
      <c r="F95" s="5"/>
      <c r="G95" s="6">
        <f t="shared" si="33"/>
        <v>175.375</v>
      </c>
      <c r="H95" s="6">
        <f t="shared" si="33"/>
        <v>7.2315701177872276</v>
      </c>
      <c r="I95" s="6">
        <f t="shared" si="33"/>
        <v>25.406366684843842</v>
      </c>
      <c r="J95" s="6">
        <f t="shared" si="33"/>
        <v>16.461038237839222</v>
      </c>
      <c r="L95" s="6"/>
      <c r="M95" s="6"/>
      <c r="N95" s="6"/>
      <c r="O95" s="6"/>
    </row>
    <row r="96" spans="1:15" x14ac:dyDescent="0.5">
      <c r="A96" s="4">
        <v>32874</v>
      </c>
      <c r="B96" s="1">
        <v>92.5</v>
      </c>
      <c r="C96" s="5">
        <v>7.1763373225806433</v>
      </c>
      <c r="D96" s="5">
        <v>25.044710354838713</v>
      </c>
      <c r="E96" s="5">
        <v>16.370382483870969</v>
      </c>
      <c r="F96" s="5"/>
      <c r="G96" s="6">
        <f t="shared" si="33"/>
        <v>168.79166666666666</v>
      </c>
      <c r="H96" s="6">
        <f t="shared" si="33"/>
        <v>7.2241238812280884</v>
      </c>
      <c r="I96" s="6">
        <f t="shared" si="33"/>
        <v>25.300923136456742</v>
      </c>
      <c r="J96" s="6">
        <f t="shared" si="33"/>
        <v>16.415446839989759</v>
      </c>
      <c r="L96" s="6"/>
      <c r="M96" s="6"/>
      <c r="N96" s="6"/>
      <c r="O96" s="6"/>
    </row>
    <row r="97" spans="1:15" x14ac:dyDescent="0.5">
      <c r="A97" s="4">
        <v>32905</v>
      </c>
      <c r="B97" s="1">
        <v>137.5</v>
      </c>
      <c r="C97" s="5">
        <v>7.0977255714285699</v>
      </c>
      <c r="D97" s="5">
        <v>23.774433857142864</v>
      </c>
      <c r="E97" s="5">
        <v>15.815054142857143</v>
      </c>
      <c r="F97" s="5"/>
      <c r="G97" s="6">
        <f t="shared" si="33"/>
        <v>163.54166666666666</v>
      </c>
      <c r="H97" s="6">
        <f t="shared" si="33"/>
        <v>7.2151357859899923</v>
      </c>
      <c r="I97" s="6">
        <f t="shared" si="33"/>
        <v>25.19471777931388</v>
      </c>
      <c r="J97" s="6">
        <f t="shared" si="33"/>
        <v>16.375536125704045</v>
      </c>
      <c r="L97" s="6"/>
      <c r="M97" s="6"/>
      <c r="N97" s="6"/>
      <c r="O97" s="6"/>
    </row>
    <row r="98" spans="1:15" x14ac:dyDescent="0.5">
      <c r="A98" s="4">
        <v>32933</v>
      </c>
      <c r="B98" s="1">
        <v>153.5</v>
      </c>
      <c r="C98" s="5">
        <v>7.0360147419354808</v>
      </c>
      <c r="D98" s="5">
        <v>22.744549064516139</v>
      </c>
      <c r="E98" s="5">
        <v>15.349576032258064</v>
      </c>
      <c r="F98" s="5"/>
      <c r="G98" s="6">
        <f t="shared" si="33"/>
        <v>163.95833333333334</v>
      </c>
      <c r="H98" s="6">
        <f t="shared" si="33"/>
        <v>7.2048400870652607</v>
      </c>
      <c r="I98" s="6">
        <f t="shared" si="33"/>
        <v>25.099112940604211</v>
      </c>
      <c r="J98" s="6">
        <f t="shared" si="33"/>
        <v>16.332377523553507</v>
      </c>
      <c r="L98" s="6"/>
      <c r="M98" s="6"/>
      <c r="N98" s="6"/>
      <c r="O98" s="6"/>
    </row>
    <row r="99" spans="1:15" x14ac:dyDescent="0.5">
      <c r="A99" s="4">
        <v>32964</v>
      </c>
      <c r="B99" s="1">
        <v>133.5</v>
      </c>
      <c r="C99" s="5">
        <v>7.0058803333333284</v>
      </c>
      <c r="D99" s="5">
        <v>21.985291000000011</v>
      </c>
      <c r="E99" s="5">
        <v>14.992780333333334</v>
      </c>
      <c r="F99" s="5"/>
      <c r="G99" s="6">
        <f t="shared" si="33"/>
        <v>172.125</v>
      </c>
      <c r="H99" s="6">
        <f t="shared" si="33"/>
        <v>7.1982706426208161</v>
      </c>
      <c r="I99" s="6">
        <f t="shared" si="33"/>
        <v>25.003599051715316</v>
      </c>
      <c r="J99" s="6">
        <f t="shared" si="33"/>
        <v>16.290599745775733</v>
      </c>
      <c r="L99" s="6"/>
      <c r="M99" s="6"/>
      <c r="N99" s="6"/>
      <c r="O99" s="6"/>
    </row>
    <row r="100" spans="1:15" x14ac:dyDescent="0.5">
      <c r="A100" s="4">
        <v>32994</v>
      </c>
      <c r="B100" s="1">
        <v>231.5</v>
      </c>
      <c r="C100" s="5">
        <v>7.0012969999999966</v>
      </c>
      <c r="D100" s="5">
        <v>21.537613580645175</v>
      </c>
      <c r="E100" s="5">
        <v>14.777317967741936</v>
      </c>
      <c r="F100" s="5"/>
      <c r="G100" s="6">
        <f t="shared" si="33"/>
        <v>167.125</v>
      </c>
      <c r="H100" s="6">
        <f t="shared" si="33"/>
        <v>7.1911570673519982</v>
      </c>
      <c r="I100" s="6">
        <f t="shared" si="33"/>
        <v>24.918276471070158</v>
      </c>
      <c r="J100" s="6">
        <f t="shared" si="33"/>
        <v>16.250071519969278</v>
      </c>
      <c r="L100" s="6"/>
      <c r="M100" s="6"/>
      <c r="N100" s="6"/>
      <c r="O100" s="6"/>
    </row>
    <row r="101" spans="1:15" x14ac:dyDescent="0.5">
      <c r="A101" s="4">
        <v>33025</v>
      </c>
      <c r="B101" s="1">
        <v>369</v>
      </c>
      <c r="C101" s="5">
        <v>6.9948469999999983</v>
      </c>
      <c r="D101" s="5">
        <v>21.542124333333337</v>
      </c>
      <c r="E101" s="5">
        <v>14.732613666666666</v>
      </c>
      <c r="F101" s="5"/>
      <c r="G101" s="6">
        <f t="shared" si="33"/>
        <v>178.75</v>
      </c>
      <c r="H101" s="6">
        <f t="shared" si="33"/>
        <v>7.1831840514789826</v>
      </c>
      <c r="I101" s="6">
        <f t="shared" si="33"/>
        <v>24.818845915514604</v>
      </c>
      <c r="J101" s="6">
        <f t="shared" si="33"/>
        <v>16.201849297747057</v>
      </c>
      <c r="L101" s="6"/>
      <c r="M101" s="6"/>
      <c r="N101" s="6"/>
      <c r="O101" s="6"/>
    </row>
    <row r="102" spans="1:15" x14ac:dyDescent="0.5">
      <c r="A102" s="4">
        <v>33055</v>
      </c>
      <c r="B102" s="1">
        <v>338</v>
      </c>
      <c r="C102" s="5">
        <v>7.2273050645161252</v>
      </c>
      <c r="D102" s="5">
        <v>23.862452290322594</v>
      </c>
      <c r="E102" s="5">
        <v>15.810382483870971</v>
      </c>
      <c r="F102" s="5"/>
      <c r="G102" s="6">
        <f t="shared" si="33"/>
        <v>184.875</v>
      </c>
      <c r="H102" s="6">
        <f t="shared" si="33"/>
        <v>7.1888850440348149</v>
      </c>
      <c r="I102" s="6">
        <f t="shared" si="33"/>
        <v>24.803536775729658</v>
      </c>
      <c r="J102" s="6">
        <f t="shared" si="33"/>
        <v>16.198892308499747</v>
      </c>
      <c r="L102" s="6"/>
      <c r="M102" s="6"/>
      <c r="N102" s="6"/>
      <c r="O102" s="6"/>
    </row>
    <row r="103" spans="1:15" x14ac:dyDescent="0.5">
      <c r="A103" s="4">
        <v>33086</v>
      </c>
      <c r="B103" s="1">
        <v>84</v>
      </c>
      <c r="C103" s="5">
        <v>7.2144018387096756</v>
      </c>
      <c r="D103" s="5">
        <v>25.937936161290335</v>
      </c>
      <c r="E103" s="5">
        <v>16.608769580645159</v>
      </c>
      <c r="F103" s="5"/>
      <c r="G103" s="6">
        <f t="shared" si="33"/>
        <v>177.625</v>
      </c>
      <c r="H103" s="6">
        <f t="shared" si="33"/>
        <v>7.1913716031746011</v>
      </c>
      <c r="I103" s="6">
        <f t="shared" si="33"/>
        <v>24.824020646697395</v>
      </c>
      <c r="J103" s="6">
        <f t="shared" si="33"/>
        <v>16.209842577316948</v>
      </c>
      <c r="L103" s="6"/>
      <c r="M103" s="6"/>
      <c r="N103" s="6"/>
      <c r="O103" s="6"/>
    </row>
    <row r="104" spans="1:15" x14ac:dyDescent="0.5">
      <c r="A104" s="4">
        <v>33117</v>
      </c>
      <c r="B104" s="1">
        <v>214.5</v>
      </c>
      <c r="C104" s="5">
        <v>7.2965469999999959</v>
      </c>
      <c r="D104" s="5">
        <v>27.103457666666667</v>
      </c>
      <c r="E104" s="5">
        <v>17.091280333333334</v>
      </c>
      <c r="F104" s="5"/>
      <c r="G104" s="6">
        <f t="shared" si="33"/>
        <v>157.66666666666666</v>
      </c>
      <c r="H104" s="6">
        <f t="shared" si="33"/>
        <v>7.1811632698412673</v>
      </c>
      <c r="I104" s="6">
        <f t="shared" si="33"/>
        <v>24.76135398003073</v>
      </c>
      <c r="J104" s="6">
        <f t="shared" si="33"/>
        <v>16.182231466205838</v>
      </c>
      <c r="L104" s="6"/>
      <c r="M104" s="6"/>
      <c r="N104" s="6"/>
      <c r="O104" s="6"/>
    </row>
    <row r="105" spans="1:15" x14ac:dyDescent="0.5">
      <c r="A105" s="4">
        <v>33147</v>
      </c>
      <c r="B105" s="1">
        <v>117</v>
      </c>
      <c r="C105" s="5">
        <v>7.3213373225806437</v>
      </c>
      <c r="D105" s="5">
        <v>27.105678096774195</v>
      </c>
      <c r="E105" s="5">
        <v>17.115705064516128</v>
      </c>
      <c r="F105" s="5"/>
      <c r="G105" s="6">
        <f t="shared" si="33"/>
        <v>165.25</v>
      </c>
      <c r="H105" s="6">
        <f t="shared" si="33"/>
        <v>7.1703836999487933</v>
      </c>
      <c r="I105" s="6">
        <f t="shared" si="33"/>
        <v>24.600265270353308</v>
      </c>
      <c r="J105" s="6">
        <f t="shared" si="33"/>
        <v>16.109919638248847</v>
      </c>
      <c r="L105" s="6"/>
      <c r="M105" s="6"/>
      <c r="N105" s="6"/>
      <c r="O105" s="6"/>
    </row>
    <row r="106" spans="1:15" x14ac:dyDescent="0.5">
      <c r="A106" s="4">
        <v>33178</v>
      </c>
      <c r="B106" s="1">
        <v>30</v>
      </c>
      <c r="C106" s="5">
        <v>7.2277636666666645</v>
      </c>
      <c r="D106" s="5">
        <v>25.618624333333337</v>
      </c>
      <c r="E106" s="5">
        <v>16.549947</v>
      </c>
      <c r="F106" s="5"/>
      <c r="G106" s="6">
        <f t="shared" si="33"/>
        <v>160.45833333333334</v>
      </c>
      <c r="H106" s="6">
        <f t="shared" si="33"/>
        <v>7.1566656443932368</v>
      </c>
      <c r="I106" s="6">
        <f t="shared" si="33"/>
        <v>24.395293048131084</v>
      </c>
      <c r="J106" s="6">
        <f t="shared" si="33"/>
        <v>16.017822416026629</v>
      </c>
      <c r="L106" s="6"/>
      <c r="M106" s="6"/>
      <c r="N106" s="6"/>
      <c r="O106" s="6"/>
    </row>
    <row r="107" spans="1:15" x14ac:dyDescent="0.5">
      <c r="A107" s="4">
        <v>33208</v>
      </c>
      <c r="B107" s="1">
        <v>51.5</v>
      </c>
      <c r="C107" s="5">
        <v>7.115692161290319</v>
      </c>
      <c r="D107" s="5">
        <v>24.107291000000004</v>
      </c>
      <c r="E107" s="5">
        <v>15.897640548387098</v>
      </c>
      <c r="F107" s="5"/>
      <c r="G107" s="6">
        <f t="shared" si="33"/>
        <v>162.70833333333334</v>
      </c>
      <c r="H107" s="6">
        <f t="shared" si="33"/>
        <v>7.1429290852534537</v>
      </c>
      <c r="I107" s="6">
        <f t="shared" si="33"/>
        <v>24.197013478238613</v>
      </c>
      <c r="J107" s="6">
        <f t="shared" si="33"/>
        <v>15.925954136456737</v>
      </c>
      <c r="L107" s="6"/>
      <c r="M107" s="6"/>
      <c r="N107" s="6"/>
      <c r="O107" s="6"/>
    </row>
    <row r="108" spans="1:15" x14ac:dyDescent="0.5">
      <c r="A108" s="4">
        <v>33239</v>
      </c>
      <c r="B108" s="1">
        <v>43.5</v>
      </c>
      <c r="C108" s="5">
        <v>7.0219824838709641</v>
      </c>
      <c r="D108" s="5">
        <v>22.898742612903231</v>
      </c>
      <c r="E108" s="5">
        <v>15.357479258064515</v>
      </c>
      <c r="F108" s="5"/>
      <c r="G108" s="6">
        <f t="shared" si="33"/>
        <v>158.625</v>
      </c>
      <c r="H108" s="6">
        <f t="shared" si="33"/>
        <v>7.1300661820276474</v>
      </c>
      <c r="I108" s="6">
        <f t="shared" si="33"/>
        <v>24.018182833077322</v>
      </c>
      <c r="J108" s="6">
        <f t="shared" si="33"/>
        <v>15.841545534306197</v>
      </c>
      <c r="L108" s="6"/>
      <c r="M108" s="6"/>
      <c r="N108" s="6"/>
      <c r="O108" s="6"/>
    </row>
    <row r="109" spans="1:15" x14ac:dyDescent="0.5">
      <c r="A109" s="4">
        <v>33270</v>
      </c>
      <c r="B109" s="1">
        <v>76</v>
      </c>
      <c r="C109" s="5">
        <v>6.9354041428571396</v>
      </c>
      <c r="D109" s="5">
        <v>21.900326714285722</v>
      </c>
      <c r="E109" s="5">
        <v>14.878804142857145</v>
      </c>
      <c r="F109" s="5"/>
      <c r="G109" s="6">
        <f t="shared" si="33"/>
        <v>153.5</v>
      </c>
      <c r="H109" s="6">
        <f t="shared" si="33"/>
        <v>7.116539396313363</v>
      </c>
      <c r="I109" s="6">
        <f t="shared" si="33"/>
        <v>23.862007237839226</v>
      </c>
      <c r="J109" s="6">
        <f t="shared" si="33"/>
        <v>15.763524700972864</v>
      </c>
      <c r="L109" s="6"/>
      <c r="M109" s="6"/>
      <c r="N109" s="6"/>
      <c r="O109" s="6"/>
    </row>
    <row r="110" spans="1:15" x14ac:dyDescent="0.5">
      <c r="A110" s="4">
        <v>33298</v>
      </c>
      <c r="B110" s="1">
        <v>209.5</v>
      </c>
      <c r="C110" s="5">
        <v>6.9027889354838683</v>
      </c>
      <c r="D110" s="5">
        <v>21.126323258064524</v>
      </c>
      <c r="E110" s="5">
        <v>14.514898612903226</v>
      </c>
      <c r="F110" s="5"/>
      <c r="G110" s="6">
        <f t="shared" si="33"/>
        <v>158.16666666666666</v>
      </c>
      <c r="H110" s="6">
        <f t="shared" si="33"/>
        <v>7.1054372457757262</v>
      </c>
      <c r="I110" s="6">
        <f t="shared" si="33"/>
        <v>23.727155087301597</v>
      </c>
      <c r="J110" s="6">
        <f t="shared" si="33"/>
        <v>15.69396824935996</v>
      </c>
      <c r="L110" s="6"/>
      <c r="M110" s="6"/>
      <c r="N110" s="6"/>
      <c r="O110" s="6"/>
    </row>
    <row r="111" spans="1:15" x14ac:dyDescent="0.5">
      <c r="A111" s="4">
        <v>33329</v>
      </c>
      <c r="B111" s="1">
        <v>141.5</v>
      </c>
      <c r="C111" s="5">
        <v>6.886546999999994</v>
      </c>
      <c r="D111" s="5">
        <v>20.579791</v>
      </c>
      <c r="E111" s="5">
        <v>14.262447</v>
      </c>
      <c r="F111" s="5"/>
      <c r="G111" s="6">
        <f t="shared" si="33"/>
        <v>158.83333333333334</v>
      </c>
      <c r="H111" s="6">
        <f t="shared" si="33"/>
        <v>7.0954928013312824</v>
      </c>
      <c r="I111" s="6">
        <f t="shared" si="33"/>
        <v>23.610030087301592</v>
      </c>
      <c r="J111" s="6">
        <f t="shared" si="33"/>
        <v>15.633107138248851</v>
      </c>
      <c r="L111" s="6"/>
      <c r="M111" s="6"/>
      <c r="N111" s="6"/>
      <c r="O111" s="6"/>
    </row>
    <row r="112" spans="1:15" x14ac:dyDescent="0.5">
      <c r="A112" s="4">
        <v>33359</v>
      </c>
      <c r="B112" s="1">
        <v>243.5</v>
      </c>
      <c r="C112" s="5">
        <v>6.9069824838709648</v>
      </c>
      <c r="D112" s="5">
        <v>20.205839387096784</v>
      </c>
      <c r="E112" s="5">
        <v>14.082801838709679</v>
      </c>
      <c r="F112" s="5"/>
      <c r="G112" s="6">
        <f t="shared" si="33"/>
        <v>159.83333333333334</v>
      </c>
      <c r="H112" s="6">
        <f t="shared" si="33"/>
        <v>7.0876332583205297</v>
      </c>
      <c r="I112" s="6">
        <f t="shared" si="33"/>
        <v>23.499048904505894</v>
      </c>
      <c r="J112" s="6">
        <f t="shared" si="33"/>
        <v>15.575230794162827</v>
      </c>
      <c r="L112" s="6"/>
      <c r="M112" s="6"/>
      <c r="N112" s="6"/>
      <c r="O112" s="6"/>
    </row>
    <row r="113" spans="1:15" x14ac:dyDescent="0.5">
      <c r="A113" s="4">
        <v>33390</v>
      </c>
      <c r="B113" s="1">
        <v>722.5</v>
      </c>
      <c r="C113" s="5">
        <v>7.0333803333333291</v>
      </c>
      <c r="D113" s="5">
        <v>20.149983307692317</v>
      </c>
      <c r="E113" s="5">
        <v>14.390613666666667</v>
      </c>
      <c r="F113" s="5"/>
      <c r="G113" s="6">
        <f t="shared" si="33"/>
        <v>189.29166666666666</v>
      </c>
      <c r="H113" s="6">
        <f t="shared" si="33"/>
        <v>7.0908443694316396</v>
      </c>
      <c r="I113" s="6">
        <f t="shared" si="33"/>
        <v>23.383037152369141</v>
      </c>
      <c r="J113" s="6">
        <f t="shared" si="33"/>
        <v>15.546730794162828</v>
      </c>
      <c r="L113" s="6"/>
      <c r="M113" s="6"/>
      <c r="N113" s="6"/>
      <c r="O113" s="6"/>
    </row>
    <row r="114" spans="1:15" x14ac:dyDescent="0.5">
      <c r="A114" s="4">
        <v>33420</v>
      </c>
      <c r="B114" s="1">
        <v>325</v>
      </c>
      <c r="C114" s="5">
        <v>7.3205308709677421</v>
      </c>
      <c r="D114" s="5">
        <v>22.686968419354848</v>
      </c>
      <c r="E114" s="5">
        <v>16.227317967741936</v>
      </c>
      <c r="F114" s="5"/>
      <c r="G114" s="6">
        <f t="shared" si="33"/>
        <v>188.20833333333334</v>
      </c>
      <c r="H114" s="6">
        <f t="shared" si="33"/>
        <v>7.0986131866359417</v>
      </c>
      <c r="I114" s="6">
        <f t="shared" si="33"/>
        <v>23.28508016312183</v>
      </c>
      <c r="J114" s="6">
        <f t="shared" si="33"/>
        <v>15.581475417818742</v>
      </c>
      <c r="L114" s="6"/>
      <c r="M114" s="6"/>
      <c r="N114" s="6"/>
      <c r="O114" s="6"/>
    </row>
    <row r="115" spans="1:15" x14ac:dyDescent="0.5">
      <c r="A115" s="4">
        <v>33451</v>
      </c>
      <c r="B115" s="1">
        <v>126.5</v>
      </c>
      <c r="C115" s="5">
        <v>7.3421437741935458</v>
      </c>
      <c r="D115" s="5"/>
      <c r="E115" s="5">
        <v>17.281511516129029</v>
      </c>
      <c r="F115" s="5"/>
      <c r="G115" s="6">
        <f t="shared" si="33"/>
        <v>191.75</v>
      </c>
      <c r="H115" s="6">
        <f t="shared" si="33"/>
        <v>7.1092583479262643</v>
      </c>
      <c r="I115" s="6">
        <f t="shared" si="33"/>
        <v>23.043911436015602</v>
      </c>
      <c r="J115" s="6">
        <f t="shared" si="33"/>
        <v>15.63753724577573</v>
      </c>
      <c r="L115" s="6"/>
      <c r="M115" s="6"/>
      <c r="N115" s="6"/>
      <c r="O115" s="6"/>
    </row>
    <row r="116" spans="1:15" x14ac:dyDescent="0.5">
      <c r="A116" s="4">
        <v>33482</v>
      </c>
      <c r="B116" s="1">
        <v>117.5</v>
      </c>
      <c r="C116" s="5">
        <v>7.3848803333333297</v>
      </c>
      <c r="D116" s="5"/>
      <c r="E116" s="5">
        <v>17.784280333333335</v>
      </c>
      <c r="F116" s="5"/>
      <c r="G116" s="6">
        <f t="shared" si="33"/>
        <v>183.66666666666666</v>
      </c>
      <c r="H116" s="6">
        <f t="shared" si="33"/>
        <v>7.1166194590373744</v>
      </c>
      <c r="I116" s="6">
        <f t="shared" si="33"/>
        <v>22.637956812950495</v>
      </c>
      <c r="J116" s="6">
        <f t="shared" si="33"/>
        <v>15.695287245775729</v>
      </c>
      <c r="L116" s="6"/>
      <c r="M116" s="6"/>
      <c r="N116" s="6"/>
      <c r="O116" s="6"/>
    </row>
    <row r="117" spans="1:15" x14ac:dyDescent="0.5">
      <c r="A117" s="4">
        <v>33512</v>
      </c>
      <c r="B117" s="1">
        <v>67</v>
      </c>
      <c r="C117" s="5">
        <v>7.4077889354838682</v>
      </c>
      <c r="D117" s="5"/>
      <c r="E117" s="5">
        <v>17.824414741935485</v>
      </c>
      <c r="F117" s="5"/>
      <c r="G117" s="6">
        <f t="shared" si="33"/>
        <v>179.5</v>
      </c>
      <c r="H117" s="6">
        <f t="shared" si="33"/>
        <v>7.1238237601126437</v>
      </c>
      <c r="I117" s="6">
        <f t="shared" si="33"/>
        <v>22.141543336970084</v>
      </c>
      <c r="J117" s="6">
        <f t="shared" si="33"/>
        <v>15.754346385560675</v>
      </c>
      <c r="L117" s="6"/>
      <c r="M117" s="6"/>
      <c r="N117" s="6"/>
      <c r="O117" s="6"/>
    </row>
    <row r="118" spans="1:15" x14ac:dyDescent="0.5">
      <c r="A118" s="4">
        <v>33543</v>
      </c>
      <c r="B118" s="1">
        <v>94</v>
      </c>
      <c r="C118" s="5">
        <v>7.2842636666666625</v>
      </c>
      <c r="D118" s="5"/>
      <c r="E118" s="5">
        <v>17.191946999999999</v>
      </c>
      <c r="F118" s="5"/>
      <c r="G118" s="6">
        <f t="shared" si="33"/>
        <v>184.83333333333334</v>
      </c>
      <c r="H118" s="6">
        <f t="shared" si="33"/>
        <v>7.1285320934459762</v>
      </c>
      <c r="I118" s="6">
        <f t="shared" si="33"/>
        <v>21.706908212424679</v>
      </c>
      <c r="J118" s="6">
        <f t="shared" si="33"/>
        <v>15.807846385560678</v>
      </c>
      <c r="L118" s="6"/>
      <c r="M118" s="6"/>
      <c r="N118" s="6"/>
      <c r="O118" s="6"/>
    </row>
    <row r="119" spans="1:15" x14ac:dyDescent="0.5">
      <c r="A119" s="4">
        <v>33573</v>
      </c>
      <c r="B119" s="1">
        <v>56</v>
      </c>
      <c r="C119" s="5">
        <v>7.1861760322580617</v>
      </c>
      <c r="D119" s="5"/>
      <c r="E119" s="5">
        <v>16.551378034482759</v>
      </c>
      <c r="F119" s="5"/>
      <c r="G119" s="6">
        <f t="shared" si="33"/>
        <v>185.20833333333334</v>
      </c>
      <c r="H119" s="6">
        <f t="shared" si="33"/>
        <v>7.1344057493599555</v>
      </c>
      <c r="I119" s="6">
        <f t="shared" si="33"/>
        <v>21.363996385628205</v>
      </c>
      <c r="J119" s="6">
        <f t="shared" si="33"/>
        <v>15.862324509401979</v>
      </c>
      <c r="L119" s="6"/>
      <c r="M119" s="6"/>
      <c r="N119" s="6"/>
      <c r="O119" s="6"/>
    </row>
    <row r="120" spans="1:15" x14ac:dyDescent="0.5">
      <c r="A120" s="4">
        <v>33604</v>
      </c>
      <c r="B120" s="1">
        <v>48</v>
      </c>
      <c r="C120" s="5">
        <v>7.0839179677419315</v>
      </c>
      <c r="D120" s="5"/>
      <c r="E120" s="5">
        <v>15.817058111111113</v>
      </c>
      <c r="F120" s="5"/>
      <c r="G120" s="6">
        <f t="shared" si="33"/>
        <v>185.58333333333334</v>
      </c>
      <c r="H120" s="6">
        <f t="shared" si="33"/>
        <v>7.1395670396825359</v>
      </c>
      <c r="I120" s="6">
        <f t="shared" si="33"/>
        <v>21.108205347749035</v>
      </c>
      <c r="J120" s="6">
        <f t="shared" si="33"/>
        <v>15.900622747155866</v>
      </c>
      <c r="L120" s="6"/>
      <c r="M120" s="6"/>
      <c r="N120" s="6"/>
      <c r="O120" s="6"/>
    </row>
    <row r="121" spans="1:15" x14ac:dyDescent="0.5">
      <c r="A121" s="4">
        <v>33635</v>
      </c>
      <c r="B121" s="1">
        <v>45</v>
      </c>
      <c r="C121" s="5">
        <v>6.9969435517241321</v>
      </c>
      <c r="D121" s="5">
        <v>22.85149100000001</v>
      </c>
      <c r="E121" s="5">
        <v>15.402067689655173</v>
      </c>
      <c r="F121" s="5"/>
      <c r="G121" s="6">
        <f t="shared" si="33"/>
        <v>183</v>
      </c>
      <c r="H121" s="6">
        <f t="shared" si="33"/>
        <v>7.1446953237547852</v>
      </c>
      <c r="I121" s="6">
        <f t="shared" si="33"/>
        <v>21.266732728701413</v>
      </c>
      <c r="J121" s="6">
        <f t="shared" si="33"/>
        <v>15.94422804272237</v>
      </c>
      <c r="L121" s="6"/>
      <c r="M121" s="6"/>
      <c r="N121" s="6"/>
      <c r="O121" s="6"/>
    </row>
    <row r="122" spans="1:15" x14ac:dyDescent="0.5">
      <c r="A122" s="4">
        <v>33664</v>
      </c>
      <c r="B122" s="1">
        <v>350.5</v>
      </c>
      <c r="C122" s="5">
        <v>6.9905308709677367</v>
      </c>
      <c r="D122" s="5">
        <v>22.024226483870976</v>
      </c>
      <c r="E122" s="5">
        <v>14.967197000000002</v>
      </c>
      <c r="F122" s="5"/>
      <c r="G122" s="6">
        <f t="shared" si="33"/>
        <v>194.75</v>
      </c>
      <c r="H122" s="6">
        <f t="shared" si="33"/>
        <v>7.152007151711774</v>
      </c>
      <c r="I122" s="6">
        <f t="shared" si="33"/>
        <v>21.416383266335824</v>
      </c>
      <c r="J122" s="6">
        <f t="shared" si="33"/>
        <v>15.981919574980431</v>
      </c>
      <c r="L122" s="6"/>
      <c r="M122" s="6"/>
      <c r="N122" s="6"/>
      <c r="O122" s="6"/>
    </row>
    <row r="123" spans="1:15" x14ac:dyDescent="0.5">
      <c r="A123" s="4">
        <v>33695</v>
      </c>
      <c r="B123" s="1">
        <v>105</v>
      </c>
      <c r="C123" s="5">
        <v>6.9635469999999966</v>
      </c>
      <c r="D123" s="5">
        <v>21.575124333333353</v>
      </c>
      <c r="E123" s="5">
        <v>14.782280333333336</v>
      </c>
      <c r="F123" s="5"/>
      <c r="G123" s="6">
        <f t="shared" si="33"/>
        <v>191.70833333333334</v>
      </c>
      <c r="H123" s="6">
        <f t="shared" si="33"/>
        <v>7.1584238183784406</v>
      </c>
      <c r="I123" s="6">
        <f t="shared" si="33"/>
        <v>21.582272155224715</v>
      </c>
      <c r="J123" s="6">
        <f t="shared" si="33"/>
        <v>16.025239019424877</v>
      </c>
      <c r="L123" s="6"/>
      <c r="M123" s="6"/>
      <c r="N123" s="6"/>
      <c r="O123" s="6"/>
    </row>
    <row r="124" spans="1:15" x14ac:dyDescent="0.5">
      <c r="A124" s="4">
        <v>33725</v>
      </c>
      <c r="B124" s="1">
        <v>102.5</v>
      </c>
      <c r="C124" s="5">
        <v>6.9184340967741926</v>
      </c>
      <c r="D124" s="5">
        <v>21.217452290322598</v>
      </c>
      <c r="E124" s="5">
        <v>14.580543774193551</v>
      </c>
      <c r="F124" s="5"/>
      <c r="G124" s="6">
        <f t="shared" si="33"/>
        <v>179.95833333333334</v>
      </c>
      <c r="H124" s="6">
        <f t="shared" si="33"/>
        <v>7.1593781194537094</v>
      </c>
      <c r="I124" s="6">
        <f t="shared" si="33"/>
        <v>21.750874305762352</v>
      </c>
      <c r="J124" s="6">
        <f t="shared" si="33"/>
        <v>16.066717514048538</v>
      </c>
      <c r="L124" s="6"/>
      <c r="M124" s="6"/>
      <c r="N124" s="6"/>
      <c r="O124" s="6"/>
    </row>
    <row r="125" spans="1:15" x14ac:dyDescent="0.5">
      <c r="A125" s="4">
        <v>33756</v>
      </c>
      <c r="B125" s="1">
        <v>245.5</v>
      </c>
      <c r="C125" s="5">
        <v>6.9015469999999972</v>
      </c>
      <c r="D125" s="5">
        <v>21.230957666666672</v>
      </c>
      <c r="E125" s="5">
        <v>14.500280333333333</v>
      </c>
      <c r="F125" s="5"/>
      <c r="G125" s="6">
        <f t="shared" si="33"/>
        <v>140.20833333333334</v>
      </c>
      <c r="H125" s="6">
        <f t="shared" si="33"/>
        <v>7.148392008342598</v>
      </c>
      <c r="I125" s="6">
        <f t="shared" si="33"/>
        <v>21.931036698924743</v>
      </c>
      <c r="J125" s="6">
        <f t="shared" si="33"/>
        <v>16.075856402937422</v>
      </c>
      <c r="L125" s="6"/>
      <c r="M125" s="6"/>
      <c r="N125" s="6"/>
      <c r="O125" s="6"/>
    </row>
    <row r="126" spans="1:15" x14ac:dyDescent="0.5">
      <c r="A126" s="4">
        <v>33786</v>
      </c>
      <c r="B126" s="1">
        <v>151</v>
      </c>
      <c r="C126" s="5">
        <v>6.9781115161290295</v>
      </c>
      <c r="D126" s="5">
        <v>21.998420032258071</v>
      </c>
      <c r="E126" s="5">
        <v>14.789697000000002</v>
      </c>
      <c r="F126" s="5"/>
      <c r="G126" s="6">
        <f t="shared" si="33"/>
        <v>125.70833333333333</v>
      </c>
      <c r="H126" s="6">
        <f t="shared" si="33"/>
        <v>7.11985706210604</v>
      </c>
      <c r="I126" s="6">
        <f t="shared" si="33"/>
        <v>21.816278634408615</v>
      </c>
      <c r="J126" s="6">
        <f t="shared" si="33"/>
        <v>15.956054655625593</v>
      </c>
      <c r="L126" s="6"/>
      <c r="M126" s="6"/>
      <c r="N126" s="6"/>
      <c r="O126" s="6"/>
    </row>
    <row r="127" spans="1:15" x14ac:dyDescent="0.5">
      <c r="A127" s="4">
        <v>33817</v>
      </c>
      <c r="B127" s="1">
        <v>345</v>
      </c>
      <c r="C127" s="5">
        <v>7.0790792580645139</v>
      </c>
      <c r="D127" s="5">
        <v>23.213097451612917</v>
      </c>
      <c r="E127" s="5">
        <v>15.348447</v>
      </c>
      <c r="F127" s="5"/>
      <c r="G127" s="6">
        <f t="shared" si="33"/>
        <v>143.91666666666666</v>
      </c>
      <c r="H127" s="6">
        <f t="shared" si="33"/>
        <v>7.0979350190952877</v>
      </c>
      <c r="I127" s="6">
        <f t="shared" si="33"/>
        <v>22.015824179723516</v>
      </c>
      <c r="J127" s="6">
        <f t="shared" si="33"/>
        <v>15.794965945948173</v>
      </c>
      <c r="L127" s="6"/>
      <c r="M127" s="6"/>
      <c r="N127" s="6"/>
      <c r="O127" s="6"/>
    </row>
    <row r="128" spans="1:15" x14ac:dyDescent="0.5">
      <c r="A128" s="4">
        <v>33848</v>
      </c>
      <c r="B128" s="1">
        <v>59</v>
      </c>
      <c r="C128" s="5">
        <v>7.1527136666666618</v>
      </c>
      <c r="D128" s="5">
        <v>25.209124333333342</v>
      </c>
      <c r="E128" s="5"/>
      <c r="F128" s="5"/>
      <c r="G128" s="6">
        <f t="shared" si="33"/>
        <v>139.04166666666666</v>
      </c>
      <c r="H128" s="6">
        <f t="shared" si="33"/>
        <v>7.0785877968730651</v>
      </c>
      <c r="I128" s="6">
        <f t="shared" si="33"/>
        <v>22.414986698924743</v>
      </c>
      <c r="J128" s="6">
        <f t="shared" si="33"/>
        <v>15.614119183458611</v>
      </c>
      <c r="L128" s="6"/>
      <c r="M128" s="6"/>
      <c r="N128" s="6"/>
      <c r="O128" s="6"/>
    </row>
    <row r="129" spans="1:15" x14ac:dyDescent="0.5">
      <c r="A129" s="4">
        <v>33878</v>
      </c>
      <c r="B129" s="1">
        <v>14</v>
      </c>
      <c r="C129" s="5">
        <v>7.2155308709677373</v>
      </c>
      <c r="D129" s="5">
        <v>26.084871645161297</v>
      </c>
      <c r="E129" s="5"/>
      <c r="F129" s="5"/>
      <c r="G129" s="6">
        <f t="shared" si="33"/>
        <v>134.625</v>
      </c>
      <c r="H129" s="6">
        <f t="shared" si="33"/>
        <v>7.0625662914967213</v>
      </c>
      <c r="I129" s="6">
        <f t="shared" si="33"/>
        <v>22.822751692951027</v>
      </c>
      <c r="J129" s="6">
        <f t="shared" si="33"/>
        <v>15.393089627610925</v>
      </c>
      <c r="L129" s="6"/>
      <c r="M129" s="6"/>
      <c r="N129" s="6"/>
      <c r="O129" s="6"/>
    </row>
    <row r="130" spans="1:15" x14ac:dyDescent="0.5">
      <c r="A130" s="4">
        <v>33909</v>
      </c>
      <c r="B130" s="1">
        <v>56.5</v>
      </c>
      <c r="C130" s="5">
        <v>7.153213666666665</v>
      </c>
      <c r="D130" s="5">
        <v>24.731457666666671</v>
      </c>
      <c r="E130" s="5">
        <v>15.998447000000001</v>
      </c>
      <c r="F130" s="5"/>
      <c r="G130" s="6">
        <f t="shared" si="33"/>
        <v>131.5</v>
      </c>
      <c r="H130" s="6">
        <f t="shared" si="33"/>
        <v>7.0516454581633878</v>
      </c>
      <c r="I130" s="6">
        <f t="shared" si="33"/>
        <v>23.013622290322591</v>
      </c>
      <c r="J130" s="6">
        <f t="shared" si="33"/>
        <v>15.273739627610928</v>
      </c>
      <c r="L130" s="6"/>
      <c r="M130" s="6"/>
      <c r="N130" s="6"/>
      <c r="O130" s="6"/>
    </row>
    <row r="131" spans="1:15" x14ac:dyDescent="0.5">
      <c r="A131" s="4">
        <v>33939</v>
      </c>
      <c r="B131" s="1">
        <v>70.5</v>
      </c>
      <c r="C131" s="5">
        <v>7.0544018387096745</v>
      </c>
      <c r="D131" s="5">
        <v>23.371323258064518</v>
      </c>
      <c r="E131" s="5">
        <v>15.487640548387098</v>
      </c>
      <c r="F131" s="5"/>
      <c r="G131" s="6">
        <f t="shared" si="33"/>
        <v>132.70833333333334</v>
      </c>
      <c r="H131" s="6">
        <f t="shared" si="33"/>
        <v>7.0406642753676891</v>
      </c>
      <c r="I131" s="6">
        <f t="shared" si="33"/>
        <v>23.046140560117308</v>
      </c>
      <c r="J131" s="6">
        <f t="shared" si="33"/>
        <v>15.167365879001363</v>
      </c>
      <c r="L131" s="6"/>
      <c r="M131" s="6"/>
      <c r="N131" s="6"/>
      <c r="O131" s="6"/>
    </row>
    <row r="132" spans="1:15" x14ac:dyDescent="0.5">
      <c r="A132" s="4">
        <v>33970</v>
      </c>
      <c r="B132" s="1">
        <v>55</v>
      </c>
      <c r="C132" s="5">
        <v>6.9808534516128979</v>
      </c>
      <c r="D132" s="5">
        <v>22.159065193548393</v>
      </c>
      <c r="E132" s="5">
        <v>14.969414741935488</v>
      </c>
      <c r="F132" s="5"/>
      <c r="G132" s="6">
        <f t="shared" si="33"/>
        <v>133.29166666666666</v>
      </c>
      <c r="H132" s="6">
        <f t="shared" si="33"/>
        <v>7.0320755656902705</v>
      </c>
      <c r="I132" s="6">
        <f t="shared" si="33"/>
        <v>22.972217612903233</v>
      </c>
      <c r="J132" s="6">
        <f t="shared" si="33"/>
        <v>15.082601542083799</v>
      </c>
      <c r="L132" s="6"/>
      <c r="M132" s="6"/>
      <c r="N132" s="6"/>
      <c r="O132" s="6"/>
    </row>
    <row r="133" spans="1:15" x14ac:dyDescent="0.5">
      <c r="A133" s="4">
        <v>34001</v>
      </c>
      <c r="B133" s="1">
        <v>71.5</v>
      </c>
      <c r="C133" s="5">
        <v>6.8932612857142832</v>
      </c>
      <c r="D133" s="5">
        <v>21.28157671428573</v>
      </c>
      <c r="E133" s="5">
        <v>14.537911285714287</v>
      </c>
      <c r="F133" s="5"/>
      <c r="G133" s="6">
        <f t="shared" si="33"/>
        <v>135.5</v>
      </c>
      <c r="H133" s="6">
        <f t="shared" si="33"/>
        <v>7.0234353768561171</v>
      </c>
      <c r="I133" s="6">
        <f t="shared" si="33"/>
        <v>22.841391422427041</v>
      </c>
      <c r="J133" s="6">
        <f t="shared" si="33"/>
        <v>14.99618590168971</v>
      </c>
      <c r="L133" s="6"/>
      <c r="M133" s="6"/>
      <c r="N133" s="6"/>
      <c r="O133" s="6"/>
    </row>
    <row r="134" spans="1:15" x14ac:dyDescent="0.5">
      <c r="A134" s="4">
        <v>34029</v>
      </c>
      <c r="B134" s="1">
        <v>135</v>
      </c>
      <c r="C134" s="5">
        <v>6.8423050645161263</v>
      </c>
      <c r="D134" s="5">
        <v>20.557936161290325</v>
      </c>
      <c r="E134" s="5">
        <v>14.242156677419356</v>
      </c>
      <c r="F134" s="5"/>
      <c r="G134" s="6">
        <f t="shared" si="33"/>
        <v>117.54166666666667</v>
      </c>
      <c r="H134" s="6">
        <f t="shared" si="33"/>
        <v>7.0110832263184824</v>
      </c>
      <c r="I134" s="6">
        <f t="shared" si="33"/>
        <v>22.719200562211991</v>
      </c>
      <c r="J134" s="6">
        <f t="shared" si="33"/>
        <v>14.923681869431647</v>
      </c>
      <c r="L134" s="6"/>
      <c r="M134" s="6"/>
      <c r="N134" s="6"/>
      <c r="O134" s="6"/>
    </row>
    <row r="135" spans="1:15" x14ac:dyDescent="0.5">
      <c r="A135" s="4">
        <v>34060</v>
      </c>
      <c r="B135" s="1">
        <v>242</v>
      </c>
      <c r="C135" s="5">
        <v>6.8090469999999943</v>
      </c>
      <c r="D135" s="5">
        <v>19.993791000000012</v>
      </c>
      <c r="E135" s="5">
        <v>13.880447</v>
      </c>
      <c r="F135" s="5"/>
      <c r="G135" s="6">
        <f t="shared" si="33"/>
        <v>128.95833333333334</v>
      </c>
      <c r="H135" s="6">
        <f t="shared" si="33"/>
        <v>6.9982082263184813</v>
      </c>
      <c r="I135" s="6">
        <f t="shared" si="33"/>
        <v>22.58742278443421</v>
      </c>
      <c r="J135" s="6">
        <f t="shared" si="33"/>
        <v>14.833498536098309</v>
      </c>
      <c r="L135" s="6"/>
      <c r="M135" s="6"/>
      <c r="N135" s="6"/>
      <c r="O135" s="6"/>
    </row>
    <row r="136" spans="1:15" x14ac:dyDescent="0.5">
      <c r="A136" s="4">
        <v>34090</v>
      </c>
      <c r="B136" s="1">
        <v>147</v>
      </c>
      <c r="C136" s="5">
        <v>6.8534340967741896</v>
      </c>
      <c r="D136" s="5">
        <v>19.904065193548394</v>
      </c>
      <c r="E136" s="5">
        <v>13.84102764516129</v>
      </c>
      <c r="F136" s="5"/>
      <c r="G136" s="6">
        <f t="shared" si="33"/>
        <v>132.66666666666666</v>
      </c>
      <c r="H136" s="6">
        <f t="shared" si="33"/>
        <v>6.9927915596518142</v>
      </c>
      <c r="I136" s="6">
        <f t="shared" si="33"/>
        <v>22.477973859703027</v>
      </c>
      <c r="J136" s="6">
        <f t="shared" si="33"/>
        <v>14.759546923195083</v>
      </c>
      <c r="L136" s="6"/>
      <c r="M136" s="6"/>
      <c r="N136" s="6"/>
      <c r="O136" s="6"/>
    </row>
    <row r="137" spans="1:15" x14ac:dyDescent="0.5">
      <c r="A137" s="4">
        <v>34121</v>
      </c>
      <c r="B137" s="1">
        <v>908</v>
      </c>
      <c r="C137" s="5">
        <v>7.0460469999999962</v>
      </c>
      <c r="D137" s="5">
        <v>20.76095766666667</v>
      </c>
      <c r="E137" s="5">
        <v>14.262113666666668</v>
      </c>
      <c r="F137" s="5"/>
      <c r="G137" s="6">
        <f t="shared" si="33"/>
        <v>187.875</v>
      </c>
      <c r="H137" s="6">
        <f t="shared" si="33"/>
        <v>7.0048332263184818</v>
      </c>
      <c r="I137" s="6">
        <f t="shared" si="33"/>
        <v>22.438807193036364</v>
      </c>
      <c r="J137" s="6">
        <f t="shared" si="33"/>
        <v>14.735730256528422</v>
      </c>
      <c r="L137" s="6"/>
      <c r="M137" s="6"/>
      <c r="N137" s="6"/>
      <c r="O137" s="6"/>
    </row>
    <row r="138" spans="1:15" x14ac:dyDescent="0.5">
      <c r="A138" s="4">
        <v>34151</v>
      </c>
      <c r="B138" s="1">
        <v>789.5</v>
      </c>
      <c r="C138" s="5">
        <v>7.6689179677419324</v>
      </c>
      <c r="D138" s="5">
        <v>27.754226483870973</v>
      </c>
      <c r="E138" s="5">
        <v>18.439946999999997</v>
      </c>
      <c r="F138" s="5"/>
      <c r="G138" s="6">
        <f t="shared" si="33"/>
        <v>241.08333333333334</v>
      </c>
      <c r="H138" s="6">
        <f t="shared" si="33"/>
        <v>7.0624004306195554</v>
      </c>
      <c r="I138" s="6">
        <f t="shared" si="33"/>
        <v>22.91845773067077</v>
      </c>
      <c r="J138" s="6">
        <f t="shared" si="33"/>
        <v>15.100755256528419</v>
      </c>
      <c r="L138" s="6"/>
      <c r="M138" s="6"/>
      <c r="N138" s="6"/>
      <c r="O138" s="6"/>
    </row>
    <row r="139" spans="1:15" x14ac:dyDescent="0.5">
      <c r="A139" s="4">
        <v>34182</v>
      </c>
      <c r="B139" s="1">
        <v>440</v>
      </c>
      <c r="C139" s="5">
        <v>7.9616599032258017</v>
      </c>
      <c r="D139" s="5">
        <v>33.302452290322591</v>
      </c>
      <c r="E139" s="5">
        <v>20.516672806451616</v>
      </c>
      <c r="F139" s="5"/>
      <c r="G139" s="6">
        <f t="shared" si="33"/>
        <v>249</v>
      </c>
      <c r="H139" s="6">
        <f t="shared" si="33"/>
        <v>7.1359488177163302</v>
      </c>
      <c r="I139" s="6">
        <f t="shared" si="33"/>
        <v>23.759237300563246</v>
      </c>
      <c r="J139" s="6">
        <f t="shared" si="33"/>
        <v>15.617577837173581</v>
      </c>
      <c r="L139" s="6"/>
      <c r="M139" s="6"/>
      <c r="N139" s="6"/>
      <c r="O139" s="6"/>
    </row>
    <row r="140" spans="1:15" x14ac:dyDescent="0.5">
      <c r="A140" s="4">
        <v>34213</v>
      </c>
      <c r="B140" s="1">
        <v>366</v>
      </c>
      <c r="C140" s="5">
        <v>8.01738033333333</v>
      </c>
      <c r="D140" s="5">
        <v>36.545624333333343</v>
      </c>
      <c r="E140" s="5">
        <v>21.765046999999999</v>
      </c>
      <c r="F140" s="5"/>
      <c r="G140" s="6">
        <f t="shared" si="33"/>
        <v>274.58333333333331</v>
      </c>
      <c r="H140" s="6">
        <f t="shared" si="33"/>
        <v>7.2080043732718861</v>
      </c>
      <c r="I140" s="6">
        <f t="shared" si="33"/>
        <v>24.703945633896581</v>
      </c>
      <c r="J140" s="6">
        <f t="shared" si="33"/>
        <v>16.176438670157804</v>
      </c>
      <c r="L140" s="6"/>
      <c r="M140" s="6"/>
      <c r="N140" s="6"/>
      <c r="O140" s="6"/>
    </row>
    <row r="141" spans="1:15" x14ac:dyDescent="0.5">
      <c r="A141" s="4">
        <v>34243</v>
      </c>
      <c r="B141" s="1">
        <v>69</v>
      </c>
      <c r="C141" s="5">
        <v>7.9911760322580614</v>
      </c>
      <c r="D141" s="5">
        <v>37.308903903225819</v>
      </c>
      <c r="E141" s="5">
        <v>22.090113666666667</v>
      </c>
      <c r="F141" s="5"/>
      <c r="G141" s="6">
        <f t="shared" si="33"/>
        <v>279.16666666666669</v>
      </c>
      <c r="H141" s="6">
        <f t="shared" si="33"/>
        <v>7.2726414700460795</v>
      </c>
      <c r="I141" s="6">
        <f t="shared" si="33"/>
        <v>25.639281655401959</v>
      </c>
      <c r="J141" s="6">
        <f t="shared" si="33"/>
        <v>16.669244919866873</v>
      </c>
      <c r="L141" s="6"/>
      <c r="M141" s="6"/>
      <c r="N141" s="6"/>
      <c r="O141" s="6"/>
    </row>
    <row r="142" spans="1:15" x14ac:dyDescent="0.5">
      <c r="A142" s="4">
        <v>34274</v>
      </c>
      <c r="B142" s="1">
        <v>72.5</v>
      </c>
      <c r="C142" s="5">
        <v>7.8420469999999973</v>
      </c>
      <c r="D142" s="5">
        <v>35.876957666666684</v>
      </c>
      <c r="E142" s="5">
        <v>21.634751347826089</v>
      </c>
      <c r="F142" s="5"/>
      <c r="G142" s="6">
        <f t="shared" si="33"/>
        <v>280.5</v>
      </c>
      <c r="H142" s="6">
        <f t="shared" si="33"/>
        <v>7.3300442478238574</v>
      </c>
      <c r="I142" s="6">
        <f t="shared" si="33"/>
        <v>26.568073322068617</v>
      </c>
      <c r="J142" s="6">
        <f t="shared" ref="J142:J205" si="34">AVERAGE(E131:E142)</f>
        <v>17.138936948852383</v>
      </c>
      <c r="L142" s="6"/>
      <c r="M142" s="6"/>
      <c r="N142" s="6"/>
      <c r="O142" s="6"/>
    </row>
    <row r="143" spans="1:15" x14ac:dyDescent="0.5">
      <c r="A143" s="4">
        <v>34304</v>
      </c>
      <c r="B143" s="1">
        <v>73.5</v>
      </c>
      <c r="C143" s="5">
        <v>7.6844018387096744</v>
      </c>
      <c r="D143" s="5">
        <v>33.696484548387104</v>
      </c>
      <c r="E143" s="5">
        <v>20.579253451612903</v>
      </c>
      <c r="F143" s="5"/>
      <c r="G143" s="6">
        <f t="shared" ref="G143:J206" si="35">AVERAGE(B132:B143)</f>
        <v>280.75</v>
      </c>
      <c r="H143" s="6">
        <f t="shared" si="35"/>
        <v>7.3825442478238577</v>
      </c>
      <c r="I143" s="6">
        <f t="shared" si="35"/>
        <v>27.428503429595498</v>
      </c>
      <c r="J143" s="6">
        <f t="shared" si="34"/>
        <v>17.563238024121201</v>
      </c>
      <c r="L143" s="6"/>
      <c r="M143" s="6"/>
      <c r="N143" s="6"/>
      <c r="O143" s="6"/>
    </row>
    <row r="144" spans="1:15" x14ac:dyDescent="0.5">
      <c r="A144" s="4">
        <v>34335</v>
      </c>
      <c r="B144" s="1">
        <v>46</v>
      </c>
      <c r="C144" s="5">
        <v>7.5547244193548355</v>
      </c>
      <c r="D144" s="5">
        <v>31.566645838709693</v>
      </c>
      <c r="E144" s="5">
        <v>19.60376958064516</v>
      </c>
      <c r="F144" s="5"/>
      <c r="G144" s="6">
        <f t="shared" si="35"/>
        <v>280</v>
      </c>
      <c r="H144" s="6">
        <f t="shared" si="35"/>
        <v>7.430366828469019</v>
      </c>
      <c r="I144" s="6">
        <f t="shared" si="35"/>
        <v>28.212468483358947</v>
      </c>
      <c r="J144" s="6">
        <f t="shared" si="34"/>
        <v>17.949434260680338</v>
      </c>
      <c r="L144" s="6"/>
      <c r="M144" s="6"/>
      <c r="N144" s="6"/>
      <c r="O144" s="6"/>
    </row>
    <row r="145" spans="1:15" x14ac:dyDescent="0.5">
      <c r="A145" s="4">
        <v>34366</v>
      </c>
      <c r="B145" s="1">
        <v>74</v>
      </c>
      <c r="C145" s="5">
        <v>7.4152255714285671</v>
      </c>
      <c r="D145" s="5">
        <v>29.496041000000012</v>
      </c>
      <c r="E145" s="5">
        <v>18.689161285714288</v>
      </c>
      <c r="F145" s="5"/>
      <c r="G145" s="6">
        <f t="shared" si="35"/>
        <v>280.20833333333331</v>
      </c>
      <c r="H145" s="6">
        <f t="shared" si="35"/>
        <v>7.4738638522785417</v>
      </c>
      <c r="I145" s="6">
        <f t="shared" si="35"/>
        <v>28.897007173835135</v>
      </c>
      <c r="J145" s="6">
        <f t="shared" si="34"/>
        <v>18.295371760680336</v>
      </c>
      <c r="L145" s="6"/>
      <c r="M145" s="6"/>
      <c r="N145" s="6"/>
      <c r="O145" s="6"/>
    </row>
    <row r="146" spans="1:15" x14ac:dyDescent="0.5">
      <c r="A146" s="4">
        <v>34394</v>
      </c>
      <c r="B146" s="1">
        <v>46.5</v>
      </c>
      <c r="C146" s="5">
        <v>7.2945631290322535</v>
      </c>
      <c r="D146" s="5">
        <v>27.583258741935492</v>
      </c>
      <c r="E146" s="5">
        <v>17.822156677419358</v>
      </c>
      <c r="F146" s="5"/>
      <c r="G146" s="6">
        <f t="shared" si="35"/>
        <v>272.83333333333331</v>
      </c>
      <c r="H146" s="6">
        <f t="shared" si="35"/>
        <v>7.5115520243215528</v>
      </c>
      <c r="I146" s="6">
        <f t="shared" si="35"/>
        <v>29.482450722222229</v>
      </c>
      <c r="J146" s="6">
        <f t="shared" si="34"/>
        <v>18.593705094013668</v>
      </c>
      <c r="L146" s="6"/>
      <c r="M146" s="6"/>
      <c r="N146" s="6"/>
      <c r="O146" s="6"/>
    </row>
    <row r="147" spans="1:15" x14ac:dyDescent="0.5">
      <c r="A147" s="4">
        <v>34425</v>
      </c>
      <c r="B147" s="1">
        <v>191.5</v>
      </c>
      <c r="C147" s="5">
        <v>7.2155469999999955</v>
      </c>
      <c r="D147" s="5">
        <v>25.876291000000009</v>
      </c>
      <c r="E147" s="5">
        <v>16.799280333333336</v>
      </c>
      <c r="F147" s="5"/>
      <c r="G147" s="6">
        <f t="shared" si="35"/>
        <v>268.625</v>
      </c>
      <c r="H147" s="6">
        <f t="shared" si="35"/>
        <v>7.5454270243215538</v>
      </c>
      <c r="I147" s="6">
        <f t="shared" si="35"/>
        <v>29.972659055555567</v>
      </c>
      <c r="J147" s="6">
        <f t="shared" si="34"/>
        <v>18.836941205124777</v>
      </c>
      <c r="L147" s="6"/>
      <c r="M147" s="6"/>
      <c r="N147" s="6"/>
      <c r="O147" s="6"/>
    </row>
    <row r="148" spans="1:15" x14ac:dyDescent="0.5">
      <c r="A148" s="4">
        <v>34455</v>
      </c>
      <c r="B148" s="1">
        <v>51.5</v>
      </c>
      <c r="C148" s="5">
        <v>7.1398857096774169</v>
      </c>
      <c r="D148" s="5">
        <v>24.5498716451613</v>
      </c>
      <c r="E148" s="5">
        <v>16.205543774193551</v>
      </c>
      <c r="F148" s="5"/>
      <c r="G148" s="6">
        <f t="shared" si="35"/>
        <v>260.66666666666669</v>
      </c>
      <c r="H148" s="6">
        <f t="shared" si="35"/>
        <v>7.5692979920634889</v>
      </c>
      <c r="I148" s="6">
        <f t="shared" si="35"/>
        <v>30.359809593189969</v>
      </c>
      <c r="J148" s="6">
        <f t="shared" si="34"/>
        <v>19.033984215877471</v>
      </c>
      <c r="L148" s="6"/>
      <c r="M148" s="6"/>
      <c r="N148" s="6"/>
      <c r="O148" s="6"/>
    </row>
    <row r="149" spans="1:15" x14ac:dyDescent="0.5">
      <c r="A149" s="4">
        <v>34486</v>
      </c>
      <c r="B149" s="1">
        <v>221</v>
      </c>
      <c r="C149" s="5">
        <v>7.0880469999999969</v>
      </c>
      <c r="D149" s="5">
        <v>23.958957666666681</v>
      </c>
      <c r="E149" s="5">
        <v>15.808685095238097</v>
      </c>
      <c r="F149" s="5"/>
      <c r="G149" s="6">
        <f t="shared" si="35"/>
        <v>203.41666666666666</v>
      </c>
      <c r="H149" s="6">
        <f t="shared" si="35"/>
        <v>7.5727979920634887</v>
      </c>
      <c r="I149" s="6">
        <f t="shared" si="35"/>
        <v>30.626309593189973</v>
      </c>
      <c r="J149" s="6">
        <f t="shared" si="34"/>
        <v>19.162865168258424</v>
      </c>
      <c r="L149" s="6"/>
      <c r="M149" s="6"/>
      <c r="N149" s="6"/>
      <c r="O149" s="6"/>
    </row>
    <row r="150" spans="1:15" x14ac:dyDescent="0.5">
      <c r="A150" s="4">
        <v>34516</v>
      </c>
      <c r="B150" s="1">
        <v>75.5</v>
      </c>
      <c r="C150" s="5">
        <v>7.010208290322578</v>
      </c>
      <c r="D150" s="5">
        <v>24.101161967741941</v>
      </c>
      <c r="E150" s="5">
        <v>15.756078578947371</v>
      </c>
      <c r="F150" s="5"/>
      <c r="G150" s="6">
        <f t="shared" si="35"/>
        <v>143.91666666666666</v>
      </c>
      <c r="H150" s="6">
        <f t="shared" si="35"/>
        <v>7.5179055189452093</v>
      </c>
      <c r="I150" s="6">
        <f t="shared" si="35"/>
        <v>30.321887550179227</v>
      </c>
      <c r="J150" s="6">
        <f t="shared" si="34"/>
        <v>18.939209466504035</v>
      </c>
      <c r="L150" s="6"/>
      <c r="M150" s="6"/>
      <c r="N150" s="6"/>
      <c r="O150" s="6"/>
    </row>
    <row r="151" spans="1:15" x14ac:dyDescent="0.5">
      <c r="A151" s="4">
        <v>34547</v>
      </c>
      <c r="B151" s="1">
        <v>77.5</v>
      </c>
      <c r="C151" s="5">
        <v>7.0376276451612867</v>
      </c>
      <c r="D151" s="5">
        <v>24.953742612903238</v>
      </c>
      <c r="E151" s="5">
        <v>15.98433985714286</v>
      </c>
      <c r="F151" s="5"/>
      <c r="G151" s="6">
        <f t="shared" si="35"/>
        <v>113.70833333333333</v>
      </c>
      <c r="H151" s="6">
        <f t="shared" si="35"/>
        <v>7.4409028307731662</v>
      </c>
      <c r="I151" s="6">
        <f t="shared" si="35"/>
        <v>29.626161743727607</v>
      </c>
      <c r="J151" s="6">
        <f t="shared" si="34"/>
        <v>18.56151505406164</v>
      </c>
      <c r="L151" s="6"/>
      <c r="M151" s="6"/>
      <c r="N151" s="6"/>
      <c r="O151" s="6"/>
    </row>
    <row r="152" spans="1:15" x14ac:dyDescent="0.5">
      <c r="A152" s="4">
        <v>34578</v>
      </c>
      <c r="B152" s="1">
        <v>6.5</v>
      </c>
      <c r="C152" s="5">
        <v>7.1295469999999961</v>
      </c>
      <c r="D152" s="5">
        <v>26.268624333333346</v>
      </c>
      <c r="E152" s="5">
        <v>16.500613666666666</v>
      </c>
      <c r="F152" s="5"/>
      <c r="G152" s="6">
        <f t="shared" si="35"/>
        <v>83.75</v>
      </c>
      <c r="H152" s="6">
        <f t="shared" si="35"/>
        <v>7.3669167196620551</v>
      </c>
      <c r="I152" s="6">
        <f t="shared" si="35"/>
        <v>28.769745077060936</v>
      </c>
      <c r="J152" s="6">
        <f t="shared" si="34"/>
        <v>18.122812276283867</v>
      </c>
      <c r="L152" s="6"/>
      <c r="M152" s="6"/>
      <c r="N152" s="6"/>
      <c r="O152" s="6"/>
    </row>
    <row r="153" spans="1:15" x14ac:dyDescent="0.5">
      <c r="A153" s="4">
        <v>34608</v>
      </c>
      <c r="B153" s="1">
        <v>29</v>
      </c>
      <c r="C153" s="5">
        <v>7.1627889354838681</v>
      </c>
      <c r="D153" s="5">
        <v>25.993420032258083</v>
      </c>
      <c r="E153" s="5">
        <v>16.517640548387099</v>
      </c>
      <c r="F153" s="5"/>
      <c r="G153" s="6">
        <f t="shared" si="35"/>
        <v>80.416666666666671</v>
      </c>
      <c r="H153" s="6">
        <f t="shared" si="35"/>
        <v>7.2978844615975396</v>
      </c>
      <c r="I153" s="6">
        <f t="shared" si="35"/>
        <v>27.826788087813625</v>
      </c>
      <c r="J153" s="6">
        <f t="shared" si="34"/>
        <v>17.658439516427233</v>
      </c>
      <c r="L153" s="6"/>
      <c r="M153" s="6"/>
      <c r="N153" s="6"/>
      <c r="O153" s="6"/>
    </row>
    <row r="154" spans="1:15" x14ac:dyDescent="0.5">
      <c r="A154" s="4">
        <v>34639</v>
      </c>
      <c r="B154" s="1">
        <v>4.5</v>
      </c>
      <c r="C154" s="5">
        <v>7.0645469999999957</v>
      </c>
      <c r="D154" s="5">
        <v>24.272457666666671</v>
      </c>
      <c r="E154" s="5">
        <v>15.859947000000002</v>
      </c>
      <c r="F154" s="5"/>
      <c r="G154" s="6">
        <f t="shared" si="35"/>
        <v>74.75</v>
      </c>
      <c r="H154" s="6">
        <f t="shared" si="35"/>
        <v>7.2330927949308723</v>
      </c>
      <c r="I154" s="6">
        <f t="shared" si="35"/>
        <v>26.859746421146966</v>
      </c>
      <c r="J154" s="6">
        <f t="shared" si="34"/>
        <v>17.177205820775061</v>
      </c>
      <c r="L154" s="6"/>
      <c r="M154" s="6"/>
      <c r="N154" s="6"/>
      <c r="O154" s="6"/>
    </row>
    <row r="155" spans="1:15" x14ac:dyDescent="0.5">
      <c r="A155" s="4">
        <v>34669</v>
      </c>
      <c r="B155" s="1">
        <v>97</v>
      </c>
      <c r="C155" s="5">
        <v>6.9794018387096726</v>
      </c>
      <c r="D155" s="5">
        <v>22.837129709677431</v>
      </c>
      <c r="E155" s="5">
        <v>15.230059903225809</v>
      </c>
      <c r="F155" s="5"/>
      <c r="G155" s="6">
        <f t="shared" si="35"/>
        <v>76.708333333333329</v>
      </c>
      <c r="H155" s="6">
        <f t="shared" si="35"/>
        <v>7.1743427949308725</v>
      </c>
      <c r="I155" s="6">
        <f t="shared" si="35"/>
        <v>25.954800184587825</v>
      </c>
      <c r="J155" s="6">
        <f t="shared" si="34"/>
        <v>16.731439691742803</v>
      </c>
      <c r="L155" s="6"/>
      <c r="M155" s="6"/>
      <c r="N155" s="6"/>
      <c r="O155" s="6"/>
    </row>
    <row r="156" spans="1:15" x14ac:dyDescent="0.5">
      <c r="A156" s="4">
        <v>34700</v>
      </c>
      <c r="B156" s="1">
        <v>48.5</v>
      </c>
      <c r="C156" s="5">
        <v>6.9081115161290283</v>
      </c>
      <c r="D156" s="5">
        <v>21.82938777419356</v>
      </c>
      <c r="E156" s="5">
        <v>14.759414741935487</v>
      </c>
      <c r="F156" s="5"/>
      <c r="G156" s="6">
        <f t="shared" si="35"/>
        <v>76.916666666666671</v>
      </c>
      <c r="H156" s="6">
        <f t="shared" si="35"/>
        <v>7.1204583863287212</v>
      </c>
      <c r="I156" s="6">
        <f t="shared" si="35"/>
        <v>25.143362012544813</v>
      </c>
      <c r="J156" s="6">
        <f t="shared" si="34"/>
        <v>16.327743455183661</v>
      </c>
      <c r="L156" s="6"/>
      <c r="M156" s="6"/>
      <c r="N156" s="6"/>
      <c r="O156" s="6"/>
    </row>
    <row r="157" spans="1:15" x14ac:dyDescent="0.5">
      <c r="A157" s="4">
        <v>34731</v>
      </c>
      <c r="B157" s="1">
        <v>31.5</v>
      </c>
      <c r="C157" s="5">
        <v>6.8159398571428556</v>
      </c>
      <c r="D157" s="5">
        <v>20.920148142857151</v>
      </c>
      <c r="E157" s="5">
        <v>14.305411285714285</v>
      </c>
      <c r="F157" s="5"/>
      <c r="G157" s="6">
        <f t="shared" si="35"/>
        <v>73.375</v>
      </c>
      <c r="H157" s="6">
        <f t="shared" si="35"/>
        <v>7.0705179101382454</v>
      </c>
      <c r="I157" s="6">
        <f t="shared" si="35"/>
        <v>24.428704274449576</v>
      </c>
      <c r="J157" s="6">
        <f t="shared" si="34"/>
        <v>15.962430955183663</v>
      </c>
      <c r="L157" s="6"/>
      <c r="M157" s="6"/>
      <c r="N157" s="6"/>
      <c r="O157" s="6"/>
    </row>
    <row r="158" spans="1:15" x14ac:dyDescent="0.5">
      <c r="A158" s="4">
        <v>34759</v>
      </c>
      <c r="B158" s="1">
        <v>70</v>
      </c>
      <c r="C158" s="5">
        <v>6.7581115161290288</v>
      </c>
      <c r="D158" s="5">
        <v>20.191484548387102</v>
      </c>
      <c r="E158" s="5">
        <v>13.915382483870969</v>
      </c>
      <c r="F158" s="5"/>
      <c r="G158" s="6">
        <f t="shared" si="35"/>
        <v>75.333333333333329</v>
      </c>
      <c r="H158" s="6">
        <f t="shared" si="35"/>
        <v>7.0258136090629764</v>
      </c>
      <c r="I158" s="6">
        <f t="shared" si="35"/>
        <v>23.812723091653876</v>
      </c>
      <c r="J158" s="6">
        <f t="shared" si="34"/>
        <v>15.636866439054627</v>
      </c>
      <c r="L158" s="6"/>
      <c r="M158" s="6"/>
      <c r="N158" s="6"/>
      <c r="O158" s="6"/>
    </row>
    <row r="159" spans="1:15" x14ac:dyDescent="0.5">
      <c r="A159" s="4">
        <v>34790</v>
      </c>
      <c r="B159" s="1">
        <v>213</v>
      </c>
      <c r="C159" s="5">
        <v>6.7375469999999957</v>
      </c>
      <c r="D159" s="5">
        <v>19.623124333333351</v>
      </c>
      <c r="E159" s="5">
        <v>13.620280333333334</v>
      </c>
      <c r="F159" s="5"/>
      <c r="G159" s="6">
        <f t="shared" si="35"/>
        <v>77.125</v>
      </c>
      <c r="H159" s="6">
        <f t="shared" si="35"/>
        <v>6.9859802757296423</v>
      </c>
      <c r="I159" s="6">
        <f t="shared" si="35"/>
        <v>23.291625869431655</v>
      </c>
      <c r="J159" s="6">
        <f t="shared" si="34"/>
        <v>15.371949772387959</v>
      </c>
      <c r="L159" s="6"/>
      <c r="M159" s="6"/>
      <c r="N159" s="6"/>
      <c r="O159" s="6"/>
    </row>
    <row r="160" spans="1:15" x14ac:dyDescent="0.5">
      <c r="A160" s="4">
        <v>34820</v>
      </c>
      <c r="B160" s="1">
        <v>123</v>
      </c>
      <c r="C160" s="5">
        <v>6.7777889354838674</v>
      </c>
      <c r="D160" s="5">
        <v>19.329549064516144</v>
      </c>
      <c r="E160" s="5">
        <v>13.483769580645163</v>
      </c>
      <c r="F160" s="5"/>
      <c r="G160" s="6">
        <f t="shared" si="35"/>
        <v>83.083333333333329</v>
      </c>
      <c r="H160" s="6">
        <f t="shared" si="35"/>
        <v>6.9558055445468474</v>
      </c>
      <c r="I160" s="6">
        <f t="shared" si="35"/>
        <v>22.856598987711227</v>
      </c>
      <c r="J160" s="6">
        <f t="shared" si="34"/>
        <v>15.14513525625893</v>
      </c>
      <c r="L160" s="6"/>
      <c r="M160" s="6"/>
      <c r="N160" s="6"/>
      <c r="O160" s="6"/>
    </row>
    <row r="161" spans="1:15" x14ac:dyDescent="0.5">
      <c r="A161" s="4">
        <v>34851</v>
      </c>
      <c r="B161" s="1">
        <v>248</v>
      </c>
      <c r="C161" s="5">
        <v>6.7455469999999975</v>
      </c>
      <c r="D161" s="5">
        <v>19.29979100000001</v>
      </c>
      <c r="E161" s="5">
        <v>13.380946999999999</v>
      </c>
      <c r="F161" s="5"/>
      <c r="G161" s="6">
        <f t="shared" si="35"/>
        <v>85.333333333333329</v>
      </c>
      <c r="H161" s="6">
        <f t="shared" si="35"/>
        <v>6.9272638778801801</v>
      </c>
      <c r="I161" s="6">
        <f t="shared" si="35"/>
        <v>22.468335098822337</v>
      </c>
      <c r="J161" s="6">
        <f t="shared" si="34"/>
        <v>14.94282374832242</v>
      </c>
      <c r="L161" s="6"/>
      <c r="M161" s="6"/>
      <c r="N161" s="6"/>
      <c r="O161" s="6"/>
    </row>
    <row r="162" spans="1:15" x14ac:dyDescent="0.5">
      <c r="A162" s="4">
        <v>34881</v>
      </c>
      <c r="B162" s="1">
        <v>504</v>
      </c>
      <c r="C162" s="5">
        <v>7.0331115161290274</v>
      </c>
      <c r="D162" s="5">
        <v>21.20664583870969</v>
      </c>
      <c r="E162" s="5">
        <v>14.382479258064517</v>
      </c>
      <c r="F162" s="5"/>
      <c r="G162" s="6">
        <f t="shared" si="35"/>
        <v>121.04166666666667</v>
      </c>
      <c r="H162" s="6">
        <f t="shared" si="35"/>
        <v>6.9291724800307186</v>
      </c>
      <c r="I162" s="6">
        <f t="shared" si="35"/>
        <v>22.227125421402985</v>
      </c>
      <c r="J162" s="6">
        <f t="shared" si="34"/>
        <v>14.828357138248847</v>
      </c>
      <c r="L162" s="6"/>
      <c r="M162" s="6"/>
      <c r="N162" s="6"/>
      <c r="O162" s="6"/>
    </row>
    <row r="163" spans="1:15" x14ac:dyDescent="0.5">
      <c r="A163" s="4">
        <v>34912</v>
      </c>
      <c r="B163" s="1">
        <v>182.5</v>
      </c>
      <c r="C163" s="5">
        <v>6.9840792580645141</v>
      </c>
      <c r="D163" s="5">
        <v>23.055678096774205</v>
      </c>
      <c r="E163" s="5">
        <v>15.119414741935483</v>
      </c>
      <c r="F163" s="5"/>
      <c r="G163" s="6">
        <f t="shared" si="35"/>
        <v>129.79166666666666</v>
      </c>
      <c r="H163" s="6">
        <f t="shared" si="35"/>
        <v>6.9247101144393213</v>
      </c>
      <c r="I163" s="6">
        <f t="shared" si="35"/>
        <v>22.068953378392234</v>
      </c>
      <c r="J163" s="6">
        <f t="shared" si="34"/>
        <v>14.756280045314901</v>
      </c>
      <c r="L163" s="6"/>
      <c r="M163" s="6"/>
      <c r="N163" s="6"/>
      <c r="O163" s="6"/>
    </row>
    <row r="164" spans="1:15" x14ac:dyDescent="0.5">
      <c r="A164" s="4">
        <v>34943</v>
      </c>
      <c r="B164" s="1">
        <v>315</v>
      </c>
      <c r="C164" s="5">
        <v>7.1760469999999961</v>
      </c>
      <c r="D164" s="5">
        <v>25.012957666666679</v>
      </c>
      <c r="E164" s="5">
        <v>15.999613666666667</v>
      </c>
      <c r="F164" s="5"/>
      <c r="G164" s="6">
        <f t="shared" si="35"/>
        <v>155.5</v>
      </c>
      <c r="H164" s="6">
        <f t="shared" si="35"/>
        <v>6.9285851144393211</v>
      </c>
      <c r="I164" s="6">
        <f t="shared" si="35"/>
        <v>21.964314489503341</v>
      </c>
      <c r="J164" s="6">
        <f t="shared" si="34"/>
        <v>14.714530045314902</v>
      </c>
      <c r="L164" s="6"/>
      <c r="M164" s="6"/>
      <c r="N164" s="6"/>
      <c r="O164" s="6"/>
    </row>
    <row r="165" spans="1:15" x14ac:dyDescent="0.5">
      <c r="A165" s="4">
        <v>34973</v>
      </c>
      <c r="B165" s="1">
        <v>76.5</v>
      </c>
      <c r="C165" s="5">
        <v>7.2066599032258027</v>
      </c>
      <c r="D165" s="5">
        <v>25.479387774193555</v>
      </c>
      <c r="E165" s="5">
        <v>16.324092161290324</v>
      </c>
      <c r="F165" s="5"/>
      <c r="G165" s="6">
        <f t="shared" si="35"/>
        <v>159.45833333333334</v>
      </c>
      <c r="H165" s="6">
        <f t="shared" si="35"/>
        <v>6.9322410284178142</v>
      </c>
      <c r="I165" s="6">
        <f t="shared" si="35"/>
        <v>21.921478467997968</v>
      </c>
      <c r="J165" s="6">
        <f t="shared" si="34"/>
        <v>14.698401013056838</v>
      </c>
      <c r="L165" s="6"/>
      <c r="M165" s="6"/>
      <c r="N165" s="6"/>
      <c r="O165" s="6"/>
    </row>
    <row r="166" spans="1:15" x14ac:dyDescent="0.5">
      <c r="A166" s="4">
        <v>35004</v>
      </c>
      <c r="B166" s="1">
        <v>55.5</v>
      </c>
      <c r="C166" s="5">
        <v>7.126713666666662</v>
      </c>
      <c r="D166" s="5">
        <v>24.374957666666678</v>
      </c>
      <c r="E166" s="5">
        <v>15.896780333333332</v>
      </c>
      <c r="F166" s="5"/>
      <c r="G166" s="6">
        <f t="shared" si="35"/>
        <v>163.70833333333334</v>
      </c>
      <c r="H166" s="6">
        <f t="shared" si="35"/>
        <v>6.9374215839733688</v>
      </c>
      <c r="I166" s="6">
        <f t="shared" si="35"/>
        <v>21.930020134664634</v>
      </c>
      <c r="J166" s="6">
        <f t="shared" si="34"/>
        <v>14.70147045750128</v>
      </c>
      <c r="L166" s="6"/>
      <c r="M166" s="6"/>
      <c r="N166" s="6"/>
      <c r="O166" s="6"/>
    </row>
    <row r="167" spans="1:15" x14ac:dyDescent="0.5">
      <c r="A167" s="4">
        <v>35034</v>
      </c>
      <c r="B167" s="1">
        <v>8</v>
      </c>
      <c r="C167" s="5">
        <v>7.0223050645161251</v>
      </c>
      <c r="D167" s="5">
        <v>23.106807129032269</v>
      </c>
      <c r="E167" s="5">
        <v>15.337172806451612</v>
      </c>
      <c r="F167" s="5"/>
      <c r="G167" s="6">
        <f t="shared" si="35"/>
        <v>156.29166666666666</v>
      </c>
      <c r="H167" s="6">
        <f t="shared" si="35"/>
        <v>6.9409968527905734</v>
      </c>
      <c r="I167" s="6">
        <f t="shared" si="35"/>
        <v>21.952493252944205</v>
      </c>
      <c r="J167" s="6">
        <f t="shared" si="34"/>
        <v>14.710396532770099</v>
      </c>
      <c r="L167" s="6"/>
      <c r="M167" s="6"/>
      <c r="N167" s="6"/>
      <c r="O167" s="6"/>
    </row>
    <row r="168" spans="1:15" x14ac:dyDescent="0.5">
      <c r="A168" s="4">
        <v>35065</v>
      </c>
      <c r="B168" s="1">
        <v>58</v>
      </c>
      <c r="C168" s="5">
        <v>6.9368211935483837</v>
      </c>
      <c r="D168" s="5">
        <v>22.05745229032259</v>
      </c>
      <c r="E168" s="5">
        <v>14.820543774193549</v>
      </c>
      <c r="F168" s="5"/>
      <c r="G168" s="6">
        <f t="shared" si="35"/>
        <v>157.08333333333334</v>
      </c>
      <c r="H168" s="6">
        <f t="shared" si="35"/>
        <v>6.9433893259088535</v>
      </c>
      <c r="I168" s="6">
        <f t="shared" si="35"/>
        <v>21.971498629288288</v>
      </c>
      <c r="J168" s="6">
        <f t="shared" si="34"/>
        <v>14.7154906187916</v>
      </c>
      <c r="L168" s="6"/>
      <c r="M168" s="6"/>
      <c r="N168" s="6"/>
      <c r="O168" s="6"/>
    </row>
    <row r="169" spans="1:15" x14ac:dyDescent="0.5">
      <c r="A169" s="4">
        <v>35096</v>
      </c>
      <c r="B169" s="1">
        <v>43.5</v>
      </c>
      <c r="C169" s="5">
        <v>6.8414263103448256</v>
      </c>
      <c r="D169" s="5">
        <v>21.161179888888892</v>
      </c>
      <c r="E169" s="5">
        <v>14.389998724137932</v>
      </c>
      <c r="F169" s="5"/>
      <c r="G169" s="6">
        <f t="shared" si="35"/>
        <v>158.08333333333334</v>
      </c>
      <c r="H169" s="6">
        <f t="shared" si="35"/>
        <v>6.9455131970090198</v>
      </c>
      <c r="I169" s="6">
        <f t="shared" si="35"/>
        <v>21.991584608124267</v>
      </c>
      <c r="J169" s="6">
        <f t="shared" si="34"/>
        <v>14.722539571993572</v>
      </c>
      <c r="L169" s="6"/>
      <c r="M169" s="6"/>
      <c r="N169" s="6"/>
      <c r="O169" s="6"/>
    </row>
    <row r="170" spans="1:15" x14ac:dyDescent="0.5">
      <c r="A170" s="4">
        <v>35125</v>
      </c>
      <c r="B170" s="1">
        <v>146</v>
      </c>
      <c r="C170" s="5">
        <v>6.7860147419354799</v>
      </c>
      <c r="D170" s="5">
        <v>20.408581322580648</v>
      </c>
      <c r="E170" s="5">
        <v>14.075866354838711</v>
      </c>
      <c r="F170" s="5"/>
      <c r="G170" s="6">
        <f t="shared" si="35"/>
        <v>164.41666666666666</v>
      </c>
      <c r="H170" s="6">
        <f t="shared" si="35"/>
        <v>6.9478384658262229</v>
      </c>
      <c r="I170" s="6">
        <f t="shared" si="35"/>
        <v>22.009676005973727</v>
      </c>
      <c r="J170" s="6">
        <f t="shared" si="34"/>
        <v>14.735913227907552</v>
      </c>
      <c r="L170" s="6"/>
      <c r="M170" s="6"/>
      <c r="N170" s="6"/>
      <c r="O170" s="6"/>
    </row>
    <row r="171" spans="1:15" x14ac:dyDescent="0.5">
      <c r="A171" s="4">
        <v>35156</v>
      </c>
      <c r="B171" s="1">
        <v>109.5</v>
      </c>
      <c r="C171" s="5">
        <v>6.7280469999999974</v>
      </c>
      <c r="D171" s="5">
        <v>19.752957666666681</v>
      </c>
      <c r="E171" s="5">
        <v>13.717113666666666</v>
      </c>
      <c r="F171" s="5"/>
      <c r="G171" s="6">
        <f t="shared" si="35"/>
        <v>155.79166666666666</v>
      </c>
      <c r="H171" s="6">
        <f t="shared" si="35"/>
        <v>6.9470467991595557</v>
      </c>
      <c r="I171" s="6">
        <f t="shared" si="35"/>
        <v>22.020495450418171</v>
      </c>
      <c r="J171" s="6">
        <f t="shared" si="34"/>
        <v>14.743982672351997</v>
      </c>
      <c r="L171" s="6"/>
      <c r="M171" s="6"/>
      <c r="N171" s="6"/>
      <c r="O171" s="6"/>
    </row>
    <row r="172" spans="1:15" x14ac:dyDescent="0.5">
      <c r="A172" s="4">
        <v>35186</v>
      </c>
      <c r="B172" s="1">
        <v>41</v>
      </c>
      <c r="C172" s="5">
        <v>6.717143774193544</v>
      </c>
      <c r="D172" s="5">
        <v>19.34438777419356</v>
      </c>
      <c r="E172" s="5">
        <v>13.519253451612904</v>
      </c>
      <c r="F172" s="5"/>
      <c r="G172" s="6">
        <f t="shared" si="35"/>
        <v>148.95833333333334</v>
      </c>
      <c r="H172" s="6">
        <f t="shared" si="35"/>
        <v>6.9419930357186965</v>
      </c>
      <c r="I172" s="6">
        <f t="shared" si="35"/>
        <v>22.021732009557955</v>
      </c>
      <c r="J172" s="6">
        <f t="shared" si="34"/>
        <v>14.746939661599312</v>
      </c>
      <c r="L172" s="6"/>
      <c r="M172" s="6"/>
      <c r="N172" s="6"/>
      <c r="O172" s="6"/>
    </row>
    <row r="173" spans="1:15" x14ac:dyDescent="0.5">
      <c r="A173" s="4">
        <v>35217</v>
      </c>
      <c r="B173" s="1">
        <v>637</v>
      </c>
      <c r="C173" s="5">
        <v>6.8143803333333297</v>
      </c>
      <c r="D173" s="5">
        <v>19.445124333333343</v>
      </c>
      <c r="E173" s="5">
        <v>13.580613666666668</v>
      </c>
      <c r="F173" s="5"/>
      <c r="G173" s="6">
        <f t="shared" si="35"/>
        <v>181.375</v>
      </c>
      <c r="H173" s="6">
        <f t="shared" si="35"/>
        <v>6.9477291468298077</v>
      </c>
      <c r="I173" s="6">
        <f t="shared" si="35"/>
        <v>22.033843120669065</v>
      </c>
      <c r="J173" s="6">
        <f t="shared" si="34"/>
        <v>14.763578550488198</v>
      </c>
      <c r="L173" s="6"/>
      <c r="M173" s="6"/>
      <c r="N173" s="6"/>
      <c r="O173" s="6"/>
    </row>
    <row r="174" spans="1:15" x14ac:dyDescent="0.5">
      <c r="A174" s="4">
        <v>35247</v>
      </c>
      <c r="C174" s="5">
        <v>7.022950225806448</v>
      </c>
      <c r="D174" s="5">
        <v>21.534065193548397</v>
      </c>
      <c r="E174" s="5">
        <v>14.621188935483872</v>
      </c>
      <c r="F174" s="5"/>
      <c r="G174" s="6">
        <f t="shared" si="35"/>
        <v>152.04545454545453</v>
      </c>
      <c r="H174" s="6">
        <f t="shared" si="35"/>
        <v>6.9468823726362601</v>
      </c>
      <c r="I174" s="6">
        <f t="shared" si="35"/>
        <v>22.061128066905624</v>
      </c>
      <c r="J174" s="6">
        <f t="shared" si="34"/>
        <v>14.783471023606475</v>
      </c>
      <c r="L174" s="6"/>
      <c r="M174" s="6"/>
      <c r="N174" s="6"/>
      <c r="O174" s="6"/>
    </row>
    <row r="175" spans="1:15" x14ac:dyDescent="0.5">
      <c r="A175" s="4">
        <v>35278</v>
      </c>
      <c r="B175" s="1">
        <v>176.5</v>
      </c>
      <c r="C175" s="5">
        <v>7.0723050645161241</v>
      </c>
      <c r="D175" s="5">
        <v>23.682129709677422</v>
      </c>
      <c r="E175" s="5">
        <v>15.55086635483871</v>
      </c>
      <c r="F175" s="5"/>
      <c r="G175" s="6">
        <f t="shared" si="35"/>
        <v>151.5</v>
      </c>
      <c r="H175" s="6">
        <f t="shared" si="35"/>
        <v>6.9542345231738949</v>
      </c>
      <c r="I175" s="6">
        <f t="shared" si="35"/>
        <v>22.113332367980892</v>
      </c>
      <c r="J175" s="6">
        <f t="shared" si="34"/>
        <v>14.819425324681745</v>
      </c>
      <c r="L175" s="6"/>
      <c r="M175" s="6"/>
      <c r="N175" s="6"/>
      <c r="O175" s="6"/>
    </row>
    <row r="176" spans="1:15" x14ac:dyDescent="0.5">
      <c r="A176" s="4">
        <v>35309</v>
      </c>
      <c r="B176" s="1">
        <v>127.5</v>
      </c>
      <c r="C176" s="5">
        <v>7.1640469999999974</v>
      </c>
      <c r="D176" s="5">
        <v>25.483624333333339</v>
      </c>
      <c r="E176" s="5">
        <v>16.257446999999999</v>
      </c>
      <c r="F176" s="5"/>
      <c r="G176" s="6">
        <f t="shared" si="35"/>
        <v>134.45454545454547</v>
      </c>
      <c r="H176" s="6">
        <f t="shared" si="35"/>
        <v>6.9532345231738946</v>
      </c>
      <c r="I176" s="6">
        <f t="shared" si="35"/>
        <v>22.152554590203113</v>
      </c>
      <c r="J176" s="6">
        <f t="shared" si="34"/>
        <v>14.840911435792856</v>
      </c>
      <c r="L176" s="6"/>
      <c r="M176" s="6"/>
      <c r="N176" s="6"/>
      <c r="O176" s="6"/>
    </row>
    <row r="177" spans="1:15" x14ac:dyDescent="0.5">
      <c r="A177" s="4">
        <v>35339</v>
      </c>
      <c r="B177" s="1">
        <v>40.5</v>
      </c>
      <c r="C177" s="5">
        <v>7.1735953870967704</v>
      </c>
      <c r="D177" s="5">
        <v>25.812613580645174</v>
      </c>
      <c r="E177" s="5">
        <v>16.435705064516128</v>
      </c>
      <c r="F177" s="5"/>
      <c r="G177" s="6">
        <f t="shared" si="35"/>
        <v>131.18181818181819</v>
      </c>
      <c r="H177" s="6">
        <f t="shared" si="35"/>
        <v>6.9504791468298075</v>
      </c>
      <c r="I177" s="6">
        <f t="shared" si="35"/>
        <v>22.180323407407418</v>
      </c>
      <c r="J177" s="6">
        <f t="shared" si="34"/>
        <v>14.850212511061676</v>
      </c>
      <c r="L177" s="6"/>
      <c r="M177" s="6"/>
      <c r="N177" s="6"/>
      <c r="O177" s="6"/>
    </row>
    <row r="178" spans="1:15" x14ac:dyDescent="0.5">
      <c r="A178" s="4">
        <v>35370</v>
      </c>
      <c r="B178" s="1">
        <v>72.5</v>
      </c>
      <c r="C178" s="5">
        <v>7.0832136666666639</v>
      </c>
      <c r="D178" s="5">
        <v>24.646957666666676</v>
      </c>
      <c r="E178" s="5">
        <v>15.955780333333333</v>
      </c>
      <c r="F178" s="5"/>
      <c r="G178" s="6">
        <f t="shared" si="35"/>
        <v>132.72727272727272</v>
      </c>
      <c r="H178" s="6">
        <f t="shared" si="35"/>
        <v>6.9468541468298071</v>
      </c>
      <c r="I178" s="6">
        <f t="shared" si="35"/>
        <v>22.20299007407408</v>
      </c>
      <c r="J178" s="6">
        <f t="shared" si="34"/>
        <v>14.855129177728339</v>
      </c>
      <c r="L178" s="6"/>
      <c r="M178" s="6"/>
      <c r="N178" s="6"/>
      <c r="O178" s="6"/>
    </row>
    <row r="179" spans="1:15" x14ac:dyDescent="0.5">
      <c r="A179" s="4">
        <v>35400</v>
      </c>
      <c r="B179" s="1">
        <v>37.5</v>
      </c>
      <c r="C179" s="5">
        <v>6.9871437741935463</v>
      </c>
      <c r="D179" s="5">
        <v>23.315032935483881</v>
      </c>
      <c r="E179" s="5">
        <v>15.379253451612904</v>
      </c>
      <c r="F179" s="5"/>
      <c r="G179" s="6">
        <f t="shared" si="35"/>
        <v>135.40909090909091</v>
      </c>
      <c r="H179" s="6">
        <f t="shared" si="35"/>
        <v>6.9439240393029253</v>
      </c>
      <c r="I179" s="6">
        <f t="shared" si="35"/>
        <v>22.220342224611713</v>
      </c>
      <c r="J179" s="6">
        <f t="shared" si="34"/>
        <v>14.858635898158449</v>
      </c>
      <c r="L179" s="6"/>
      <c r="M179" s="6"/>
      <c r="N179" s="6"/>
      <c r="O179" s="6"/>
    </row>
    <row r="180" spans="1:15" x14ac:dyDescent="0.5">
      <c r="A180" s="4">
        <v>35431</v>
      </c>
      <c r="B180" s="1">
        <v>47.5</v>
      </c>
      <c r="C180" s="5">
        <v>6.8960147419354794</v>
      </c>
      <c r="D180" s="5">
        <v>22.176323258064532</v>
      </c>
      <c r="E180" s="5">
        <v>14.834737322580645</v>
      </c>
      <c r="F180" s="5"/>
      <c r="G180" s="6">
        <f t="shared" si="35"/>
        <v>134.45454545454547</v>
      </c>
      <c r="H180" s="6">
        <f t="shared" si="35"/>
        <v>6.9405235016685154</v>
      </c>
      <c r="I180" s="6">
        <f t="shared" si="35"/>
        <v>22.230248138590213</v>
      </c>
      <c r="J180" s="6">
        <f t="shared" si="34"/>
        <v>14.859818693857376</v>
      </c>
      <c r="L180" s="6"/>
      <c r="M180" s="6"/>
      <c r="N180" s="6"/>
      <c r="O180" s="6"/>
    </row>
    <row r="181" spans="1:15" x14ac:dyDescent="0.5">
      <c r="A181" s="4">
        <v>35462</v>
      </c>
      <c r="B181" s="1">
        <v>52</v>
      </c>
      <c r="C181" s="5">
        <v>6.8043327142857084</v>
      </c>
      <c r="D181" s="5">
        <v>21.236933857142859</v>
      </c>
      <c r="E181" s="5">
        <v>14.368447</v>
      </c>
      <c r="F181" s="5"/>
      <c r="G181" s="6">
        <f t="shared" si="35"/>
        <v>135.22727272727272</v>
      </c>
      <c r="H181" s="6">
        <f t="shared" si="35"/>
        <v>6.9374323686635897</v>
      </c>
      <c r="I181" s="6">
        <f t="shared" si="35"/>
        <v>22.236560969278045</v>
      </c>
      <c r="J181" s="6">
        <f t="shared" si="34"/>
        <v>14.858022716845879</v>
      </c>
      <c r="L181" s="6"/>
      <c r="M181" s="6"/>
      <c r="N181" s="6"/>
      <c r="O181" s="6"/>
    </row>
    <row r="182" spans="1:15" x14ac:dyDescent="0.5">
      <c r="A182" s="4">
        <v>35490</v>
      </c>
      <c r="B182" s="1">
        <v>113.5</v>
      </c>
      <c r="C182" s="5">
        <v>6.7566599032258026</v>
      </c>
      <c r="D182" s="5">
        <v>20.50229100000001</v>
      </c>
      <c r="E182" s="5">
        <v>14.009092161290324</v>
      </c>
      <c r="F182" s="5"/>
      <c r="G182" s="6">
        <f t="shared" si="35"/>
        <v>132.27272727272728</v>
      </c>
      <c r="H182" s="6">
        <f t="shared" si="35"/>
        <v>6.9349861321044513</v>
      </c>
      <c r="I182" s="6">
        <f t="shared" si="35"/>
        <v>22.244370109062995</v>
      </c>
      <c r="J182" s="6">
        <f t="shared" si="34"/>
        <v>14.852458200716846</v>
      </c>
      <c r="L182" s="6"/>
      <c r="M182" s="6"/>
      <c r="N182" s="6"/>
      <c r="O182" s="6"/>
    </row>
    <row r="183" spans="1:15" x14ac:dyDescent="0.5">
      <c r="A183" s="4">
        <v>35521</v>
      </c>
      <c r="B183" s="1">
        <v>224</v>
      </c>
      <c r="C183" s="5">
        <v>6.7532136666666611</v>
      </c>
      <c r="D183" s="5">
        <v>19.970791000000009</v>
      </c>
      <c r="E183" s="5">
        <v>13.754113666666665</v>
      </c>
      <c r="F183" s="5"/>
      <c r="G183" s="6">
        <f t="shared" si="35"/>
        <v>142.68181818181819</v>
      </c>
      <c r="H183" s="6">
        <f t="shared" si="35"/>
        <v>6.9370833543266732</v>
      </c>
      <c r="I183" s="6">
        <f t="shared" si="35"/>
        <v>22.26252288684077</v>
      </c>
      <c r="J183" s="6">
        <f t="shared" si="34"/>
        <v>14.855541534050177</v>
      </c>
      <c r="L183" s="6"/>
      <c r="M183" s="6"/>
      <c r="N183" s="6"/>
      <c r="O183" s="6"/>
    </row>
    <row r="184" spans="1:15" x14ac:dyDescent="0.5">
      <c r="A184" s="4">
        <v>35551</v>
      </c>
      <c r="B184" s="1">
        <v>164.5</v>
      </c>
      <c r="C184" s="5">
        <v>6.7608534516128991</v>
      </c>
      <c r="D184" s="5">
        <v>19.702613580645178</v>
      </c>
      <c r="E184" s="5">
        <v>13.637479258064516</v>
      </c>
      <c r="F184" s="5"/>
      <c r="G184" s="6">
        <f t="shared" si="35"/>
        <v>153.90909090909091</v>
      </c>
      <c r="H184" s="6">
        <f t="shared" si="35"/>
        <v>6.940725827444953</v>
      </c>
      <c r="I184" s="6">
        <f t="shared" si="35"/>
        <v>22.292375037378402</v>
      </c>
      <c r="J184" s="6">
        <f t="shared" si="34"/>
        <v>14.865393684587815</v>
      </c>
      <c r="L184" s="6"/>
      <c r="M184" s="6"/>
      <c r="N184" s="6"/>
      <c r="O184" s="6"/>
    </row>
    <row r="185" spans="1:15" x14ac:dyDescent="0.5">
      <c r="A185" s="4">
        <v>35582</v>
      </c>
      <c r="B185" s="1">
        <v>209.5</v>
      </c>
      <c r="C185" s="5">
        <v>6.7820470000000004</v>
      </c>
      <c r="D185" s="5">
        <v>19.986457666666677</v>
      </c>
      <c r="E185" s="5">
        <v>13.712947</v>
      </c>
      <c r="F185" s="5"/>
      <c r="G185" s="6">
        <f t="shared" si="35"/>
        <v>115.04545454545455</v>
      </c>
      <c r="H185" s="6">
        <f t="shared" si="35"/>
        <v>6.93803138300051</v>
      </c>
      <c r="I185" s="6">
        <f t="shared" si="35"/>
        <v>22.337486148489518</v>
      </c>
      <c r="J185" s="6">
        <f t="shared" si="34"/>
        <v>14.87642146236559</v>
      </c>
      <c r="L185" s="6"/>
      <c r="M185" s="6"/>
      <c r="N185" s="6"/>
      <c r="O185" s="6"/>
    </row>
    <row r="186" spans="1:15" x14ac:dyDescent="0.5">
      <c r="A186" s="4">
        <v>35612</v>
      </c>
      <c r="B186" s="1">
        <v>923</v>
      </c>
      <c r="C186" s="5">
        <v>7.2978730869565185</v>
      </c>
      <c r="D186" s="5">
        <v>23.498420032258078</v>
      </c>
      <c r="E186" s="5">
        <v>15.320059903225809</v>
      </c>
      <c r="F186" s="5"/>
      <c r="G186" s="6">
        <f t="shared" si="35"/>
        <v>182.375</v>
      </c>
      <c r="H186" s="6">
        <f t="shared" si="35"/>
        <v>6.960941621429682</v>
      </c>
      <c r="I186" s="6">
        <f t="shared" si="35"/>
        <v>22.501182385048651</v>
      </c>
      <c r="J186" s="6">
        <f t="shared" si="34"/>
        <v>14.934660709677416</v>
      </c>
      <c r="L186" s="6"/>
      <c r="M186" s="6"/>
      <c r="N186" s="6"/>
      <c r="O186" s="6"/>
    </row>
    <row r="187" spans="1:15" x14ac:dyDescent="0.5">
      <c r="A187" s="4">
        <v>35643</v>
      </c>
      <c r="B187" s="1">
        <v>220.5</v>
      </c>
      <c r="C187" s="5">
        <v>7.3852969999999969</v>
      </c>
      <c r="D187" s="5">
        <v>27.449433857142864</v>
      </c>
      <c r="E187" s="5">
        <v>17.463608290322583</v>
      </c>
      <c r="F187" s="5"/>
      <c r="G187" s="6">
        <f t="shared" si="35"/>
        <v>186.04166666666666</v>
      </c>
      <c r="H187" s="6">
        <f t="shared" si="35"/>
        <v>6.9870242827200038</v>
      </c>
      <c r="I187" s="6">
        <f t="shared" si="35"/>
        <v>22.815124397337438</v>
      </c>
      <c r="J187" s="6">
        <f t="shared" si="34"/>
        <v>15.094055870967743</v>
      </c>
      <c r="L187" s="6"/>
      <c r="M187" s="6"/>
      <c r="N187" s="6"/>
      <c r="O187" s="6"/>
    </row>
    <row r="188" spans="1:15" x14ac:dyDescent="0.5">
      <c r="A188" s="4">
        <v>35674</v>
      </c>
      <c r="B188" s="1">
        <v>181</v>
      </c>
      <c r="C188" s="5">
        <v>7.4598803333333308</v>
      </c>
      <c r="D188" s="5"/>
      <c r="E188" s="5">
        <v>18.205780333333337</v>
      </c>
      <c r="F188" s="5"/>
      <c r="G188" s="6">
        <f t="shared" si="35"/>
        <v>190.5</v>
      </c>
      <c r="H188" s="6">
        <f t="shared" si="35"/>
        <v>7.0116770604977816</v>
      </c>
      <c r="I188" s="6">
        <f t="shared" si="35"/>
        <v>22.57253349406508</v>
      </c>
      <c r="J188" s="6">
        <f t="shared" si="34"/>
        <v>15.256416982078854</v>
      </c>
      <c r="L188" s="6"/>
      <c r="M188" s="6"/>
      <c r="N188" s="6"/>
      <c r="O188" s="6"/>
    </row>
    <row r="189" spans="1:15" x14ac:dyDescent="0.5">
      <c r="A189" s="4">
        <v>35704</v>
      </c>
      <c r="B189" s="1">
        <v>3</v>
      </c>
      <c r="C189" s="5">
        <v>7.4381115161290294</v>
      </c>
      <c r="D189" s="5">
        <v>30.034491000000003</v>
      </c>
      <c r="E189" s="5">
        <v>18.24247925806452</v>
      </c>
      <c r="F189" s="5"/>
      <c r="G189" s="6">
        <f t="shared" si="35"/>
        <v>187.375</v>
      </c>
      <c r="H189" s="6">
        <f t="shared" si="35"/>
        <v>7.0337200712504684</v>
      </c>
      <c r="I189" s="6">
        <f t="shared" si="35"/>
        <v>22.956340532188253</v>
      </c>
      <c r="J189" s="6">
        <f t="shared" si="34"/>
        <v>15.406981498207886</v>
      </c>
      <c r="L189" s="6"/>
      <c r="M189" s="6"/>
      <c r="N189" s="6"/>
      <c r="O189" s="6"/>
    </row>
    <row r="190" spans="1:15" x14ac:dyDescent="0.5">
      <c r="A190" s="4">
        <v>35735</v>
      </c>
      <c r="B190" s="1">
        <v>174.5</v>
      </c>
      <c r="C190" s="5">
        <v>7.3603803333333291</v>
      </c>
      <c r="D190" s="5">
        <v>28.860957666666675</v>
      </c>
      <c r="E190" s="5">
        <v>17.71111366666667</v>
      </c>
      <c r="F190" s="5"/>
      <c r="G190" s="6">
        <f t="shared" si="35"/>
        <v>195.875</v>
      </c>
      <c r="H190" s="6">
        <f t="shared" si="35"/>
        <v>7.0568172934726912</v>
      </c>
      <c r="I190" s="6">
        <f t="shared" si="35"/>
        <v>23.339431441279157</v>
      </c>
      <c r="J190" s="6">
        <f t="shared" si="34"/>
        <v>15.553259275985667</v>
      </c>
      <c r="L190" s="6"/>
      <c r="M190" s="6"/>
      <c r="N190" s="6"/>
      <c r="O190" s="6"/>
    </row>
    <row r="191" spans="1:15" x14ac:dyDescent="0.5">
      <c r="A191" s="4">
        <v>35765</v>
      </c>
      <c r="B191" s="1">
        <v>82</v>
      </c>
      <c r="C191" s="5">
        <v>7.2681115161290286</v>
      </c>
      <c r="D191" s="5">
        <v>27.284871645161303</v>
      </c>
      <c r="E191" s="5">
        <v>17.135059903225809</v>
      </c>
      <c r="F191" s="5"/>
      <c r="G191" s="6">
        <f t="shared" si="35"/>
        <v>199.58333333333334</v>
      </c>
      <c r="H191" s="6">
        <f t="shared" si="35"/>
        <v>7.0802312719673139</v>
      </c>
      <c r="I191" s="6">
        <f t="shared" si="35"/>
        <v>23.700325869431651</v>
      </c>
      <c r="J191" s="6">
        <f t="shared" si="34"/>
        <v>15.699576480286742</v>
      </c>
      <c r="L191" s="6"/>
      <c r="M191" s="6"/>
      <c r="N191" s="6"/>
      <c r="O191" s="6"/>
    </row>
    <row r="192" spans="1:15" x14ac:dyDescent="0.5">
      <c r="A192" s="4">
        <v>35796</v>
      </c>
      <c r="B192" s="1">
        <v>149</v>
      </c>
      <c r="C192" s="5">
        <v>7.1900469999999981</v>
      </c>
      <c r="D192" s="5">
        <v>25.823097451612917</v>
      </c>
      <c r="E192" s="5">
        <v>16.542317967741937</v>
      </c>
      <c r="F192" s="5"/>
      <c r="G192" s="6">
        <f t="shared" si="35"/>
        <v>208.04166666666666</v>
      </c>
      <c r="H192" s="6">
        <f t="shared" si="35"/>
        <v>7.1047339601393569</v>
      </c>
      <c r="I192" s="6">
        <f t="shared" si="35"/>
        <v>24.031850796117872</v>
      </c>
      <c r="J192" s="6">
        <f t="shared" si="34"/>
        <v>15.841874867383515</v>
      </c>
      <c r="L192" s="6"/>
      <c r="M192" s="6"/>
      <c r="N192" s="6"/>
      <c r="O192" s="6"/>
    </row>
    <row r="193" spans="1:15" x14ac:dyDescent="0.5">
      <c r="A193" s="4">
        <v>35827</v>
      </c>
      <c r="B193" s="1">
        <v>88</v>
      </c>
      <c r="C193" s="5">
        <v>7.1073684285714265</v>
      </c>
      <c r="D193" s="5">
        <v>24.559791000000011</v>
      </c>
      <c r="E193" s="5">
        <v>16.023447000000001</v>
      </c>
      <c r="F193" s="5"/>
      <c r="G193" s="6">
        <f t="shared" si="35"/>
        <v>211.04166666666666</v>
      </c>
      <c r="H193" s="6">
        <f t="shared" si="35"/>
        <v>7.1299869363298356</v>
      </c>
      <c r="I193" s="6">
        <f t="shared" si="35"/>
        <v>24.333928718195793</v>
      </c>
      <c r="J193" s="6">
        <f t="shared" si="34"/>
        <v>15.979791534050181</v>
      </c>
      <c r="L193" s="6"/>
      <c r="M193" s="6"/>
      <c r="N193" s="6"/>
      <c r="O193" s="6"/>
    </row>
    <row r="194" spans="1:15" x14ac:dyDescent="0.5">
      <c r="A194" s="4">
        <v>35855</v>
      </c>
      <c r="B194" s="1">
        <v>107.5</v>
      </c>
      <c r="C194" s="5">
        <v>7.0458534516128974</v>
      </c>
      <c r="D194" s="5">
        <v>23.498742612903232</v>
      </c>
      <c r="E194" s="5">
        <v>15.559092161290327</v>
      </c>
      <c r="F194" s="5"/>
      <c r="G194" s="6">
        <f t="shared" si="35"/>
        <v>210.54166666666666</v>
      </c>
      <c r="H194" s="6">
        <f t="shared" si="35"/>
        <v>7.1540863986954255</v>
      </c>
      <c r="I194" s="6">
        <f t="shared" si="35"/>
        <v>24.606333410277902</v>
      </c>
      <c r="J194" s="6">
        <f t="shared" si="34"/>
        <v>16.108958200716849</v>
      </c>
      <c r="L194" s="6"/>
      <c r="M194" s="6"/>
      <c r="N194" s="6"/>
      <c r="O194" s="6"/>
    </row>
    <row r="195" spans="1:15" x14ac:dyDescent="0.5">
      <c r="A195" s="4">
        <v>35886</v>
      </c>
      <c r="B195" s="1">
        <v>228.5</v>
      </c>
      <c r="C195" s="5">
        <v>7.0362136666666633</v>
      </c>
      <c r="D195" s="5">
        <v>22.709291</v>
      </c>
      <c r="E195" s="5">
        <v>15.228113666666665</v>
      </c>
      <c r="F195" s="5"/>
      <c r="G195" s="6">
        <f t="shared" si="35"/>
        <v>210.91666666666666</v>
      </c>
      <c r="H195" s="6">
        <f t="shared" si="35"/>
        <v>7.1776697320287601</v>
      </c>
      <c r="I195" s="6">
        <f t="shared" si="35"/>
        <v>24.855287955732447</v>
      </c>
      <c r="J195" s="6">
        <f t="shared" si="34"/>
        <v>16.231791534050181</v>
      </c>
      <c r="L195" s="6"/>
      <c r="M195" s="6"/>
      <c r="N195" s="6"/>
      <c r="O195" s="6"/>
    </row>
    <row r="196" spans="1:15" x14ac:dyDescent="0.5">
      <c r="A196" s="4">
        <v>35916</v>
      </c>
      <c r="B196" s="1">
        <v>162</v>
      </c>
      <c r="C196" s="5">
        <v>7.0682728064516107</v>
      </c>
      <c r="D196" s="5">
        <v>22.453903903225815</v>
      </c>
      <c r="E196" s="5">
        <v>15.136672806451614</v>
      </c>
      <c r="F196" s="5"/>
      <c r="G196" s="6">
        <f t="shared" si="35"/>
        <v>210.70833333333334</v>
      </c>
      <c r="H196" s="6">
        <f t="shared" si="35"/>
        <v>7.2032880115986542</v>
      </c>
      <c r="I196" s="6">
        <f t="shared" si="35"/>
        <v>25.10540525778524</v>
      </c>
      <c r="J196" s="6">
        <f t="shared" si="34"/>
        <v>16.35672432974911</v>
      </c>
      <c r="L196" s="6"/>
      <c r="M196" s="6"/>
      <c r="N196" s="6"/>
      <c r="O196" s="6"/>
    </row>
    <row r="197" spans="1:15" x14ac:dyDescent="0.5">
      <c r="A197" s="4">
        <v>35947</v>
      </c>
      <c r="B197" s="1">
        <v>653</v>
      </c>
      <c r="C197" s="5">
        <v>7.1905469999999978</v>
      </c>
      <c r="D197" s="5">
        <v>23.205457666666678</v>
      </c>
      <c r="E197" s="5">
        <v>15.474447000000001</v>
      </c>
      <c r="F197" s="5"/>
      <c r="G197" s="6">
        <f t="shared" si="35"/>
        <v>247.66666666666666</v>
      </c>
      <c r="H197" s="6">
        <f t="shared" si="35"/>
        <v>7.2373296782653194</v>
      </c>
      <c r="I197" s="6">
        <f t="shared" si="35"/>
        <v>25.398041621421601</v>
      </c>
      <c r="J197" s="6">
        <f t="shared" si="34"/>
        <v>16.503515996415771</v>
      </c>
      <c r="L197" s="6"/>
      <c r="M197" s="6"/>
      <c r="N197" s="6"/>
      <c r="O197" s="6"/>
    </row>
    <row r="198" spans="1:15" x14ac:dyDescent="0.5">
      <c r="A198" s="4">
        <v>35977</v>
      </c>
      <c r="B198" s="1">
        <v>150.5</v>
      </c>
      <c r="C198" s="5">
        <v>7.3081115161290278</v>
      </c>
      <c r="D198" s="5">
        <v>26.242129709677432</v>
      </c>
      <c r="E198" s="5">
        <v>16.776188935483869</v>
      </c>
      <c r="F198" s="5"/>
      <c r="G198" s="6">
        <f t="shared" si="35"/>
        <v>183.29166666666666</v>
      </c>
      <c r="H198" s="6">
        <f t="shared" si="35"/>
        <v>7.2381828806963631</v>
      </c>
      <c r="I198" s="6">
        <f t="shared" si="35"/>
        <v>25.647469773914271</v>
      </c>
      <c r="J198" s="6">
        <f t="shared" si="34"/>
        <v>16.624860082437277</v>
      </c>
      <c r="L198" s="6"/>
      <c r="M198" s="6"/>
      <c r="N198" s="6"/>
      <c r="O198" s="6"/>
    </row>
    <row r="199" spans="1:15" x14ac:dyDescent="0.5">
      <c r="A199" s="4">
        <v>36008</v>
      </c>
      <c r="B199" s="1">
        <v>40</v>
      </c>
      <c r="C199" s="5">
        <v>7.3339179677419315</v>
      </c>
      <c r="D199" s="5">
        <v>27.891968419354846</v>
      </c>
      <c r="E199" s="5">
        <v>17.354576032258063</v>
      </c>
      <c r="F199" s="5"/>
      <c r="G199" s="6">
        <f t="shared" si="35"/>
        <v>168.25</v>
      </c>
      <c r="H199" s="6">
        <f t="shared" si="35"/>
        <v>7.2339012946748555</v>
      </c>
      <c r="I199" s="6">
        <f t="shared" si="35"/>
        <v>25.687700188660813</v>
      </c>
      <c r="J199" s="6">
        <f t="shared" si="34"/>
        <v>16.615774060931898</v>
      </c>
      <c r="L199" s="6"/>
      <c r="M199" s="6"/>
      <c r="N199" s="6"/>
      <c r="O199" s="6"/>
    </row>
    <row r="200" spans="1:15" x14ac:dyDescent="0.5">
      <c r="A200" s="4">
        <v>36039</v>
      </c>
      <c r="B200" s="1">
        <v>116</v>
      </c>
      <c r="C200" s="5">
        <v>7.3830469999999959</v>
      </c>
      <c r="D200" s="5">
        <v>29.202791000000012</v>
      </c>
      <c r="E200" s="5">
        <v>17.812446999999999</v>
      </c>
      <c r="F200" s="5"/>
      <c r="G200" s="6">
        <f t="shared" si="35"/>
        <v>162.83333333333334</v>
      </c>
      <c r="H200" s="6">
        <f t="shared" si="35"/>
        <v>7.2274985168970778</v>
      </c>
      <c r="I200" s="6">
        <f t="shared" si="35"/>
        <v>25.980624422939076</v>
      </c>
      <c r="J200" s="6">
        <f t="shared" si="34"/>
        <v>16.582996283154124</v>
      </c>
      <c r="L200" s="6"/>
      <c r="M200" s="6"/>
      <c r="N200" s="6"/>
      <c r="O200" s="6"/>
    </row>
    <row r="201" spans="1:15" x14ac:dyDescent="0.5">
      <c r="A201" s="4">
        <v>36069</v>
      </c>
      <c r="B201" s="1">
        <v>178.5</v>
      </c>
      <c r="C201" s="5">
        <v>7.4085953870967716</v>
      </c>
      <c r="D201" s="5">
        <v>28.890678096774199</v>
      </c>
      <c r="E201" s="5">
        <v>17.796188935483869</v>
      </c>
      <c r="F201" s="5"/>
      <c r="G201" s="6">
        <f t="shared" si="35"/>
        <v>177.45833333333334</v>
      </c>
      <c r="H201" s="6">
        <f t="shared" si="35"/>
        <v>7.2250388394777216</v>
      </c>
      <c r="I201" s="6">
        <f t="shared" si="35"/>
        <v>25.885306681003595</v>
      </c>
      <c r="J201" s="6">
        <f t="shared" si="34"/>
        <v>16.545805422939068</v>
      </c>
      <c r="L201" s="6"/>
      <c r="M201" s="6"/>
      <c r="N201" s="6"/>
      <c r="O201" s="6"/>
    </row>
    <row r="202" spans="1:15" x14ac:dyDescent="0.5">
      <c r="A202" s="4">
        <v>36100</v>
      </c>
      <c r="B202" s="1">
        <v>30</v>
      </c>
      <c r="C202" s="5">
        <v>7.3052136666666634</v>
      </c>
      <c r="D202" s="5">
        <v>27.413624333333349</v>
      </c>
      <c r="E202" s="5">
        <v>17.209947</v>
      </c>
      <c r="F202" s="5"/>
      <c r="G202" s="6">
        <f t="shared" si="35"/>
        <v>165.41666666666666</v>
      </c>
      <c r="H202" s="6">
        <f t="shared" si="35"/>
        <v>7.2204416172554993</v>
      </c>
      <c r="I202" s="6">
        <f t="shared" si="35"/>
        <v>25.764695569892485</v>
      </c>
      <c r="J202" s="6">
        <f t="shared" si="34"/>
        <v>16.504041534050177</v>
      </c>
      <c r="L202" s="6"/>
      <c r="M202" s="6"/>
      <c r="N202" s="6"/>
      <c r="O202" s="6"/>
    </row>
    <row r="203" spans="1:15" x14ac:dyDescent="0.5">
      <c r="A203" s="4">
        <v>36130</v>
      </c>
      <c r="B203" s="1">
        <v>2</v>
      </c>
      <c r="C203" s="5">
        <v>7.1939179677419309</v>
      </c>
      <c r="D203" s="5">
        <v>25.801323258064524</v>
      </c>
      <c r="E203" s="5">
        <v>16.546995387096779</v>
      </c>
      <c r="F203" s="5"/>
      <c r="G203" s="6">
        <f t="shared" si="35"/>
        <v>158.75</v>
      </c>
      <c r="H203" s="6">
        <f t="shared" si="35"/>
        <v>7.2142588215565757</v>
      </c>
      <c r="I203" s="6">
        <f t="shared" si="35"/>
        <v>25.641066537634419</v>
      </c>
      <c r="J203" s="6">
        <f t="shared" si="34"/>
        <v>16.455036157706093</v>
      </c>
      <c r="L203" s="6"/>
      <c r="M203" s="6"/>
      <c r="N203" s="6"/>
      <c r="O203" s="6"/>
    </row>
    <row r="204" spans="1:15" x14ac:dyDescent="0.5">
      <c r="A204" s="4">
        <v>36161</v>
      </c>
      <c r="B204" s="1">
        <v>19.5</v>
      </c>
      <c r="C204" s="5">
        <v>7.0934340967741916</v>
      </c>
      <c r="D204" s="5">
        <v>24.375355516129051</v>
      </c>
      <c r="E204" s="5">
        <v>15.949576032258065</v>
      </c>
      <c r="F204" s="5"/>
      <c r="G204" s="6">
        <f t="shared" si="35"/>
        <v>147.95833333333334</v>
      </c>
      <c r="H204" s="6">
        <f t="shared" si="35"/>
        <v>7.206207746287757</v>
      </c>
      <c r="I204" s="6">
        <f t="shared" si="35"/>
        <v>25.520421376344093</v>
      </c>
      <c r="J204" s="6">
        <f t="shared" si="34"/>
        <v>16.405640996415769</v>
      </c>
      <c r="L204" s="6"/>
      <c r="M204" s="6"/>
      <c r="N204" s="6"/>
      <c r="O204" s="6"/>
    </row>
    <row r="205" spans="1:15" x14ac:dyDescent="0.5">
      <c r="A205" s="4">
        <v>36192</v>
      </c>
      <c r="B205" s="1">
        <v>48</v>
      </c>
      <c r="C205" s="5">
        <v>6.9930827142857108</v>
      </c>
      <c r="D205" s="5">
        <v>23.146219571428581</v>
      </c>
      <c r="E205" s="5">
        <v>15.404875571428573</v>
      </c>
      <c r="F205" s="5"/>
      <c r="G205" s="6">
        <f t="shared" si="35"/>
        <v>144.625</v>
      </c>
      <c r="H205" s="6">
        <f t="shared" si="35"/>
        <v>7.1966839367639492</v>
      </c>
      <c r="I205" s="6">
        <f t="shared" si="35"/>
        <v>25.402623757296478</v>
      </c>
      <c r="J205" s="6">
        <f t="shared" si="34"/>
        <v>16.354093377368152</v>
      </c>
      <c r="L205" s="6"/>
      <c r="M205" s="6"/>
      <c r="N205" s="6"/>
      <c r="O205" s="6"/>
    </row>
    <row r="206" spans="1:15" x14ac:dyDescent="0.5">
      <c r="A206" s="4">
        <v>36220</v>
      </c>
      <c r="B206" s="1">
        <v>112.5</v>
      </c>
      <c r="C206" s="5">
        <v>6.9343803333333307</v>
      </c>
      <c r="D206" s="5">
        <v>22.186968419354852</v>
      </c>
      <c r="E206" s="5">
        <v>14.946511516129032</v>
      </c>
      <c r="F206" s="5"/>
      <c r="G206" s="6">
        <f t="shared" si="35"/>
        <v>145.04166666666666</v>
      </c>
      <c r="H206" s="6">
        <f t="shared" si="35"/>
        <v>7.1873945102406518</v>
      </c>
      <c r="I206" s="6">
        <f t="shared" si="35"/>
        <v>25.293309241167446</v>
      </c>
      <c r="J206" s="6">
        <f t="shared" si="35"/>
        <v>16.303044990271378</v>
      </c>
      <c r="L206" s="6"/>
      <c r="M206" s="6"/>
      <c r="N206" s="6"/>
      <c r="O206" s="6"/>
    </row>
    <row r="207" spans="1:15" x14ac:dyDescent="0.5">
      <c r="A207" s="4">
        <v>36251</v>
      </c>
      <c r="B207" s="1">
        <v>67</v>
      </c>
      <c r="C207" s="5">
        <v>6.8882136666666636</v>
      </c>
      <c r="D207" s="5">
        <v>21.397124333333341</v>
      </c>
      <c r="E207" s="5">
        <v>14.559447000000002</v>
      </c>
      <c r="F207" s="5"/>
      <c r="G207" s="6">
        <f t="shared" ref="G207:J270" si="36">AVERAGE(B196:B207)</f>
        <v>131.58333333333334</v>
      </c>
      <c r="H207" s="6">
        <f t="shared" si="36"/>
        <v>7.1750611769073194</v>
      </c>
      <c r="I207" s="6">
        <f t="shared" si="36"/>
        <v>25.183962018945223</v>
      </c>
      <c r="J207" s="6">
        <f t="shared" si="36"/>
        <v>16.247322768049155</v>
      </c>
      <c r="L207" s="6"/>
      <c r="M207" s="6"/>
      <c r="N207" s="6"/>
      <c r="O207" s="6"/>
    </row>
    <row r="208" spans="1:15" x14ac:dyDescent="0.5">
      <c r="A208" s="4">
        <v>36281</v>
      </c>
      <c r="B208" s="1">
        <v>178.5</v>
      </c>
      <c r="C208" s="5">
        <v>6.8719824838709647</v>
      </c>
      <c r="D208" s="5">
        <v>20.734710354838718</v>
      </c>
      <c r="E208" s="5">
        <v>14.241188935483873</v>
      </c>
      <c r="F208" s="5"/>
      <c r="G208" s="6">
        <f t="shared" si="36"/>
        <v>132.95833333333334</v>
      </c>
      <c r="H208" s="6">
        <f t="shared" si="36"/>
        <v>7.1587036500255996</v>
      </c>
      <c r="I208" s="6">
        <f t="shared" si="36"/>
        <v>25.040695889912968</v>
      </c>
      <c r="J208" s="6">
        <f t="shared" si="36"/>
        <v>16.172699112135177</v>
      </c>
      <c r="L208" s="6"/>
      <c r="M208" s="6"/>
      <c r="N208" s="6"/>
      <c r="O208" s="6"/>
    </row>
    <row r="209" spans="1:15" x14ac:dyDescent="0.5">
      <c r="A209" s="4">
        <v>36312</v>
      </c>
      <c r="B209" s="1">
        <v>630.5</v>
      </c>
      <c r="C209" s="5">
        <v>6.9448803333333311</v>
      </c>
      <c r="D209" s="5">
        <v>20.605124333333332</v>
      </c>
      <c r="E209" s="5">
        <v>14.193947000000001</v>
      </c>
      <c r="F209" s="5"/>
      <c r="G209" s="6">
        <f t="shared" si="36"/>
        <v>131.08333333333334</v>
      </c>
      <c r="H209" s="6">
        <f t="shared" si="36"/>
        <v>7.1382314278033761</v>
      </c>
      <c r="I209" s="6">
        <f t="shared" si="36"/>
        <v>24.824001445468522</v>
      </c>
      <c r="J209" s="6">
        <f t="shared" si="36"/>
        <v>16.065990778801844</v>
      </c>
      <c r="L209" s="6"/>
      <c r="M209" s="6"/>
      <c r="N209" s="6"/>
      <c r="O209" s="6"/>
    </row>
    <row r="210" spans="1:15" x14ac:dyDescent="0.5">
      <c r="A210" s="4">
        <v>36342</v>
      </c>
      <c r="B210" s="1">
        <v>231.5</v>
      </c>
      <c r="C210" s="5">
        <v>7.1044018387096743</v>
      </c>
      <c r="D210" s="5">
        <v>22.624226483870974</v>
      </c>
      <c r="E210" s="5">
        <v>15.153285709677419</v>
      </c>
      <c r="F210" s="5"/>
      <c r="G210" s="6">
        <f t="shared" si="36"/>
        <v>137.83333333333334</v>
      </c>
      <c r="H210" s="6">
        <f t="shared" si="36"/>
        <v>7.1212556213517635</v>
      </c>
      <c r="I210" s="6">
        <f t="shared" si="36"/>
        <v>24.522509509984648</v>
      </c>
      <c r="J210" s="6">
        <f t="shared" si="36"/>
        <v>15.930748843317973</v>
      </c>
      <c r="L210" s="6"/>
      <c r="M210" s="6"/>
      <c r="N210" s="6"/>
      <c r="O210" s="6"/>
    </row>
    <row r="211" spans="1:15" x14ac:dyDescent="0.5">
      <c r="A211" s="4">
        <v>36373</v>
      </c>
      <c r="B211" s="1">
        <v>92</v>
      </c>
      <c r="C211" s="5">
        <v>7.1318211935483848</v>
      </c>
      <c r="D211" s="5">
        <v>23.776874333333339</v>
      </c>
      <c r="E211" s="5">
        <v>15.731834096774193</v>
      </c>
      <c r="F211" s="5"/>
      <c r="G211" s="6">
        <f t="shared" si="36"/>
        <v>142.16666666666666</v>
      </c>
      <c r="H211" s="6">
        <f t="shared" si="36"/>
        <v>7.1044142235023022</v>
      </c>
      <c r="I211" s="6">
        <f t="shared" si="36"/>
        <v>24.179585002816193</v>
      </c>
      <c r="J211" s="6">
        <f t="shared" si="36"/>
        <v>15.795520348694319</v>
      </c>
      <c r="L211" s="6"/>
      <c r="M211" s="6"/>
      <c r="N211" s="6"/>
      <c r="O211" s="6"/>
    </row>
    <row r="212" spans="1:15" x14ac:dyDescent="0.5">
      <c r="A212" s="4">
        <v>36404</v>
      </c>
      <c r="B212" s="1">
        <v>434</v>
      </c>
      <c r="C212" s="5">
        <v>7.2748803333333294</v>
      </c>
      <c r="D212" s="5"/>
      <c r="E212" s="5">
        <v>16.487447</v>
      </c>
      <c r="F212" s="5"/>
      <c r="G212" s="6">
        <f t="shared" si="36"/>
        <v>168.66666666666666</v>
      </c>
      <c r="H212" s="6">
        <f t="shared" si="36"/>
        <v>7.0954003346134122</v>
      </c>
      <c r="I212" s="6">
        <f t="shared" si="36"/>
        <v>23.722929912163114</v>
      </c>
      <c r="J212" s="6">
        <f t="shared" si="36"/>
        <v>15.685103682027652</v>
      </c>
      <c r="L212" s="6"/>
      <c r="M212" s="6"/>
      <c r="N212" s="6"/>
      <c r="O212" s="6"/>
    </row>
    <row r="213" spans="1:15" x14ac:dyDescent="0.5">
      <c r="A213" s="4">
        <v>36434</v>
      </c>
      <c r="B213" s="1">
        <v>30</v>
      </c>
      <c r="C213" s="5">
        <v>7.3009502258064476</v>
      </c>
      <c r="D213" s="5">
        <v>26.951219571428577</v>
      </c>
      <c r="E213" s="5">
        <v>17.00635022580645</v>
      </c>
      <c r="F213" s="5"/>
      <c r="G213" s="6">
        <f t="shared" si="36"/>
        <v>156.29166666666666</v>
      </c>
      <c r="H213" s="6">
        <f t="shared" si="36"/>
        <v>7.0864299045058852</v>
      </c>
      <c r="I213" s="6">
        <f t="shared" si="36"/>
        <v>23.546615500768056</v>
      </c>
      <c r="J213" s="6">
        <f t="shared" si="36"/>
        <v>15.619283789554531</v>
      </c>
      <c r="L213" s="6"/>
      <c r="M213" s="6"/>
      <c r="N213" s="6"/>
      <c r="O213" s="6"/>
    </row>
    <row r="214" spans="1:15" x14ac:dyDescent="0.5">
      <c r="A214" s="4">
        <v>36465</v>
      </c>
      <c r="B214" s="1">
        <v>80.5</v>
      </c>
      <c r="C214" s="5">
        <v>7.2382136666666623</v>
      </c>
      <c r="D214" s="5">
        <v>26.301957666666674</v>
      </c>
      <c r="E214" s="5">
        <v>16.717947000000002</v>
      </c>
      <c r="F214" s="5"/>
      <c r="G214" s="6">
        <f t="shared" si="36"/>
        <v>160.5</v>
      </c>
      <c r="H214" s="6">
        <f t="shared" si="36"/>
        <v>7.080846571172553</v>
      </c>
      <c r="I214" s="6">
        <f t="shared" si="36"/>
        <v>23.445554894707449</v>
      </c>
      <c r="J214" s="6">
        <f t="shared" si="36"/>
        <v>15.578283789554533</v>
      </c>
      <c r="L214" s="6"/>
      <c r="M214" s="6"/>
      <c r="N214" s="6"/>
      <c r="O214" s="6"/>
    </row>
    <row r="215" spans="1:15" x14ac:dyDescent="0.5">
      <c r="A215" s="4">
        <v>36495</v>
      </c>
      <c r="B215" s="1">
        <v>22</v>
      </c>
      <c r="C215" s="5">
        <v>7.1406921612903167</v>
      </c>
      <c r="D215" s="5">
        <v>25.334387774193559</v>
      </c>
      <c r="E215" s="5">
        <v>16.218446999999998</v>
      </c>
      <c r="F215" s="5"/>
      <c r="G215" s="6">
        <f t="shared" si="36"/>
        <v>162.16666666666666</v>
      </c>
      <c r="H215" s="6">
        <f t="shared" si="36"/>
        <v>7.076411087301584</v>
      </c>
      <c r="I215" s="6">
        <f t="shared" si="36"/>
        <v>23.403106214355546</v>
      </c>
      <c r="J215" s="6">
        <f t="shared" si="36"/>
        <v>15.550904757296466</v>
      </c>
      <c r="L215" s="6"/>
      <c r="M215" s="6"/>
      <c r="N215" s="6"/>
      <c r="O215" s="6"/>
    </row>
    <row r="216" spans="1:15" x14ac:dyDescent="0.5">
      <c r="A216" s="4">
        <v>36526</v>
      </c>
      <c r="B216" s="1">
        <v>88</v>
      </c>
      <c r="C216" s="5">
        <v>7.0564986129032228</v>
      </c>
      <c r="D216" s="5">
        <v>23.967452290322591</v>
      </c>
      <c r="E216" s="5">
        <v>15.697317967741935</v>
      </c>
      <c r="F216" s="5"/>
      <c r="G216" s="6">
        <f t="shared" si="36"/>
        <v>167.875</v>
      </c>
      <c r="H216" s="6">
        <f t="shared" si="36"/>
        <v>7.0733331303123377</v>
      </c>
      <c r="I216" s="6">
        <f t="shared" si="36"/>
        <v>23.366024102918587</v>
      </c>
      <c r="J216" s="6">
        <f t="shared" si="36"/>
        <v>15.529883251920124</v>
      </c>
      <c r="L216" s="6"/>
      <c r="M216" s="6"/>
      <c r="N216" s="6"/>
      <c r="O216" s="6"/>
    </row>
    <row r="217" spans="1:15" x14ac:dyDescent="0.5">
      <c r="A217" s="4">
        <v>36557</v>
      </c>
      <c r="B217" s="1">
        <v>49</v>
      </c>
      <c r="C217" s="5">
        <v>6.9678056206896537</v>
      </c>
      <c r="D217" s="5">
        <v>22.837529095238104</v>
      </c>
      <c r="E217" s="5">
        <v>15.212757344827587</v>
      </c>
      <c r="F217" s="5"/>
      <c r="G217" s="6">
        <f t="shared" si="36"/>
        <v>167.95833333333334</v>
      </c>
      <c r="H217" s="6">
        <f t="shared" si="36"/>
        <v>7.0712267058459988</v>
      </c>
      <c r="I217" s="6">
        <f t="shared" si="36"/>
        <v>23.337961332355825</v>
      </c>
      <c r="J217" s="6">
        <f t="shared" si="36"/>
        <v>15.513873399703376</v>
      </c>
      <c r="L217" s="6"/>
      <c r="M217" s="6"/>
      <c r="N217" s="6"/>
      <c r="O217" s="6"/>
    </row>
    <row r="218" spans="1:15" x14ac:dyDescent="0.5">
      <c r="A218" s="4">
        <v>36586</v>
      </c>
      <c r="B218" s="1">
        <v>96</v>
      </c>
      <c r="C218" s="5">
        <v>6.8835953870967703</v>
      </c>
      <c r="D218" s="5">
        <v>22.029387774193555</v>
      </c>
      <c r="E218" s="5">
        <v>14.789898612903228</v>
      </c>
      <c r="F218" s="5"/>
      <c r="G218" s="6">
        <f t="shared" si="36"/>
        <v>166.58333333333334</v>
      </c>
      <c r="H218" s="6">
        <f t="shared" si="36"/>
        <v>7.066994626992952</v>
      </c>
      <c r="I218" s="6">
        <f t="shared" si="36"/>
        <v>23.323635819159346</v>
      </c>
      <c r="J218" s="6">
        <f t="shared" si="36"/>
        <v>15.500822324434557</v>
      </c>
      <c r="L218" s="6"/>
      <c r="M218" s="6"/>
      <c r="N218" s="6"/>
      <c r="O218" s="6"/>
    </row>
    <row r="219" spans="1:15" x14ac:dyDescent="0.5">
      <c r="A219" s="4">
        <v>36617</v>
      </c>
      <c r="B219" s="1">
        <v>76</v>
      </c>
      <c r="C219" s="5">
        <v>6.8502136666666624</v>
      </c>
      <c r="D219" s="5">
        <v>21.305124333333342</v>
      </c>
      <c r="E219" s="5">
        <v>14.419280333333333</v>
      </c>
      <c r="F219" s="5"/>
      <c r="G219" s="6">
        <f t="shared" si="36"/>
        <v>167.33333333333334</v>
      </c>
      <c r="H219" s="6">
        <f t="shared" si="36"/>
        <v>7.0638279603262859</v>
      </c>
      <c r="I219" s="6">
        <f t="shared" si="36"/>
        <v>23.315272182795709</v>
      </c>
      <c r="J219" s="6">
        <f t="shared" si="36"/>
        <v>15.489141768879</v>
      </c>
      <c r="L219" s="6"/>
      <c r="M219" s="6"/>
      <c r="N219" s="6"/>
      <c r="O219" s="6"/>
    </row>
    <row r="220" spans="1:15" x14ac:dyDescent="0.5">
      <c r="A220" s="4">
        <v>36647</v>
      </c>
      <c r="B220" s="1">
        <v>250</v>
      </c>
      <c r="C220" s="5">
        <v>6.8369824838709645</v>
      </c>
      <c r="D220" s="5">
        <v>20.764387774193558</v>
      </c>
      <c r="E220" s="5">
        <v>14.151027645161289</v>
      </c>
      <c r="F220" s="5"/>
      <c r="G220" s="6">
        <f t="shared" si="36"/>
        <v>173.29166666666666</v>
      </c>
      <c r="H220" s="6">
        <f t="shared" si="36"/>
        <v>7.0609112936596192</v>
      </c>
      <c r="I220" s="6">
        <f t="shared" si="36"/>
        <v>23.317970130009783</v>
      </c>
      <c r="J220" s="6">
        <f t="shared" si="36"/>
        <v>15.481628328018784</v>
      </c>
      <c r="L220" s="6"/>
      <c r="M220" s="6"/>
      <c r="N220" s="6"/>
      <c r="O220" s="6"/>
    </row>
    <row r="221" spans="1:15" x14ac:dyDescent="0.5">
      <c r="A221" s="4">
        <v>36678</v>
      </c>
      <c r="B221" s="1">
        <v>445.5</v>
      </c>
      <c r="C221" s="5">
        <v>6.9080469999999972</v>
      </c>
      <c r="D221" s="5">
        <v>20.791791000000011</v>
      </c>
      <c r="E221" s="5">
        <v>14.150780333333335</v>
      </c>
      <c r="F221" s="5"/>
      <c r="G221" s="6">
        <f t="shared" si="36"/>
        <v>157.875</v>
      </c>
      <c r="H221" s="6">
        <f t="shared" si="36"/>
        <v>7.0578418492151735</v>
      </c>
      <c r="I221" s="6">
        <f t="shared" si="36"/>
        <v>23.334939826979475</v>
      </c>
      <c r="J221" s="6">
        <f t="shared" si="36"/>
        <v>15.478031105796562</v>
      </c>
      <c r="L221" s="6"/>
      <c r="M221" s="6"/>
      <c r="N221" s="6"/>
      <c r="O221" s="6"/>
    </row>
    <row r="222" spans="1:15" x14ac:dyDescent="0.5">
      <c r="A222" s="4">
        <v>36708</v>
      </c>
      <c r="B222" s="1">
        <v>160</v>
      </c>
      <c r="C222" s="5">
        <v>6.9674663548387032</v>
      </c>
      <c r="D222" s="5">
        <v>22.24261358064517</v>
      </c>
      <c r="E222" s="5">
        <v>14.770866354838709</v>
      </c>
      <c r="F222" s="5"/>
      <c r="G222" s="6">
        <f t="shared" si="36"/>
        <v>151.91666666666666</v>
      </c>
      <c r="H222" s="6">
        <f t="shared" si="36"/>
        <v>7.0464305588925926</v>
      </c>
      <c r="I222" s="6">
        <f t="shared" si="36"/>
        <v>23.300247744868045</v>
      </c>
      <c r="J222" s="6">
        <f t="shared" si="36"/>
        <v>15.446162826226674</v>
      </c>
      <c r="L222" s="6"/>
      <c r="M222" s="6"/>
      <c r="N222" s="6"/>
      <c r="O222" s="6"/>
    </row>
    <row r="223" spans="1:15" x14ac:dyDescent="0.5">
      <c r="A223" s="4">
        <v>36739</v>
      </c>
      <c r="B223" s="1">
        <v>148.5</v>
      </c>
      <c r="C223" s="5">
        <v>7.05409538709677</v>
      </c>
      <c r="D223" s="5">
        <v>24.113258741935489</v>
      </c>
      <c r="E223" s="5">
        <v>15.508124419354839</v>
      </c>
      <c r="F223" s="5"/>
      <c r="G223" s="6">
        <f t="shared" si="36"/>
        <v>156.625</v>
      </c>
      <c r="H223" s="6">
        <f t="shared" si="36"/>
        <v>7.0399534083549584</v>
      </c>
      <c r="I223" s="6">
        <f t="shared" si="36"/>
        <v>23.330828145650059</v>
      </c>
      <c r="J223" s="6">
        <f t="shared" si="36"/>
        <v>15.427520353108392</v>
      </c>
      <c r="L223" s="6"/>
      <c r="M223" s="6"/>
      <c r="N223" s="6"/>
      <c r="O223" s="6"/>
    </row>
    <row r="224" spans="1:15" x14ac:dyDescent="0.5">
      <c r="A224" s="4">
        <v>36770</v>
      </c>
      <c r="B224" s="1">
        <v>131.5</v>
      </c>
      <c r="C224" s="5">
        <v>7.1535252608695634</v>
      </c>
      <c r="D224" s="5">
        <v>26.025591000000009</v>
      </c>
      <c r="E224" s="5">
        <v>16.278280333333335</v>
      </c>
      <c r="F224" s="5"/>
      <c r="G224" s="6">
        <f t="shared" si="36"/>
        <v>131.41666666666666</v>
      </c>
      <c r="H224" s="6">
        <f t="shared" si="36"/>
        <v>7.0298404856496433</v>
      </c>
      <c r="I224" s="6">
        <f t="shared" si="36"/>
        <v>23.55539171684589</v>
      </c>
      <c r="J224" s="6">
        <f t="shared" si="36"/>
        <v>15.410089797552835</v>
      </c>
      <c r="L224" s="6"/>
      <c r="M224" s="6"/>
      <c r="N224" s="6"/>
      <c r="O224" s="6"/>
    </row>
    <row r="225" spans="1:15" x14ac:dyDescent="0.5">
      <c r="A225" s="4">
        <v>36800</v>
      </c>
      <c r="B225" s="1">
        <v>131.5</v>
      </c>
      <c r="C225" s="5">
        <v>7.1775469999999979</v>
      </c>
      <c r="D225" s="5">
        <v>25.972613580645167</v>
      </c>
      <c r="E225" s="5">
        <v>16.355221193548388</v>
      </c>
      <c r="F225" s="5"/>
      <c r="G225" s="6">
        <f t="shared" si="36"/>
        <v>139.875</v>
      </c>
      <c r="H225" s="6">
        <f t="shared" si="36"/>
        <v>7.0195568834991064</v>
      </c>
      <c r="I225" s="6">
        <f t="shared" si="36"/>
        <v>23.473841217613938</v>
      </c>
      <c r="J225" s="6">
        <f t="shared" si="36"/>
        <v>15.355829044864663</v>
      </c>
      <c r="L225" s="6"/>
      <c r="M225" s="6"/>
      <c r="N225" s="6"/>
      <c r="O225" s="6"/>
    </row>
    <row r="226" spans="1:15" x14ac:dyDescent="0.5">
      <c r="A226" s="4">
        <v>36831</v>
      </c>
      <c r="B226" s="1">
        <v>192</v>
      </c>
      <c r="C226" s="5">
        <v>7.1355469999999972</v>
      </c>
      <c r="D226" s="5">
        <v>24.712124333333346</v>
      </c>
      <c r="E226" s="5">
        <v>15.920613666666668</v>
      </c>
      <c r="F226" s="5"/>
      <c r="G226" s="6">
        <f t="shared" si="36"/>
        <v>149.16666666666666</v>
      </c>
      <c r="H226" s="6">
        <f t="shared" si="36"/>
        <v>7.0110013279435526</v>
      </c>
      <c r="I226" s="6">
        <f t="shared" si="36"/>
        <v>23.341355106502828</v>
      </c>
      <c r="J226" s="6">
        <f t="shared" si="36"/>
        <v>15.28938460042022</v>
      </c>
      <c r="L226" s="6"/>
      <c r="M226" s="6"/>
      <c r="N226" s="6"/>
      <c r="O226" s="6"/>
    </row>
    <row r="227" spans="1:15" x14ac:dyDescent="0.5">
      <c r="A227" s="4">
        <v>36861</v>
      </c>
      <c r="B227" s="1">
        <v>57.5</v>
      </c>
      <c r="C227" s="5">
        <v>7.0348857096774156</v>
      </c>
      <c r="D227" s="5">
        <v>23.619871645161304</v>
      </c>
      <c r="E227" s="5">
        <v>15.443608290322583</v>
      </c>
      <c r="F227" s="5"/>
      <c r="G227" s="6">
        <f t="shared" si="36"/>
        <v>152.125</v>
      </c>
      <c r="H227" s="6">
        <f t="shared" si="36"/>
        <v>7.0021841236424764</v>
      </c>
      <c r="I227" s="6">
        <f t="shared" si="36"/>
        <v>23.198478762416809</v>
      </c>
      <c r="J227" s="6">
        <f t="shared" si="36"/>
        <v>15.224814707947104</v>
      </c>
      <c r="L227" s="6"/>
      <c r="M227" s="6"/>
      <c r="N227" s="6"/>
      <c r="O227" s="6"/>
    </row>
    <row r="228" spans="1:15" x14ac:dyDescent="0.5">
      <c r="A228" s="4">
        <v>36892</v>
      </c>
      <c r="B228" s="1">
        <v>86</v>
      </c>
      <c r="C228" s="5">
        <v>6.952788935483869</v>
      </c>
      <c r="D228" s="5">
        <v>22.611000677419362</v>
      </c>
      <c r="E228" s="5">
        <v>15.00038248387097</v>
      </c>
      <c r="F228" s="5"/>
      <c r="G228" s="6">
        <f t="shared" si="36"/>
        <v>151.95833333333334</v>
      </c>
      <c r="H228" s="6">
        <f t="shared" si="36"/>
        <v>6.9935416505241967</v>
      </c>
      <c r="I228" s="6">
        <f t="shared" si="36"/>
        <v>23.085441128008203</v>
      </c>
      <c r="J228" s="6">
        <f t="shared" si="36"/>
        <v>15.166736750957853</v>
      </c>
      <c r="L228" s="6"/>
      <c r="M228" s="6"/>
      <c r="N228" s="6"/>
      <c r="O228" s="6"/>
    </row>
    <row r="229" spans="1:15" x14ac:dyDescent="0.5">
      <c r="A229" s="4">
        <v>36923</v>
      </c>
      <c r="B229" s="1">
        <v>103.5</v>
      </c>
      <c r="C229" s="5">
        <v>6.8872612857142821</v>
      </c>
      <c r="D229" s="5">
        <v>21.829076714285723</v>
      </c>
      <c r="E229" s="5">
        <v>14.614518428571429</v>
      </c>
      <c r="F229" s="5"/>
      <c r="G229" s="6">
        <f t="shared" si="36"/>
        <v>156.5</v>
      </c>
      <c r="H229" s="6">
        <f t="shared" si="36"/>
        <v>6.9868296226095836</v>
      </c>
      <c r="I229" s="6">
        <f t="shared" si="36"/>
        <v>23.001403429595509</v>
      </c>
      <c r="J229" s="6">
        <f t="shared" si="36"/>
        <v>15.116883507936512</v>
      </c>
      <c r="L229" s="6"/>
      <c r="M229" s="6"/>
      <c r="N229" s="6"/>
      <c r="O229" s="6"/>
    </row>
    <row r="230" spans="1:15" x14ac:dyDescent="0.5">
      <c r="A230" s="4">
        <v>36951</v>
      </c>
      <c r="B230" s="1">
        <v>80</v>
      </c>
      <c r="C230" s="5">
        <v>6.832788935483868</v>
      </c>
      <c r="D230" s="5">
        <v>21.213258741935494</v>
      </c>
      <c r="E230" s="5">
        <v>14.287640548387099</v>
      </c>
      <c r="F230" s="5"/>
      <c r="G230" s="6">
        <f t="shared" si="36"/>
        <v>155.16666666666666</v>
      </c>
      <c r="H230" s="6">
        <f t="shared" si="36"/>
        <v>6.9825957516418411</v>
      </c>
      <c r="I230" s="6">
        <f t="shared" si="36"/>
        <v>22.933392676907332</v>
      </c>
      <c r="J230" s="6">
        <f t="shared" si="36"/>
        <v>15.075028669226832</v>
      </c>
      <c r="L230" s="6"/>
      <c r="M230" s="6"/>
      <c r="N230" s="6"/>
      <c r="O230" s="6"/>
    </row>
    <row r="231" spans="1:15" x14ac:dyDescent="0.5">
      <c r="A231" s="4">
        <v>36982</v>
      </c>
      <c r="B231" s="1">
        <v>71</v>
      </c>
      <c r="C231" s="5">
        <v>6.7707136666666621</v>
      </c>
      <c r="D231" s="5">
        <v>20.682291000000006</v>
      </c>
      <c r="E231" s="5">
        <v>14.068447000000001</v>
      </c>
      <c r="F231" s="5"/>
      <c r="G231" s="6">
        <f t="shared" si="36"/>
        <v>154.75</v>
      </c>
      <c r="H231" s="6">
        <f t="shared" si="36"/>
        <v>6.9759707516418397</v>
      </c>
      <c r="I231" s="6">
        <f t="shared" si="36"/>
        <v>22.881489899129551</v>
      </c>
      <c r="J231" s="6">
        <f t="shared" si="36"/>
        <v>15.045792558115719</v>
      </c>
      <c r="L231" s="6"/>
      <c r="M231" s="6"/>
      <c r="N231" s="6"/>
      <c r="O231" s="6"/>
    </row>
    <row r="232" spans="1:15" x14ac:dyDescent="0.5">
      <c r="A232" s="4">
        <v>37012</v>
      </c>
      <c r="B232" s="1">
        <v>42</v>
      </c>
      <c r="C232" s="5">
        <v>6.7705308709677388</v>
      </c>
      <c r="D232" s="5">
        <v>20.291968419354845</v>
      </c>
      <c r="E232" s="5">
        <v>13.764047</v>
      </c>
      <c r="F232" s="5"/>
      <c r="G232" s="6">
        <f t="shared" si="36"/>
        <v>137.41666666666666</v>
      </c>
      <c r="H232" s="6">
        <f t="shared" si="36"/>
        <v>6.9704331172332381</v>
      </c>
      <c r="I232" s="6">
        <f t="shared" si="36"/>
        <v>22.842121619559663</v>
      </c>
      <c r="J232" s="6">
        <f t="shared" si="36"/>
        <v>15.013544171018944</v>
      </c>
      <c r="L232" s="6"/>
      <c r="M232" s="6"/>
      <c r="N232" s="6"/>
      <c r="O232" s="6"/>
    </row>
    <row r="233" spans="1:15" x14ac:dyDescent="0.5">
      <c r="A233" s="4">
        <v>37043</v>
      </c>
      <c r="B233" s="1">
        <v>526</v>
      </c>
      <c r="C233" s="5">
        <v>6.7903803333333315</v>
      </c>
      <c r="D233" s="5">
        <v>20.310624333333337</v>
      </c>
      <c r="E233" s="5">
        <v>13.754280333333334</v>
      </c>
      <c r="F233" s="5"/>
      <c r="G233" s="6">
        <f t="shared" si="36"/>
        <v>144.125</v>
      </c>
      <c r="H233" s="6">
        <f t="shared" si="36"/>
        <v>6.9606275616776827</v>
      </c>
      <c r="I233" s="6">
        <f t="shared" si="36"/>
        <v>22.802024397337437</v>
      </c>
      <c r="J233" s="6">
        <f t="shared" si="36"/>
        <v>14.980502504352279</v>
      </c>
      <c r="L233" s="6"/>
      <c r="M233" s="6"/>
      <c r="N233" s="6"/>
      <c r="O233" s="6"/>
    </row>
    <row r="234" spans="1:15" x14ac:dyDescent="0.5">
      <c r="A234" s="4">
        <v>37073</v>
      </c>
      <c r="B234" s="1">
        <v>358</v>
      </c>
      <c r="C234" s="5">
        <v>6.9960147419354834</v>
      </c>
      <c r="D234" s="5">
        <v>22.317774870967749</v>
      </c>
      <c r="E234" s="5">
        <v>14.677317967741939</v>
      </c>
      <c r="F234" s="5"/>
      <c r="G234" s="6">
        <f t="shared" si="36"/>
        <v>160.625</v>
      </c>
      <c r="H234" s="6">
        <f t="shared" si="36"/>
        <v>6.9630065939357477</v>
      </c>
      <c r="I234" s="6">
        <f t="shared" si="36"/>
        <v>22.808287838197653</v>
      </c>
      <c r="J234" s="6">
        <f t="shared" si="36"/>
        <v>14.972706805427549</v>
      </c>
      <c r="L234" s="6"/>
      <c r="M234" s="6"/>
      <c r="N234" s="6"/>
      <c r="O234" s="6"/>
    </row>
    <row r="235" spans="1:15" x14ac:dyDescent="0.5">
      <c r="A235" s="4">
        <v>37104</v>
      </c>
      <c r="B235" s="1">
        <v>42</v>
      </c>
      <c r="C235" s="5">
        <v>7.1021437741935447</v>
      </c>
      <c r="D235" s="5">
        <v>24.938903903225818</v>
      </c>
      <c r="E235" s="5">
        <v>15.787156677419354</v>
      </c>
      <c r="F235" s="5"/>
      <c r="G235" s="6">
        <f t="shared" si="36"/>
        <v>151.75</v>
      </c>
      <c r="H235" s="6">
        <f t="shared" si="36"/>
        <v>6.9670106261938125</v>
      </c>
      <c r="I235" s="6">
        <f t="shared" si="36"/>
        <v>22.877091601638512</v>
      </c>
      <c r="J235" s="6">
        <f t="shared" si="36"/>
        <v>14.995959493599591</v>
      </c>
      <c r="L235" s="6"/>
      <c r="M235" s="6"/>
      <c r="N235" s="6"/>
      <c r="O235" s="6"/>
    </row>
    <row r="236" spans="1:15" x14ac:dyDescent="0.5">
      <c r="A236" s="4">
        <v>37135</v>
      </c>
      <c r="B236" s="1">
        <v>187</v>
      </c>
      <c r="C236" s="5">
        <v>7.2040469999999974</v>
      </c>
      <c r="D236" s="5">
        <v>26.863791000000017</v>
      </c>
      <c r="E236" s="5">
        <v>16.541447000000002</v>
      </c>
      <c r="F236" s="5"/>
      <c r="G236" s="6">
        <f t="shared" si="36"/>
        <v>156.375</v>
      </c>
      <c r="H236" s="6">
        <f t="shared" si="36"/>
        <v>6.9712207711213514</v>
      </c>
      <c r="I236" s="6">
        <f t="shared" si="36"/>
        <v>22.94694160163851</v>
      </c>
      <c r="J236" s="6">
        <f t="shared" si="36"/>
        <v>15.017890049155149</v>
      </c>
      <c r="L236" s="6"/>
      <c r="M236" s="6"/>
      <c r="N236" s="6"/>
      <c r="O236" s="6"/>
    </row>
    <row r="237" spans="1:15" x14ac:dyDescent="0.5">
      <c r="A237" s="4">
        <v>37165</v>
      </c>
      <c r="B237" s="1">
        <v>133</v>
      </c>
      <c r="C237" s="5">
        <v>7.2181115161290297</v>
      </c>
      <c r="D237" s="5">
        <v>26.705194225806466</v>
      </c>
      <c r="E237" s="5">
        <v>16.60376958064516</v>
      </c>
      <c r="F237" s="5"/>
      <c r="G237" s="6">
        <f t="shared" si="36"/>
        <v>156.5</v>
      </c>
      <c r="H237" s="6">
        <f t="shared" si="36"/>
        <v>6.9746011474654352</v>
      </c>
      <c r="I237" s="6">
        <f t="shared" si="36"/>
        <v>23.007989988735289</v>
      </c>
      <c r="J237" s="6">
        <f t="shared" si="36"/>
        <v>15.038602414746544</v>
      </c>
      <c r="L237" s="6"/>
      <c r="M237" s="6"/>
      <c r="N237" s="6"/>
      <c r="O237" s="6"/>
    </row>
    <row r="238" spans="1:15" x14ac:dyDescent="0.5">
      <c r="A238" s="4">
        <v>37196</v>
      </c>
      <c r="B238" s="1">
        <v>130</v>
      </c>
      <c r="C238" s="5">
        <v>7.1315469999999967</v>
      </c>
      <c r="D238" s="5">
        <v>25.13745766666668</v>
      </c>
      <c r="E238" s="5">
        <v>16.038947</v>
      </c>
      <c r="F238" s="5"/>
      <c r="G238" s="6">
        <f t="shared" si="36"/>
        <v>151.33333333333334</v>
      </c>
      <c r="H238" s="6">
        <f t="shared" si="36"/>
        <v>6.9742678141321015</v>
      </c>
      <c r="I238" s="6">
        <f t="shared" si="36"/>
        <v>23.043434433179737</v>
      </c>
      <c r="J238" s="6">
        <f t="shared" si="36"/>
        <v>15.048463525857656</v>
      </c>
      <c r="L238" s="6"/>
      <c r="M238" s="6"/>
      <c r="N238" s="6"/>
      <c r="O238" s="6"/>
    </row>
    <row r="239" spans="1:15" x14ac:dyDescent="0.5">
      <c r="A239" s="4">
        <v>37226</v>
      </c>
      <c r="B239" s="1">
        <v>40</v>
      </c>
      <c r="C239" s="5">
        <v>7.0292082903225754</v>
      </c>
      <c r="D239" s="5">
        <v>23.719549064516137</v>
      </c>
      <c r="E239" s="5">
        <v>15.448769580645163</v>
      </c>
      <c r="F239" s="5"/>
      <c r="G239" s="6">
        <f t="shared" si="36"/>
        <v>149.875</v>
      </c>
      <c r="H239" s="6">
        <f t="shared" si="36"/>
        <v>6.9737946958525319</v>
      </c>
      <c r="I239" s="6">
        <f t="shared" si="36"/>
        <v>23.051740884792636</v>
      </c>
      <c r="J239" s="6">
        <f t="shared" si="36"/>
        <v>15.048893633384537</v>
      </c>
      <c r="L239" s="6"/>
      <c r="M239" s="6"/>
      <c r="N239" s="6"/>
      <c r="O239" s="6"/>
    </row>
    <row r="240" spans="1:15" x14ac:dyDescent="0.5">
      <c r="A240" s="4">
        <v>37257</v>
      </c>
      <c r="B240" s="1">
        <v>52.5</v>
      </c>
      <c r="C240" s="5">
        <v>6.9439018387096745</v>
      </c>
      <c r="D240" s="5">
        <v>22.584065193548394</v>
      </c>
      <c r="E240" s="5">
        <v>14.940866354838711</v>
      </c>
      <c r="F240" s="5"/>
      <c r="G240" s="6">
        <f t="shared" si="36"/>
        <v>147.08333333333334</v>
      </c>
      <c r="H240" s="6">
        <f t="shared" si="36"/>
        <v>6.9730541044546817</v>
      </c>
      <c r="I240" s="6">
        <f t="shared" si="36"/>
        <v>23.049496261136721</v>
      </c>
      <c r="J240" s="6">
        <f t="shared" si="36"/>
        <v>15.043933955965182</v>
      </c>
      <c r="L240" s="6"/>
      <c r="M240" s="6"/>
      <c r="N240" s="6"/>
      <c r="O240" s="6"/>
    </row>
    <row r="241" spans="1:15" x14ac:dyDescent="0.5">
      <c r="A241" s="4">
        <v>37288</v>
      </c>
      <c r="B241" s="1">
        <v>83</v>
      </c>
      <c r="C241" s="5">
        <v>6.8547612857142832</v>
      </c>
      <c r="D241" s="5">
        <v>21.716933857142859</v>
      </c>
      <c r="E241" s="5">
        <v>14.488625571428571</v>
      </c>
      <c r="F241" s="5"/>
      <c r="G241" s="6">
        <f t="shared" si="36"/>
        <v>145.375</v>
      </c>
      <c r="H241" s="6">
        <f t="shared" si="36"/>
        <v>6.970345771121349</v>
      </c>
      <c r="I241" s="6">
        <f t="shared" si="36"/>
        <v>23.040151023041485</v>
      </c>
      <c r="J241" s="6">
        <f t="shared" si="36"/>
        <v>15.03344288453661</v>
      </c>
      <c r="L241" s="6"/>
      <c r="M241" s="6"/>
      <c r="N241" s="6"/>
      <c r="O241" s="6"/>
    </row>
    <row r="242" spans="1:15" x14ac:dyDescent="0.5">
      <c r="A242" s="4">
        <v>37316</v>
      </c>
      <c r="B242" s="1">
        <v>112</v>
      </c>
      <c r="C242" s="5">
        <v>6.8087566774193498</v>
      </c>
      <c r="D242" s="5">
        <v>21.058581322580654</v>
      </c>
      <c r="E242" s="5">
        <v>14.151350225806453</v>
      </c>
      <c r="F242" s="5"/>
      <c r="G242" s="6">
        <f t="shared" si="36"/>
        <v>148.04166666666666</v>
      </c>
      <c r="H242" s="6">
        <f t="shared" si="36"/>
        <v>6.9683430829493069</v>
      </c>
      <c r="I242" s="6">
        <f t="shared" si="36"/>
        <v>23.027261238095249</v>
      </c>
      <c r="J242" s="6">
        <f t="shared" si="36"/>
        <v>15.022085357654893</v>
      </c>
      <c r="L242" s="6"/>
      <c r="M242" s="6"/>
      <c r="N242" s="6"/>
      <c r="O242" s="6"/>
    </row>
    <row r="243" spans="1:15" x14ac:dyDescent="0.5">
      <c r="A243" s="4">
        <v>37347</v>
      </c>
      <c r="B243" s="1">
        <v>162.5</v>
      </c>
      <c r="C243" s="5">
        <v>6.7827136666666634</v>
      </c>
      <c r="D243" s="5">
        <v>20.520791000000006</v>
      </c>
      <c r="E243" s="5">
        <v>13.862780333333333</v>
      </c>
      <c r="F243" s="5"/>
      <c r="G243" s="6">
        <f t="shared" si="36"/>
        <v>155.66666666666666</v>
      </c>
      <c r="H243" s="6">
        <f t="shared" si="36"/>
        <v>6.9693430829493073</v>
      </c>
      <c r="I243" s="6">
        <f t="shared" si="36"/>
        <v>23.013802904761917</v>
      </c>
      <c r="J243" s="6">
        <f t="shared" si="36"/>
        <v>15.004946468766002</v>
      </c>
      <c r="L243" s="6"/>
      <c r="M243" s="6"/>
      <c r="N243" s="6"/>
      <c r="O243" s="6"/>
    </row>
    <row r="244" spans="1:15" x14ac:dyDescent="0.5">
      <c r="A244" s="4">
        <v>37377</v>
      </c>
      <c r="B244" s="1">
        <v>313.5</v>
      </c>
      <c r="C244" s="5">
        <v>6.8498857096774151</v>
      </c>
      <c r="D244" s="5">
        <v>20.138258741935491</v>
      </c>
      <c r="E244" s="5">
        <v>13.839898612903227</v>
      </c>
      <c r="F244" s="5"/>
      <c r="G244" s="6">
        <f t="shared" si="36"/>
        <v>178.29166666666666</v>
      </c>
      <c r="H244" s="6">
        <f t="shared" si="36"/>
        <v>6.9759559861751113</v>
      </c>
      <c r="I244" s="6">
        <f t="shared" si="36"/>
        <v>23.000993764976968</v>
      </c>
      <c r="J244" s="6">
        <f t="shared" si="36"/>
        <v>15.011267436507937</v>
      </c>
      <c r="L244" s="6"/>
      <c r="M244" s="6"/>
      <c r="N244" s="6"/>
      <c r="O244" s="6"/>
    </row>
    <row r="245" spans="1:15" x14ac:dyDescent="0.5">
      <c r="A245" s="4">
        <v>37408</v>
      </c>
      <c r="B245" s="1">
        <v>241</v>
      </c>
      <c r="C245" s="5">
        <v>6.8395469999999952</v>
      </c>
      <c r="D245" s="5">
        <v>20.680791000000006</v>
      </c>
      <c r="E245" s="5">
        <v>14.098947000000001</v>
      </c>
      <c r="F245" s="5"/>
      <c r="G245" s="6">
        <f t="shared" si="36"/>
        <v>154.54166666666666</v>
      </c>
      <c r="H245" s="6">
        <f t="shared" si="36"/>
        <v>6.9800532083973339</v>
      </c>
      <c r="I245" s="6">
        <f t="shared" si="36"/>
        <v>23.031840987199189</v>
      </c>
      <c r="J245" s="6">
        <f t="shared" si="36"/>
        <v>15.039989658730162</v>
      </c>
      <c r="L245" s="6"/>
      <c r="M245" s="6"/>
      <c r="N245" s="6"/>
      <c r="O245" s="6"/>
    </row>
    <row r="246" spans="1:15" x14ac:dyDescent="0.5">
      <c r="A246" s="4">
        <v>37438</v>
      </c>
      <c r="B246" s="1">
        <v>181.5</v>
      </c>
      <c r="C246" s="5">
        <v>6.9481115161290283</v>
      </c>
      <c r="D246" s="5">
        <v>21.959387774193562</v>
      </c>
      <c r="E246" s="5">
        <v>14.645221193548387</v>
      </c>
      <c r="F246" s="5"/>
      <c r="G246" s="6">
        <f t="shared" si="36"/>
        <v>139.83333333333334</v>
      </c>
      <c r="H246" s="6">
        <f t="shared" si="36"/>
        <v>6.976061272913463</v>
      </c>
      <c r="I246" s="6">
        <f t="shared" si="36"/>
        <v>23.001975395801338</v>
      </c>
      <c r="J246" s="6">
        <f t="shared" si="36"/>
        <v>15.037314927547365</v>
      </c>
      <c r="L246" s="6"/>
      <c r="M246" s="6"/>
      <c r="N246" s="6"/>
      <c r="O246" s="6"/>
    </row>
    <row r="247" spans="1:15" x14ac:dyDescent="0.5">
      <c r="A247" s="4">
        <v>37469</v>
      </c>
      <c r="B247" s="1">
        <v>63</v>
      </c>
      <c r="C247" s="5">
        <v>7.0085953870967721</v>
      </c>
      <c r="D247" s="5">
        <v>23.639226483870981</v>
      </c>
      <c r="E247" s="5">
        <v>14.988901545454546</v>
      </c>
      <c r="F247" s="5"/>
      <c r="G247" s="6">
        <f t="shared" si="36"/>
        <v>141.58333333333334</v>
      </c>
      <c r="H247" s="6">
        <f t="shared" si="36"/>
        <v>6.9682655739887318</v>
      </c>
      <c r="I247" s="6">
        <f t="shared" si="36"/>
        <v>22.893668944188438</v>
      </c>
      <c r="J247" s="6">
        <f t="shared" si="36"/>
        <v>14.9707936665503</v>
      </c>
      <c r="L247" s="6"/>
      <c r="M247" s="6"/>
      <c r="N247" s="6"/>
      <c r="O247" s="6"/>
    </row>
    <row r="248" spans="1:15" x14ac:dyDescent="0.5">
      <c r="A248" s="4">
        <v>37500</v>
      </c>
      <c r="B248" s="1">
        <v>55.5</v>
      </c>
      <c r="C248" s="5">
        <v>7.1097136666666643</v>
      </c>
      <c r="D248" s="5">
        <v>25.333791000000009</v>
      </c>
      <c r="E248" s="5">
        <v>16.046988666666667</v>
      </c>
      <c r="F248" s="5"/>
      <c r="G248" s="6">
        <f t="shared" si="36"/>
        <v>130.625</v>
      </c>
      <c r="H248" s="6">
        <f t="shared" si="36"/>
        <v>6.9604044628776203</v>
      </c>
      <c r="I248" s="6">
        <f t="shared" si="36"/>
        <v>22.766168944188436</v>
      </c>
      <c r="J248" s="6">
        <f t="shared" si="36"/>
        <v>14.929588805439186</v>
      </c>
      <c r="L248" s="6"/>
      <c r="M248" s="6"/>
      <c r="N248" s="6"/>
      <c r="O248" s="6"/>
    </row>
    <row r="249" spans="1:15" x14ac:dyDescent="0.5">
      <c r="A249" s="4">
        <v>37530</v>
      </c>
      <c r="B249" s="1">
        <v>72.5</v>
      </c>
      <c r="C249" s="5">
        <v>7.1124663548387037</v>
      </c>
      <c r="D249" s="5">
        <v>25.136323258064529</v>
      </c>
      <c r="E249" s="5">
        <v>16.040221193548387</v>
      </c>
      <c r="F249" s="5"/>
      <c r="G249" s="6">
        <f t="shared" si="36"/>
        <v>125.58333333333333</v>
      </c>
      <c r="H249" s="6">
        <f t="shared" si="36"/>
        <v>6.9516006994367601</v>
      </c>
      <c r="I249" s="6">
        <f t="shared" si="36"/>
        <v>22.63542969687661</v>
      </c>
      <c r="J249" s="6">
        <f t="shared" si="36"/>
        <v>14.882626439847785</v>
      </c>
      <c r="L249" s="6"/>
      <c r="M249" s="6"/>
      <c r="N249" s="6"/>
      <c r="O249" s="6"/>
    </row>
    <row r="250" spans="1:15" x14ac:dyDescent="0.5">
      <c r="A250" s="4">
        <v>37561</v>
      </c>
      <c r="B250" s="1">
        <v>109</v>
      </c>
      <c r="C250" s="5">
        <v>7.0167136666666616</v>
      </c>
      <c r="D250" s="5">
        <v>23.584612428571436</v>
      </c>
      <c r="E250" s="5">
        <v>15.405113666666667</v>
      </c>
      <c r="F250" s="5"/>
      <c r="G250" s="6">
        <f t="shared" si="36"/>
        <v>123.83333333333333</v>
      </c>
      <c r="H250" s="6">
        <f t="shared" si="36"/>
        <v>6.9420312549923153</v>
      </c>
      <c r="I250" s="6">
        <f t="shared" si="36"/>
        <v>22.506025927035338</v>
      </c>
      <c r="J250" s="6">
        <f t="shared" si="36"/>
        <v>14.82980699540334</v>
      </c>
      <c r="L250" s="6"/>
      <c r="M250" s="6"/>
      <c r="N250" s="6"/>
      <c r="O250" s="6"/>
    </row>
    <row r="251" spans="1:15" x14ac:dyDescent="0.5">
      <c r="A251" s="4">
        <v>37591</v>
      </c>
      <c r="B251" s="1">
        <v>97.5</v>
      </c>
      <c r="C251" s="5">
        <v>6.9324663548387067</v>
      </c>
      <c r="D251" s="5">
        <v>22.307936161290336</v>
      </c>
      <c r="E251" s="5">
        <v>14.811027645161289</v>
      </c>
      <c r="F251" s="5"/>
      <c r="G251" s="6">
        <f t="shared" si="36"/>
        <v>128.625</v>
      </c>
      <c r="H251" s="6">
        <f t="shared" si="36"/>
        <v>6.9339694270353265</v>
      </c>
      <c r="I251" s="6">
        <f t="shared" si="36"/>
        <v>22.388391518433185</v>
      </c>
      <c r="J251" s="6">
        <f t="shared" si="36"/>
        <v>14.776661834113019</v>
      </c>
      <c r="L251" s="6"/>
      <c r="M251" s="6"/>
      <c r="N251" s="6"/>
      <c r="O251" s="6"/>
    </row>
    <row r="252" spans="1:15" x14ac:dyDescent="0.5">
      <c r="A252" s="4">
        <v>37622</v>
      </c>
      <c r="B252" s="1">
        <v>52</v>
      </c>
      <c r="C252" s="5">
        <v>6.8376276451612874</v>
      </c>
      <c r="D252" s="5">
        <v>21.264387774193558</v>
      </c>
      <c r="E252" s="5">
        <v>14.298446999999999</v>
      </c>
      <c r="F252" s="5"/>
      <c r="G252" s="6">
        <f t="shared" si="36"/>
        <v>128.58333333333334</v>
      </c>
      <c r="H252" s="6">
        <f t="shared" si="36"/>
        <v>6.9251132442396282</v>
      </c>
      <c r="I252" s="6">
        <f t="shared" si="36"/>
        <v>22.278418400153623</v>
      </c>
      <c r="J252" s="6">
        <f t="shared" si="36"/>
        <v>14.723126887876461</v>
      </c>
      <c r="L252" s="6"/>
      <c r="M252" s="6"/>
      <c r="N252" s="6"/>
      <c r="O252" s="6"/>
    </row>
    <row r="253" spans="1:15" x14ac:dyDescent="0.5">
      <c r="A253" s="4">
        <v>37653</v>
      </c>
      <c r="B253" s="1">
        <v>58</v>
      </c>
      <c r="C253" s="5">
        <v>6.7427255714285668</v>
      </c>
      <c r="D253" s="5">
        <v>20.484969571428579</v>
      </c>
      <c r="E253" s="5">
        <v>13.878447000000001</v>
      </c>
      <c r="F253" s="5"/>
      <c r="G253" s="6">
        <f t="shared" si="36"/>
        <v>126.5</v>
      </c>
      <c r="H253" s="6">
        <f t="shared" si="36"/>
        <v>6.9157769347158187</v>
      </c>
      <c r="I253" s="6">
        <f t="shared" si="36"/>
        <v>22.175754709677431</v>
      </c>
      <c r="J253" s="6">
        <f t="shared" si="36"/>
        <v>14.672278673590748</v>
      </c>
      <c r="L253" s="6"/>
      <c r="M253" s="6"/>
      <c r="N253" s="6"/>
      <c r="O253" s="6"/>
    </row>
    <row r="254" spans="1:15" x14ac:dyDescent="0.5">
      <c r="A254" s="4">
        <v>37681</v>
      </c>
      <c r="B254" s="1">
        <v>122</v>
      </c>
      <c r="C254" s="5">
        <v>6.7044018387096731</v>
      </c>
      <c r="D254" s="5">
        <v>19.881968419354845</v>
      </c>
      <c r="E254" s="5">
        <v>13.56070506451613</v>
      </c>
      <c r="F254" s="5"/>
      <c r="G254" s="6">
        <f t="shared" si="36"/>
        <v>127.33333333333333</v>
      </c>
      <c r="H254" s="6">
        <f t="shared" si="36"/>
        <v>6.9070806981566788</v>
      </c>
      <c r="I254" s="6">
        <f t="shared" si="36"/>
        <v>22.077703634408611</v>
      </c>
      <c r="J254" s="6">
        <f t="shared" si="36"/>
        <v>14.62305824348322</v>
      </c>
      <c r="L254" s="6"/>
      <c r="M254" s="6"/>
      <c r="N254" s="6"/>
      <c r="O254" s="6"/>
    </row>
    <row r="255" spans="1:15" x14ac:dyDescent="0.5">
      <c r="A255" s="4">
        <v>37712</v>
      </c>
      <c r="B255" s="1">
        <v>246.5</v>
      </c>
      <c r="C255" s="5">
        <v>6.701546999999997</v>
      </c>
      <c r="D255" s="5">
        <v>19.527291000000009</v>
      </c>
      <c r="E255" s="5">
        <v>13.337447000000001</v>
      </c>
      <c r="F255" s="5"/>
      <c r="G255" s="6">
        <f t="shared" si="36"/>
        <v>134.33333333333334</v>
      </c>
      <c r="H255" s="6">
        <f t="shared" si="36"/>
        <v>6.9003168092677889</v>
      </c>
      <c r="I255" s="6">
        <f t="shared" si="36"/>
        <v>21.994911967741942</v>
      </c>
      <c r="J255" s="6">
        <f t="shared" si="36"/>
        <v>14.579280465705443</v>
      </c>
      <c r="L255" s="6"/>
      <c r="M255" s="6"/>
      <c r="N255" s="6"/>
      <c r="O255" s="6"/>
    </row>
    <row r="256" spans="1:15" x14ac:dyDescent="0.5">
      <c r="A256" s="4">
        <v>37742</v>
      </c>
      <c r="B256" s="1">
        <v>176</v>
      </c>
      <c r="C256" s="5">
        <v>6.7439986129032219</v>
      </c>
      <c r="D256" s="5">
        <v>19.456161967741942</v>
      </c>
      <c r="E256" s="5">
        <v>13.297963129032258</v>
      </c>
      <c r="F256" s="5"/>
      <c r="G256" s="6">
        <f t="shared" si="36"/>
        <v>122.875</v>
      </c>
      <c r="H256" s="6">
        <f t="shared" si="36"/>
        <v>6.8914928845366061</v>
      </c>
      <c r="I256" s="6">
        <f t="shared" si="36"/>
        <v>21.938070569892485</v>
      </c>
      <c r="J256" s="6">
        <f t="shared" si="36"/>
        <v>14.534119175382862</v>
      </c>
      <c r="L256" s="6"/>
      <c r="M256" s="6"/>
      <c r="N256" s="6"/>
      <c r="O256" s="6"/>
    </row>
    <row r="257" spans="1:15" x14ac:dyDescent="0.5">
      <c r="A257" s="4">
        <v>37773</v>
      </c>
      <c r="B257" s="1">
        <v>364</v>
      </c>
      <c r="C257" s="5">
        <v>6.7913803333333282</v>
      </c>
      <c r="D257" s="5">
        <v>20.017707666666674</v>
      </c>
      <c r="E257" s="5">
        <v>13.533113666666669</v>
      </c>
      <c r="F257" s="5"/>
      <c r="G257" s="6">
        <f t="shared" si="36"/>
        <v>133.125</v>
      </c>
      <c r="H257" s="6">
        <f t="shared" si="36"/>
        <v>6.887478995647716</v>
      </c>
      <c r="I257" s="6">
        <f t="shared" si="36"/>
        <v>21.882813625448037</v>
      </c>
      <c r="J257" s="6">
        <f t="shared" si="36"/>
        <v>14.486966397605086</v>
      </c>
      <c r="L257" s="6"/>
      <c r="M257" s="6"/>
      <c r="N257" s="6"/>
      <c r="O257" s="6"/>
    </row>
    <row r="258" spans="1:15" x14ac:dyDescent="0.5">
      <c r="A258" s="4">
        <v>37803</v>
      </c>
      <c r="B258" s="1">
        <v>589</v>
      </c>
      <c r="C258" s="5">
        <v>7.0494018387096755</v>
      </c>
      <c r="D258" s="5">
        <v>22.326968419354849</v>
      </c>
      <c r="E258" s="5">
        <v>14.64296312903226</v>
      </c>
      <c r="F258" s="5"/>
      <c r="G258" s="6">
        <f t="shared" si="36"/>
        <v>167.08333333333334</v>
      </c>
      <c r="H258" s="6">
        <f t="shared" si="36"/>
        <v>6.895919855862771</v>
      </c>
      <c r="I258" s="6">
        <f t="shared" si="36"/>
        <v>21.913445345878145</v>
      </c>
      <c r="J258" s="6">
        <f t="shared" si="36"/>
        <v>14.486778225562075</v>
      </c>
      <c r="L258" s="6"/>
      <c r="M258" s="6"/>
      <c r="N258" s="6"/>
      <c r="O258" s="6"/>
    </row>
    <row r="259" spans="1:15" x14ac:dyDescent="0.5">
      <c r="A259" s="4">
        <v>37834</v>
      </c>
      <c r="B259" s="1">
        <v>362.5</v>
      </c>
      <c r="C259" s="5">
        <v>7.2568211935483857</v>
      </c>
      <c r="D259" s="5">
        <v>25.711161967741944</v>
      </c>
      <c r="E259" s="5">
        <v>15.951604894736841</v>
      </c>
      <c r="F259" s="5"/>
      <c r="G259" s="6">
        <f t="shared" si="36"/>
        <v>192.04166666666666</v>
      </c>
      <c r="H259" s="6">
        <f t="shared" si="36"/>
        <v>6.9166053397337386</v>
      </c>
      <c r="I259" s="6">
        <f t="shared" si="36"/>
        <v>22.086106636200725</v>
      </c>
      <c r="J259" s="6">
        <f t="shared" si="36"/>
        <v>14.567003504668932</v>
      </c>
      <c r="L259" s="6"/>
      <c r="M259" s="6"/>
      <c r="N259" s="6"/>
      <c r="O259" s="6"/>
    </row>
    <row r="260" spans="1:15" x14ac:dyDescent="0.5">
      <c r="A260" s="4">
        <v>37865</v>
      </c>
      <c r="B260" s="1">
        <v>30.5</v>
      </c>
      <c r="C260" s="5">
        <v>7.3492136666666621</v>
      </c>
      <c r="D260" s="5">
        <v>28.419624333333342</v>
      </c>
      <c r="E260" s="5">
        <v>17.415289105263156</v>
      </c>
      <c r="F260" s="5"/>
      <c r="G260" s="6">
        <f t="shared" si="36"/>
        <v>189.95833333333334</v>
      </c>
      <c r="H260" s="6">
        <f t="shared" si="36"/>
        <v>6.9365636730670728</v>
      </c>
      <c r="I260" s="6">
        <f t="shared" si="36"/>
        <v>22.343259413978501</v>
      </c>
      <c r="J260" s="6">
        <f t="shared" si="36"/>
        <v>14.681028541218637</v>
      </c>
      <c r="L260" s="6"/>
      <c r="M260" s="6"/>
      <c r="N260" s="6"/>
      <c r="O260" s="6"/>
    </row>
    <row r="261" spans="1:15" x14ac:dyDescent="0.5">
      <c r="A261" s="4">
        <v>37895</v>
      </c>
      <c r="B261" s="1">
        <v>23</v>
      </c>
      <c r="C261" s="5">
        <v>7.3308534516128976</v>
      </c>
      <c r="D261" s="5">
        <v>28.657452290322588</v>
      </c>
      <c r="E261" s="5">
        <v>17.461834096774194</v>
      </c>
      <c r="F261" s="5"/>
      <c r="G261" s="6">
        <f t="shared" si="36"/>
        <v>185.83333333333334</v>
      </c>
      <c r="H261" s="6">
        <f t="shared" si="36"/>
        <v>6.9547625977982541</v>
      </c>
      <c r="I261" s="6">
        <f t="shared" si="36"/>
        <v>22.636686833333339</v>
      </c>
      <c r="J261" s="6">
        <f t="shared" si="36"/>
        <v>14.799496283154122</v>
      </c>
      <c r="L261" s="6"/>
      <c r="M261" s="6"/>
      <c r="N261" s="6"/>
      <c r="O261" s="6"/>
    </row>
    <row r="262" spans="1:15" x14ac:dyDescent="0.5">
      <c r="A262" s="4">
        <v>37926</v>
      </c>
      <c r="B262" s="1">
        <v>193.5</v>
      </c>
      <c r="C262" s="5">
        <v>7.2648803333333296</v>
      </c>
      <c r="D262" s="5">
        <v>27.089124333333334</v>
      </c>
      <c r="E262" s="5">
        <v>16.929613666666668</v>
      </c>
      <c r="F262" s="5"/>
      <c r="G262" s="6">
        <f t="shared" si="36"/>
        <v>192.875</v>
      </c>
      <c r="H262" s="6">
        <f t="shared" si="36"/>
        <v>6.975443153353809</v>
      </c>
      <c r="I262" s="6">
        <f t="shared" si="36"/>
        <v>22.928729492063496</v>
      </c>
      <c r="J262" s="6">
        <f t="shared" si="36"/>
        <v>14.926537949820789</v>
      </c>
      <c r="L262" s="6"/>
      <c r="M262" s="6"/>
      <c r="N262" s="6"/>
      <c r="O262" s="6"/>
    </row>
    <row r="263" spans="1:15" x14ac:dyDescent="0.5">
      <c r="A263" s="4">
        <v>37956</v>
      </c>
      <c r="B263" s="1">
        <v>39</v>
      </c>
      <c r="C263" s="5">
        <v>7.153159903225804</v>
      </c>
      <c r="D263" s="5">
        <v>25.484387774193554</v>
      </c>
      <c r="E263" s="5">
        <v>16.312801838709678</v>
      </c>
      <c r="F263" s="5"/>
      <c r="G263" s="6">
        <f t="shared" si="36"/>
        <v>188</v>
      </c>
      <c r="H263" s="6">
        <f t="shared" si="36"/>
        <v>6.993834282386068</v>
      </c>
      <c r="I263" s="6">
        <f t="shared" si="36"/>
        <v>23.193433793138766</v>
      </c>
      <c r="J263" s="6">
        <f t="shared" si="36"/>
        <v>15.051685799283154</v>
      </c>
      <c r="L263" s="6"/>
      <c r="M263" s="6"/>
      <c r="N263" s="6"/>
      <c r="O263" s="6"/>
    </row>
    <row r="264" spans="1:15" x14ac:dyDescent="0.5">
      <c r="A264" s="4">
        <v>37987</v>
      </c>
      <c r="B264" s="1">
        <v>35</v>
      </c>
      <c r="C264" s="5">
        <v>7.0411760322580603</v>
      </c>
      <c r="D264" s="5">
        <v>24.106323258064531</v>
      </c>
      <c r="E264" s="5">
        <v>15.729414741935486</v>
      </c>
      <c r="F264" s="5"/>
      <c r="G264" s="6">
        <f t="shared" si="36"/>
        <v>186.58333333333334</v>
      </c>
      <c r="H264" s="6">
        <f t="shared" si="36"/>
        <v>7.0107966479774673</v>
      </c>
      <c r="I264" s="6">
        <f t="shared" si="36"/>
        <v>23.430261750128015</v>
      </c>
      <c r="J264" s="6">
        <f t="shared" si="36"/>
        <v>15.170933111111111</v>
      </c>
      <c r="L264" s="6"/>
      <c r="M264" s="6"/>
      <c r="N264" s="6"/>
      <c r="O264" s="6"/>
    </row>
    <row r="265" spans="1:15" x14ac:dyDescent="0.5">
      <c r="A265" s="4">
        <v>38018</v>
      </c>
      <c r="B265" s="1">
        <v>84</v>
      </c>
      <c r="C265" s="5">
        <v>6.9366849310344803</v>
      </c>
      <c r="D265" s="5">
        <v>22.93573927586208</v>
      </c>
      <c r="E265" s="5">
        <v>15.189998724137929</v>
      </c>
      <c r="F265" s="5"/>
      <c r="G265" s="6">
        <f t="shared" si="36"/>
        <v>188.75</v>
      </c>
      <c r="H265" s="6">
        <f t="shared" si="36"/>
        <v>7.0269599279446266</v>
      </c>
      <c r="I265" s="6">
        <f t="shared" si="36"/>
        <v>23.634492558830811</v>
      </c>
      <c r="J265" s="6">
        <f t="shared" si="36"/>
        <v>15.280229088122605</v>
      </c>
      <c r="L265" s="6"/>
      <c r="M265" s="6"/>
      <c r="N265" s="6"/>
      <c r="O265" s="6"/>
    </row>
    <row r="266" spans="1:15" x14ac:dyDescent="0.5">
      <c r="A266" s="4">
        <v>38047</v>
      </c>
      <c r="B266" s="1">
        <v>113</v>
      </c>
      <c r="C266" s="5">
        <v>6.8790792580645128</v>
      </c>
      <c r="D266" s="5">
        <v>21.961323258064528</v>
      </c>
      <c r="E266" s="5">
        <v>14.726027645161292</v>
      </c>
      <c r="F266" s="5"/>
      <c r="G266" s="6">
        <f t="shared" si="36"/>
        <v>188</v>
      </c>
      <c r="H266" s="6">
        <f t="shared" si="36"/>
        <v>7.0415163795575291</v>
      </c>
      <c r="I266" s="6">
        <f t="shared" si="36"/>
        <v>23.807772128723276</v>
      </c>
      <c r="J266" s="6">
        <f t="shared" si="36"/>
        <v>15.377339303176369</v>
      </c>
      <c r="L266" s="6"/>
      <c r="M266" s="6"/>
      <c r="N266" s="6"/>
      <c r="O266" s="6"/>
    </row>
    <row r="267" spans="1:15" x14ac:dyDescent="0.5">
      <c r="A267" s="4">
        <v>38078</v>
      </c>
      <c r="B267" s="1">
        <v>139</v>
      </c>
      <c r="C267" s="5">
        <v>6.8300331111111072</v>
      </c>
      <c r="D267" s="5">
        <v>21.210721555555562</v>
      </c>
      <c r="E267" s="5">
        <v>14.344155333333333</v>
      </c>
      <c r="F267" s="5"/>
      <c r="G267" s="6">
        <f t="shared" si="36"/>
        <v>179.04166666666666</v>
      </c>
      <c r="H267" s="6">
        <f t="shared" si="36"/>
        <v>7.0522235554834545</v>
      </c>
      <c r="I267" s="6">
        <f t="shared" si="36"/>
        <v>23.948058008352906</v>
      </c>
      <c r="J267" s="6">
        <f t="shared" si="36"/>
        <v>15.46123166428748</v>
      </c>
      <c r="L267" s="6"/>
      <c r="M267" s="6"/>
      <c r="N267" s="6"/>
      <c r="O267" s="6"/>
    </row>
    <row r="268" spans="1:15" x14ac:dyDescent="0.5">
      <c r="A268" s="4">
        <v>38108</v>
      </c>
      <c r="B268" s="1">
        <v>372</v>
      </c>
      <c r="C268" s="5">
        <v>6.8857996881720398</v>
      </c>
      <c r="D268" s="5">
        <v>20.862613580645174</v>
      </c>
      <c r="E268" s="5">
        <v>14.187022268817207</v>
      </c>
      <c r="F268" s="5"/>
      <c r="G268" s="6">
        <f t="shared" si="36"/>
        <v>195.375</v>
      </c>
      <c r="H268" s="6">
        <f t="shared" si="36"/>
        <v>7.064040311755857</v>
      </c>
      <c r="I268" s="6">
        <f t="shared" si="36"/>
        <v>24.065262309428181</v>
      </c>
      <c r="J268" s="6">
        <f t="shared" si="36"/>
        <v>15.535319925936223</v>
      </c>
      <c r="L268" s="6"/>
      <c r="M268" s="6"/>
      <c r="N268" s="6"/>
      <c r="O268" s="6"/>
    </row>
    <row r="269" spans="1:15" x14ac:dyDescent="0.5">
      <c r="A269" s="4">
        <v>38139</v>
      </c>
      <c r="B269" s="1">
        <v>121</v>
      </c>
      <c r="C269" s="5">
        <v>6.9335469999999964</v>
      </c>
      <c r="D269" s="5">
        <v>21.553763222222226</v>
      </c>
      <c r="E269" s="5">
        <v>14.558530333333332</v>
      </c>
      <c r="F269" s="5"/>
      <c r="G269" s="6">
        <f t="shared" si="36"/>
        <v>175.125</v>
      </c>
      <c r="H269" s="6">
        <f t="shared" si="36"/>
        <v>7.0758875339780785</v>
      </c>
      <c r="I269" s="6">
        <f t="shared" si="36"/>
        <v>24.193266939057811</v>
      </c>
      <c r="J269" s="6">
        <f t="shared" si="36"/>
        <v>15.620771314825113</v>
      </c>
      <c r="L269" s="6"/>
      <c r="M269" s="6"/>
      <c r="N269" s="6"/>
      <c r="O269" s="6"/>
    </row>
    <row r="270" spans="1:15" x14ac:dyDescent="0.5">
      <c r="A270" s="4">
        <v>38169</v>
      </c>
      <c r="B270" s="1">
        <v>95.5</v>
      </c>
      <c r="C270" s="5">
        <v>6.9679099032258049</v>
      </c>
      <c r="D270" s="5">
        <v>22.682385086021515</v>
      </c>
      <c r="E270" s="5">
        <v>15.153299150537638</v>
      </c>
      <c r="F270" s="5"/>
      <c r="G270" s="6">
        <f t="shared" si="36"/>
        <v>134</v>
      </c>
      <c r="H270" s="6">
        <f t="shared" si="36"/>
        <v>7.0690965393544225</v>
      </c>
      <c r="I270" s="6">
        <f t="shared" si="36"/>
        <v>24.222884994613366</v>
      </c>
      <c r="J270" s="6">
        <f t="shared" ref="J270:J333" si="37">AVERAGE(E259:E270)</f>
        <v>15.663299316617227</v>
      </c>
      <c r="L270" s="6"/>
      <c r="M270" s="6"/>
      <c r="N270" s="6"/>
      <c r="O270" s="6"/>
    </row>
    <row r="271" spans="1:15" x14ac:dyDescent="0.5">
      <c r="A271" s="4">
        <v>38200</v>
      </c>
      <c r="B271" s="1">
        <v>169.5</v>
      </c>
      <c r="C271" s="5">
        <v>7.0527620537634386</v>
      </c>
      <c r="D271" s="5">
        <v>23.671912963562757</v>
      </c>
      <c r="E271" s="5">
        <v>15.578998075268817</v>
      </c>
      <c r="F271" s="5"/>
      <c r="G271" s="6">
        <f t="shared" ref="G271:J334" si="38">AVERAGE(B260:B271)</f>
        <v>117.91666666666667</v>
      </c>
      <c r="H271" s="6">
        <f t="shared" si="38"/>
        <v>7.0520916110390113</v>
      </c>
      <c r="I271" s="6">
        <f t="shared" si="38"/>
        <v>24.052947577598431</v>
      </c>
      <c r="J271" s="6">
        <f t="shared" si="37"/>
        <v>15.632248748328225</v>
      </c>
      <c r="L271" s="6"/>
      <c r="M271" s="6"/>
      <c r="N271" s="6"/>
      <c r="O271" s="6"/>
    </row>
    <row r="272" spans="1:15" x14ac:dyDescent="0.5">
      <c r="A272" s="4">
        <v>38231</v>
      </c>
      <c r="B272" s="1">
        <v>328</v>
      </c>
      <c r="C272" s="5">
        <v>7.1696164444444417</v>
      </c>
      <c r="D272" s="5">
        <v>24.627499333333343</v>
      </c>
      <c r="E272" s="5">
        <v>16.038155333333336</v>
      </c>
      <c r="F272" s="5"/>
      <c r="G272" s="6">
        <f t="shared" si="38"/>
        <v>142.70833333333334</v>
      </c>
      <c r="H272" s="6">
        <f t="shared" si="38"/>
        <v>7.0371251758538271</v>
      </c>
      <c r="I272" s="6">
        <f t="shared" si="38"/>
        <v>23.736937160931763</v>
      </c>
      <c r="J272" s="6">
        <f t="shared" si="37"/>
        <v>15.517487600667408</v>
      </c>
      <c r="L272" s="6"/>
      <c r="M272" s="6"/>
      <c r="N272" s="6"/>
      <c r="O272" s="6"/>
    </row>
    <row r="273" spans="1:15" x14ac:dyDescent="0.5">
      <c r="A273" s="4">
        <v>38261</v>
      </c>
      <c r="B273" s="1">
        <v>172</v>
      </c>
      <c r="C273" s="5">
        <v>7.1692271075268783</v>
      </c>
      <c r="D273" s="5">
        <v>24.643930784946249</v>
      </c>
      <c r="E273" s="5">
        <v>16.128406677419356</v>
      </c>
      <c r="F273" s="5"/>
      <c r="G273" s="6">
        <f t="shared" si="38"/>
        <v>155.125</v>
      </c>
      <c r="H273" s="6">
        <f t="shared" si="38"/>
        <v>7.0236563138466579</v>
      </c>
      <c r="I273" s="6">
        <f t="shared" si="38"/>
        <v>23.402477035483738</v>
      </c>
      <c r="J273" s="6">
        <f t="shared" si="37"/>
        <v>15.406368649054507</v>
      </c>
      <c r="L273" s="6"/>
      <c r="M273" s="6"/>
      <c r="N273" s="6"/>
      <c r="O273" s="6"/>
    </row>
    <row r="274" spans="1:15" x14ac:dyDescent="0.5">
      <c r="A274" s="4">
        <v>38292</v>
      </c>
      <c r="B274" s="1">
        <v>61.5</v>
      </c>
      <c r="C274" s="5">
        <v>7.1028386666666643</v>
      </c>
      <c r="D274" s="5">
        <v>23.629943777777786</v>
      </c>
      <c r="E274" s="5">
        <v>15.773933111111113</v>
      </c>
      <c r="F274" s="5"/>
      <c r="G274" s="6">
        <f t="shared" si="38"/>
        <v>144.125</v>
      </c>
      <c r="H274" s="6">
        <f t="shared" si="38"/>
        <v>7.0101528416244356</v>
      </c>
      <c r="I274" s="6">
        <f t="shared" si="38"/>
        <v>23.114211989187439</v>
      </c>
      <c r="J274" s="6">
        <f t="shared" si="37"/>
        <v>15.310061936091543</v>
      </c>
      <c r="L274" s="6"/>
      <c r="M274" s="6"/>
      <c r="N274" s="6"/>
      <c r="O274" s="6"/>
    </row>
    <row r="275" spans="1:15" x14ac:dyDescent="0.5">
      <c r="A275" s="4">
        <v>38322</v>
      </c>
      <c r="B275" s="1">
        <v>114</v>
      </c>
      <c r="C275" s="5">
        <v>7.0268749569892419</v>
      </c>
      <c r="D275" s="5">
        <v>22.638339387096782</v>
      </c>
      <c r="E275" s="5">
        <v>15.35575882795699</v>
      </c>
      <c r="F275" s="5"/>
      <c r="G275" s="6">
        <f t="shared" si="38"/>
        <v>150.375</v>
      </c>
      <c r="H275" s="6">
        <f t="shared" si="38"/>
        <v>6.9996290961047229</v>
      </c>
      <c r="I275" s="6">
        <f t="shared" si="38"/>
        <v>22.87704129026271</v>
      </c>
      <c r="J275" s="6">
        <f t="shared" si="37"/>
        <v>15.230308351862154</v>
      </c>
      <c r="L275" s="6"/>
      <c r="M275" s="6"/>
      <c r="N275" s="6"/>
      <c r="O275" s="6"/>
    </row>
    <row r="276" spans="1:15" x14ac:dyDescent="0.5">
      <c r="A276" s="4">
        <v>38353</v>
      </c>
      <c r="B276" s="1">
        <v>48</v>
      </c>
      <c r="C276" s="5">
        <v>6.9417539892473101</v>
      </c>
      <c r="D276" s="5">
        <v>21.725731860215063</v>
      </c>
      <c r="E276" s="5">
        <v>14.941444311827958</v>
      </c>
      <c r="F276" s="5"/>
      <c r="G276" s="6">
        <f t="shared" si="38"/>
        <v>151.45833333333334</v>
      </c>
      <c r="H276" s="6">
        <f t="shared" si="38"/>
        <v>6.9913439258538261</v>
      </c>
      <c r="I276" s="6">
        <f t="shared" si="38"/>
        <v>22.678658673775249</v>
      </c>
      <c r="J276" s="6">
        <f t="shared" si="37"/>
        <v>15.164644149353192</v>
      </c>
      <c r="L276" s="6"/>
      <c r="M276" s="6"/>
      <c r="N276" s="6"/>
      <c r="O276" s="6"/>
    </row>
    <row r="277" spans="1:15" x14ac:dyDescent="0.5">
      <c r="A277" s="4">
        <v>38384</v>
      </c>
      <c r="B277" s="1">
        <v>99.5</v>
      </c>
      <c r="C277" s="5">
        <v>6.8690202142857126</v>
      </c>
      <c r="D277" s="5">
        <v>20.976115404761909</v>
      </c>
      <c r="E277" s="5">
        <v>14.549429142857143</v>
      </c>
      <c r="F277" s="5"/>
      <c r="G277" s="6">
        <f t="shared" si="38"/>
        <v>152.75</v>
      </c>
      <c r="H277" s="6">
        <f t="shared" si="38"/>
        <v>6.9857051994580956</v>
      </c>
      <c r="I277" s="6">
        <f t="shared" si="38"/>
        <v>22.515356684516902</v>
      </c>
      <c r="J277" s="6">
        <f t="shared" si="37"/>
        <v>15.111263350913127</v>
      </c>
      <c r="L277" s="6"/>
      <c r="M277" s="6"/>
      <c r="N277" s="6"/>
      <c r="O277" s="6"/>
    </row>
    <row r="278" spans="1:15" x14ac:dyDescent="0.5">
      <c r="A278" s="4">
        <v>38412</v>
      </c>
      <c r="B278" s="1">
        <v>128</v>
      </c>
      <c r="C278" s="5">
        <v>6.8002217311827913</v>
      </c>
      <c r="D278" s="5">
        <v>20.370153903225816</v>
      </c>
      <c r="E278" s="5">
        <v>14.195086784946238</v>
      </c>
      <c r="F278" s="5"/>
      <c r="G278" s="6">
        <f t="shared" si="38"/>
        <v>154</v>
      </c>
      <c r="H278" s="6">
        <f t="shared" si="38"/>
        <v>6.9791337388846193</v>
      </c>
      <c r="I278" s="6">
        <f t="shared" si="38"/>
        <v>22.382759238280347</v>
      </c>
      <c r="J278" s="6">
        <f t="shared" si="37"/>
        <v>15.067018279228536</v>
      </c>
      <c r="L278" s="6"/>
      <c r="M278" s="6"/>
      <c r="N278" s="6"/>
      <c r="O278" s="6"/>
    </row>
    <row r="279" spans="1:15" x14ac:dyDescent="0.5">
      <c r="A279" s="4">
        <v>38443</v>
      </c>
      <c r="B279" s="1">
        <v>92</v>
      </c>
      <c r="C279" s="5">
        <v>6.7483247777777713</v>
      </c>
      <c r="D279" s="5">
        <v>19.962054888888897</v>
      </c>
      <c r="E279" s="5">
        <v>13.881224777777778</v>
      </c>
      <c r="F279" s="5"/>
      <c r="G279" s="6">
        <f t="shared" si="38"/>
        <v>150.08333333333334</v>
      </c>
      <c r="H279" s="6">
        <f t="shared" si="38"/>
        <v>6.9723247111068405</v>
      </c>
      <c r="I279" s="6">
        <f t="shared" si="38"/>
        <v>22.278703682724792</v>
      </c>
      <c r="J279" s="6">
        <f t="shared" si="37"/>
        <v>15.028440732932244</v>
      </c>
      <c r="L279" s="6"/>
      <c r="M279" s="6"/>
      <c r="N279" s="6"/>
      <c r="O279" s="6"/>
    </row>
    <row r="280" spans="1:15" x14ac:dyDescent="0.5">
      <c r="A280" s="4">
        <v>38473</v>
      </c>
      <c r="B280" s="1">
        <v>135</v>
      </c>
      <c r="C280" s="5">
        <v>6.7866599032258019</v>
      </c>
      <c r="D280" s="5">
        <v>19.72479100000001</v>
      </c>
      <c r="E280" s="5">
        <v>13.796551838709679</v>
      </c>
      <c r="F280" s="5"/>
      <c r="G280" s="6">
        <f t="shared" si="38"/>
        <v>130.33333333333334</v>
      </c>
      <c r="H280" s="6">
        <f t="shared" si="38"/>
        <v>6.96406306236132</v>
      </c>
      <c r="I280" s="6">
        <f t="shared" si="38"/>
        <v>22.183885134337697</v>
      </c>
      <c r="J280" s="6">
        <f t="shared" si="37"/>
        <v>14.995901530423284</v>
      </c>
      <c r="L280" s="6"/>
      <c r="M280" s="6"/>
      <c r="N280" s="6"/>
      <c r="O280" s="6"/>
    </row>
    <row r="281" spans="1:15" x14ac:dyDescent="0.5">
      <c r="A281" s="4">
        <v>38504</v>
      </c>
      <c r="B281" s="1">
        <v>92.5</v>
      </c>
      <c r="C281" s="5">
        <v>6.7680886666666646</v>
      </c>
      <c r="D281" s="5">
        <v>20.261388222222234</v>
      </c>
      <c r="E281" s="5">
        <v>13.95171088888889</v>
      </c>
      <c r="F281" s="5"/>
      <c r="G281" s="6">
        <f t="shared" si="38"/>
        <v>127.95833333333333</v>
      </c>
      <c r="H281" s="6">
        <f t="shared" si="38"/>
        <v>6.9502748679168755</v>
      </c>
      <c r="I281" s="6">
        <f t="shared" si="38"/>
        <v>22.076187217671034</v>
      </c>
      <c r="J281" s="6">
        <f t="shared" si="37"/>
        <v>14.945333243386246</v>
      </c>
      <c r="L281" s="6"/>
      <c r="M281" s="6"/>
      <c r="N281" s="6"/>
      <c r="O281" s="6"/>
    </row>
    <row r="282" spans="1:15" x14ac:dyDescent="0.5">
      <c r="A282" s="4">
        <v>38534</v>
      </c>
      <c r="B282" s="1">
        <v>365</v>
      </c>
      <c r="C282" s="5">
        <v>6.9244018387096746</v>
      </c>
      <c r="D282" s="5">
        <v>21.724791000000014</v>
      </c>
      <c r="E282" s="5">
        <v>14.616457752688174</v>
      </c>
      <c r="F282" s="5"/>
      <c r="G282" s="6">
        <f t="shared" si="38"/>
        <v>150.41666666666666</v>
      </c>
      <c r="H282" s="6">
        <f t="shared" si="38"/>
        <v>6.9466491958738645</v>
      </c>
      <c r="I282" s="6">
        <f t="shared" si="38"/>
        <v>21.996387710502574</v>
      </c>
      <c r="J282" s="6">
        <f t="shared" si="37"/>
        <v>14.900596460232125</v>
      </c>
      <c r="L282" s="6"/>
      <c r="M282" s="6"/>
      <c r="N282" s="6"/>
      <c r="O282" s="6"/>
    </row>
    <row r="283" spans="1:15" x14ac:dyDescent="0.5">
      <c r="A283" s="4">
        <v>38565</v>
      </c>
      <c r="B283" s="1">
        <v>73</v>
      </c>
      <c r="C283" s="5">
        <v>7.0028023763440812</v>
      </c>
      <c r="D283" s="5">
        <v>23.503527559139791</v>
      </c>
      <c r="E283" s="5">
        <v>15.349199688172044</v>
      </c>
      <c r="F283" s="5"/>
      <c r="G283" s="6">
        <f t="shared" si="38"/>
        <v>142.375</v>
      </c>
      <c r="H283" s="6">
        <f t="shared" si="38"/>
        <v>6.9424858894222519</v>
      </c>
      <c r="I283" s="6">
        <f t="shared" si="38"/>
        <v>21.982355593467322</v>
      </c>
      <c r="J283" s="6">
        <f t="shared" si="37"/>
        <v>14.881446594640726</v>
      </c>
      <c r="L283" s="6"/>
      <c r="M283" s="6"/>
      <c r="N283" s="6"/>
      <c r="O283" s="6"/>
    </row>
    <row r="284" spans="1:15" x14ac:dyDescent="0.5">
      <c r="A284" s="4">
        <v>38596</v>
      </c>
      <c r="B284" s="1">
        <v>147</v>
      </c>
      <c r="C284" s="5">
        <v>7.1431442222222206</v>
      </c>
      <c r="D284" s="5">
        <v>25.412304888888901</v>
      </c>
      <c r="E284" s="5">
        <v>16.17634977777778</v>
      </c>
      <c r="F284" s="5"/>
      <c r="G284" s="6">
        <f t="shared" si="38"/>
        <v>127.29166666666667</v>
      </c>
      <c r="H284" s="6">
        <f t="shared" si="38"/>
        <v>6.9402798709037334</v>
      </c>
      <c r="I284" s="6">
        <f t="shared" si="38"/>
        <v>22.047756056430288</v>
      </c>
      <c r="J284" s="6">
        <f t="shared" si="37"/>
        <v>14.892962798344428</v>
      </c>
      <c r="L284" s="6"/>
      <c r="M284" s="6"/>
      <c r="N284" s="6"/>
      <c r="O284" s="6"/>
    </row>
    <row r="285" spans="1:15" x14ac:dyDescent="0.5">
      <c r="A285" s="4">
        <v>38626</v>
      </c>
      <c r="B285" s="1">
        <v>41</v>
      </c>
      <c r="C285" s="5">
        <v>7.1426276451612889</v>
      </c>
      <c r="D285" s="5">
        <v>25.37624261290323</v>
      </c>
      <c r="E285" s="5">
        <v>16.295153989247311</v>
      </c>
      <c r="F285" s="5"/>
      <c r="G285" s="6">
        <f t="shared" si="38"/>
        <v>116.375</v>
      </c>
      <c r="H285" s="6">
        <f t="shared" si="38"/>
        <v>6.938063249039935</v>
      </c>
      <c r="I285" s="6">
        <f t="shared" si="38"/>
        <v>22.108782042093367</v>
      </c>
      <c r="J285" s="6">
        <f t="shared" si="37"/>
        <v>14.906858407663421</v>
      </c>
      <c r="L285" s="6"/>
      <c r="M285" s="6"/>
      <c r="N285" s="6"/>
      <c r="O285" s="6"/>
    </row>
    <row r="286" spans="1:15" x14ac:dyDescent="0.5">
      <c r="A286" s="4">
        <v>38657</v>
      </c>
      <c r="B286" s="1">
        <v>72.5</v>
      </c>
      <c r="C286" s="5">
        <v>7.0547969999999962</v>
      </c>
      <c r="D286" s="5">
        <v>23.944907402116414</v>
      </c>
      <c r="E286" s="5">
        <v>15.77418311111111</v>
      </c>
      <c r="F286" s="5"/>
      <c r="G286" s="6">
        <f t="shared" si="38"/>
        <v>117.29166666666667</v>
      </c>
      <c r="H286" s="6">
        <f t="shared" si="38"/>
        <v>6.9340597768177128</v>
      </c>
      <c r="I286" s="6">
        <f t="shared" si="38"/>
        <v>22.135029010788259</v>
      </c>
      <c r="J286" s="6">
        <f t="shared" si="37"/>
        <v>14.906879240996757</v>
      </c>
      <c r="L286" s="6"/>
      <c r="M286" s="6"/>
      <c r="N286" s="6"/>
      <c r="O286" s="6"/>
    </row>
    <row r="287" spans="1:15" x14ac:dyDescent="0.5">
      <c r="A287" s="4">
        <v>38687</v>
      </c>
      <c r="B287" s="1">
        <v>31</v>
      </c>
      <c r="C287" s="5">
        <v>6.9565120537634364</v>
      </c>
      <c r="D287" s="5">
        <v>22.50687433333335</v>
      </c>
      <c r="E287" s="5">
        <v>15.211135172043011</v>
      </c>
      <c r="F287" s="5"/>
      <c r="G287" s="6">
        <f t="shared" si="38"/>
        <v>110.375</v>
      </c>
      <c r="H287" s="6">
        <f t="shared" si="38"/>
        <v>6.9281962015488956</v>
      </c>
      <c r="I287" s="6">
        <f t="shared" si="38"/>
        <v>22.124073589641309</v>
      </c>
      <c r="J287" s="6">
        <f t="shared" si="37"/>
        <v>14.894827269670595</v>
      </c>
      <c r="L287" s="6"/>
      <c r="M287" s="6"/>
      <c r="N287" s="6"/>
      <c r="O287" s="6"/>
    </row>
    <row r="288" spans="1:15" x14ac:dyDescent="0.5">
      <c r="A288" s="4">
        <v>38718</v>
      </c>
      <c r="B288" s="1">
        <v>61</v>
      </c>
      <c r="C288" s="5">
        <v>6.8721303333333275</v>
      </c>
      <c r="D288" s="5">
        <v>21.428312505376343</v>
      </c>
      <c r="E288" s="5">
        <v>14.695624419354839</v>
      </c>
      <c r="F288" s="5"/>
      <c r="G288" s="6">
        <f t="shared" si="38"/>
        <v>111.45833333333333</v>
      </c>
      <c r="H288" s="6">
        <f t="shared" si="38"/>
        <v>6.9223942302227313</v>
      </c>
      <c r="I288" s="6">
        <f t="shared" si="38"/>
        <v>22.099288643404744</v>
      </c>
      <c r="J288" s="6">
        <f t="shared" si="37"/>
        <v>14.874342278631167</v>
      </c>
      <c r="L288" s="6"/>
      <c r="M288" s="6"/>
      <c r="N288" s="6"/>
      <c r="O288" s="6"/>
    </row>
    <row r="289" spans="1:15" x14ac:dyDescent="0.5">
      <c r="A289" s="4">
        <v>38749</v>
      </c>
      <c r="B289" s="1">
        <v>117.5</v>
      </c>
      <c r="C289" s="5">
        <v>6.7993922380952325</v>
      </c>
      <c r="D289" s="5">
        <v>20.596115404761914</v>
      </c>
      <c r="E289" s="5">
        <v>14.254176166666667</v>
      </c>
      <c r="F289" s="5"/>
      <c r="G289" s="6">
        <f t="shared" si="38"/>
        <v>112.95833333333333</v>
      </c>
      <c r="H289" s="6">
        <f t="shared" si="38"/>
        <v>6.9165918988735244</v>
      </c>
      <c r="I289" s="6">
        <f t="shared" si="38"/>
        <v>22.067621976738078</v>
      </c>
      <c r="J289" s="6">
        <f t="shared" si="37"/>
        <v>14.849737863948626</v>
      </c>
      <c r="L289" s="6"/>
      <c r="M289" s="6"/>
      <c r="N289" s="6"/>
      <c r="O289" s="6"/>
    </row>
    <row r="290" spans="1:15" x14ac:dyDescent="0.5">
      <c r="A290" s="4">
        <v>38777</v>
      </c>
      <c r="B290" s="1">
        <v>101.5</v>
      </c>
      <c r="C290" s="5">
        <v>6.7529502258064493</v>
      </c>
      <c r="D290" s="5">
        <v>19.937532935483876</v>
      </c>
      <c r="E290" s="5">
        <v>13.910597537634409</v>
      </c>
      <c r="F290" s="5"/>
      <c r="G290" s="6">
        <f t="shared" si="38"/>
        <v>110.75</v>
      </c>
      <c r="H290" s="6">
        <f t="shared" si="38"/>
        <v>6.9126526067588285</v>
      </c>
      <c r="I290" s="6">
        <f t="shared" si="38"/>
        <v>22.031570229426251</v>
      </c>
      <c r="J290" s="6">
        <f t="shared" si="37"/>
        <v>14.82603042667264</v>
      </c>
      <c r="L290" s="6"/>
      <c r="M290" s="6"/>
      <c r="N290" s="6"/>
      <c r="O290" s="6"/>
    </row>
    <row r="291" spans="1:15" x14ac:dyDescent="0.5">
      <c r="A291" s="4">
        <v>38808</v>
      </c>
      <c r="B291" s="1">
        <v>215.5</v>
      </c>
      <c r="C291" s="5">
        <v>6.7455331111111052</v>
      </c>
      <c r="D291" s="5">
        <v>19.441457666666675</v>
      </c>
      <c r="E291" s="5">
        <v>13.648113666666669</v>
      </c>
      <c r="F291" s="5"/>
      <c r="G291" s="6">
        <f t="shared" si="38"/>
        <v>121.04166666666667</v>
      </c>
      <c r="H291" s="6">
        <f t="shared" si="38"/>
        <v>6.9124199678699396</v>
      </c>
      <c r="I291" s="6">
        <f t="shared" si="38"/>
        <v>21.988187127574395</v>
      </c>
      <c r="J291" s="6">
        <f t="shared" si="37"/>
        <v>14.806604500746715</v>
      </c>
      <c r="L291" s="6"/>
      <c r="M291" s="6"/>
      <c r="N291" s="6"/>
      <c r="O291" s="6"/>
    </row>
    <row r="292" spans="1:15" x14ac:dyDescent="0.5">
      <c r="A292" s="4">
        <v>38838</v>
      </c>
      <c r="B292" s="1">
        <v>213.5</v>
      </c>
      <c r="C292" s="5">
        <v>6.7828695806451567</v>
      </c>
      <c r="D292" s="5">
        <v>19.311323258064522</v>
      </c>
      <c r="E292" s="5">
        <v>13.570006139784947</v>
      </c>
      <c r="F292" s="5"/>
      <c r="G292" s="6">
        <f t="shared" si="38"/>
        <v>127.58333333333333</v>
      </c>
      <c r="H292" s="6">
        <f t="shared" si="38"/>
        <v>6.9121041076548861</v>
      </c>
      <c r="I292" s="6">
        <f t="shared" si="38"/>
        <v>21.953731482413104</v>
      </c>
      <c r="J292" s="6">
        <f t="shared" si="37"/>
        <v>14.787725692502988</v>
      </c>
      <c r="L292" s="6"/>
      <c r="M292" s="6"/>
      <c r="N292" s="6"/>
      <c r="O292" s="6"/>
    </row>
    <row r="293" spans="1:15" x14ac:dyDescent="0.5">
      <c r="A293" s="4">
        <v>38869</v>
      </c>
      <c r="B293" s="1">
        <v>642</v>
      </c>
      <c r="C293" s="5">
        <v>6.8616164444444419</v>
      </c>
      <c r="D293" s="5">
        <v>19.986777111111117</v>
      </c>
      <c r="E293" s="5">
        <v>13.836391444444445</v>
      </c>
      <c r="F293" s="5"/>
      <c r="G293" s="6">
        <f t="shared" si="38"/>
        <v>173.375</v>
      </c>
      <c r="H293" s="6">
        <f t="shared" si="38"/>
        <v>6.9198980891363666</v>
      </c>
      <c r="I293" s="6">
        <f t="shared" si="38"/>
        <v>21.930847223153847</v>
      </c>
      <c r="J293" s="6">
        <f t="shared" si="37"/>
        <v>14.778115738799285</v>
      </c>
      <c r="L293" s="6"/>
      <c r="M293" s="6"/>
      <c r="N293" s="6"/>
      <c r="O293" s="6"/>
    </row>
    <row r="294" spans="1:15" x14ac:dyDescent="0.5">
      <c r="A294" s="4">
        <v>38899</v>
      </c>
      <c r="B294" s="1">
        <v>789</v>
      </c>
      <c r="C294" s="5">
        <v>7.3182996881720399</v>
      </c>
      <c r="D294" s="5">
        <v>24.420535047619062</v>
      </c>
      <c r="E294" s="5">
        <v>16.149670118279573</v>
      </c>
      <c r="F294" s="5"/>
      <c r="G294" s="6">
        <f t="shared" si="38"/>
        <v>208.70833333333334</v>
      </c>
      <c r="H294" s="6">
        <f t="shared" si="38"/>
        <v>6.9527229099248986</v>
      </c>
      <c r="I294" s="6">
        <f t="shared" si="38"/>
        <v>22.155492560455432</v>
      </c>
      <c r="J294" s="6">
        <f t="shared" si="37"/>
        <v>14.9058834359319</v>
      </c>
      <c r="L294" s="6"/>
      <c r="M294" s="6"/>
      <c r="N294" s="6"/>
      <c r="O294" s="6"/>
    </row>
    <row r="295" spans="1:15" x14ac:dyDescent="0.5">
      <c r="A295" s="4">
        <v>38930</v>
      </c>
      <c r="B295" s="1">
        <v>427.5</v>
      </c>
      <c r="C295" s="5">
        <v>7.5944152795698896</v>
      </c>
      <c r="D295" s="5">
        <v>30.547597972789131</v>
      </c>
      <c r="E295" s="5">
        <v>18.760826032258066</v>
      </c>
      <c r="F295" s="5"/>
      <c r="G295" s="6">
        <f t="shared" si="38"/>
        <v>238.25</v>
      </c>
      <c r="H295" s="6">
        <f t="shared" si="38"/>
        <v>7.0020239851937163</v>
      </c>
      <c r="I295" s="6">
        <f t="shared" si="38"/>
        <v>22.742498428259548</v>
      </c>
      <c r="J295" s="6">
        <f t="shared" si="37"/>
        <v>15.190185631272405</v>
      </c>
      <c r="L295" s="6"/>
      <c r="M295" s="6"/>
      <c r="N295" s="6"/>
      <c r="O295" s="6"/>
    </row>
    <row r="296" spans="1:15" x14ac:dyDescent="0.5">
      <c r="A296" s="4">
        <v>38961</v>
      </c>
      <c r="B296" s="1">
        <v>93.5</v>
      </c>
      <c r="C296" s="5">
        <v>7.6795192222222202</v>
      </c>
      <c r="D296" s="5">
        <v>32.706554888888896</v>
      </c>
      <c r="E296" s="5">
        <v>19.445988666666668</v>
      </c>
      <c r="F296" s="5"/>
      <c r="G296" s="6">
        <f t="shared" si="38"/>
        <v>233.79166666666666</v>
      </c>
      <c r="H296" s="6">
        <f t="shared" si="38"/>
        <v>7.0467219018603826</v>
      </c>
      <c r="I296" s="6">
        <f t="shared" si="38"/>
        <v>23.350352594926211</v>
      </c>
      <c r="J296" s="6">
        <f t="shared" si="37"/>
        <v>15.462655538679812</v>
      </c>
      <c r="L296" s="6"/>
      <c r="M296" s="6"/>
      <c r="N296" s="6"/>
      <c r="O296" s="6"/>
    </row>
    <row r="297" spans="1:15" x14ac:dyDescent="0.5">
      <c r="A297" s="4">
        <v>38991</v>
      </c>
      <c r="B297" s="1">
        <v>11</v>
      </c>
      <c r="C297" s="5">
        <v>7.5845245596072868</v>
      </c>
      <c r="D297" s="5">
        <v>32.182761430107526</v>
      </c>
      <c r="E297" s="5">
        <v>19.29750613978495</v>
      </c>
      <c r="F297" s="5"/>
      <c r="G297" s="6">
        <f t="shared" si="38"/>
        <v>231.29166666666666</v>
      </c>
      <c r="H297" s="6">
        <f t="shared" si="38"/>
        <v>7.083546644730883</v>
      </c>
      <c r="I297" s="6">
        <f t="shared" si="38"/>
        <v>23.917562496359903</v>
      </c>
      <c r="J297" s="6">
        <f t="shared" si="37"/>
        <v>15.712851551224611</v>
      </c>
      <c r="L297" s="6"/>
      <c r="M297" s="6"/>
      <c r="N297" s="6"/>
      <c r="O297" s="6"/>
    </row>
    <row r="298" spans="1:15" x14ac:dyDescent="0.5">
      <c r="A298" s="4">
        <v>39022</v>
      </c>
      <c r="B298" s="1">
        <v>81</v>
      </c>
      <c r="C298" s="5">
        <v>7.4545033492063455</v>
      </c>
      <c r="D298" s="5">
        <v>30.068679528138542</v>
      </c>
      <c r="E298" s="5">
        <v>18.58646088888889</v>
      </c>
      <c r="F298" s="5"/>
      <c r="G298" s="6">
        <f t="shared" si="38"/>
        <v>232</v>
      </c>
      <c r="H298" s="6">
        <f t="shared" si="38"/>
        <v>7.1168555071647441</v>
      </c>
      <c r="I298" s="6">
        <f t="shared" si="38"/>
        <v>24.427876840195083</v>
      </c>
      <c r="J298" s="6">
        <f t="shared" si="37"/>
        <v>15.947208032706095</v>
      </c>
      <c r="L298" s="6"/>
      <c r="M298" s="6"/>
      <c r="N298" s="6"/>
      <c r="O298" s="6"/>
    </row>
    <row r="299" spans="1:15" x14ac:dyDescent="0.5">
      <c r="A299" s="4">
        <v>39052</v>
      </c>
      <c r="B299" s="1">
        <v>47.5</v>
      </c>
      <c r="C299" s="5">
        <v>7.3273319462365558</v>
      </c>
      <c r="D299" s="5">
        <v>28.081874333333339</v>
      </c>
      <c r="E299" s="5">
        <v>17.770180870967742</v>
      </c>
      <c r="F299" s="5"/>
      <c r="G299" s="6">
        <f t="shared" si="38"/>
        <v>233.375</v>
      </c>
      <c r="H299" s="6">
        <f t="shared" si="38"/>
        <v>7.1477571648708382</v>
      </c>
      <c r="I299" s="6">
        <f t="shared" si="38"/>
        <v>24.892460173528409</v>
      </c>
      <c r="J299" s="6">
        <f t="shared" si="37"/>
        <v>16.160461840949825</v>
      </c>
      <c r="L299" s="6"/>
      <c r="M299" s="6"/>
      <c r="N299" s="6"/>
      <c r="O299" s="6"/>
    </row>
    <row r="300" spans="1:15" x14ac:dyDescent="0.5">
      <c r="A300" s="4">
        <v>39083</v>
      </c>
      <c r="B300" s="1">
        <v>33.5</v>
      </c>
      <c r="C300" s="5">
        <v>7.2134744193548341</v>
      </c>
      <c r="D300" s="5">
        <v>26.144791000000016</v>
      </c>
      <c r="E300" s="5">
        <v>16.989549150537634</v>
      </c>
      <c r="F300" s="5"/>
      <c r="G300" s="6">
        <f t="shared" si="38"/>
        <v>231.08333333333334</v>
      </c>
      <c r="H300" s="6">
        <f t="shared" si="38"/>
        <v>7.1762025053726299</v>
      </c>
      <c r="I300" s="6">
        <f t="shared" si="38"/>
        <v>25.285500048080383</v>
      </c>
      <c r="J300" s="6">
        <f t="shared" si="37"/>
        <v>16.351622235215057</v>
      </c>
      <c r="L300" s="6"/>
      <c r="M300" s="6"/>
      <c r="N300" s="6"/>
      <c r="O300" s="6"/>
    </row>
    <row r="301" spans="1:15" x14ac:dyDescent="0.5">
      <c r="A301" s="4">
        <v>39114</v>
      </c>
      <c r="B301" s="1">
        <v>76</v>
      </c>
      <c r="C301" s="5">
        <v>7.1029041428571391</v>
      </c>
      <c r="D301" s="5">
        <v>24.50187433333334</v>
      </c>
      <c r="E301" s="5">
        <v>16.275054142857144</v>
      </c>
      <c r="F301" s="5"/>
      <c r="G301" s="6">
        <f t="shared" si="38"/>
        <v>227.625</v>
      </c>
      <c r="H301" s="6">
        <f t="shared" si="38"/>
        <v>7.2014951641027887</v>
      </c>
      <c r="I301" s="6">
        <f t="shared" si="38"/>
        <v>25.610979958794669</v>
      </c>
      <c r="J301" s="6">
        <f t="shared" si="37"/>
        <v>16.52002873323093</v>
      </c>
      <c r="L301" s="6"/>
      <c r="M301" s="6"/>
      <c r="N301" s="6"/>
      <c r="O301" s="6"/>
    </row>
    <row r="302" spans="1:15" x14ac:dyDescent="0.5">
      <c r="A302" s="4">
        <v>39142</v>
      </c>
      <c r="B302" s="1">
        <v>104.5</v>
      </c>
      <c r="C302" s="5">
        <v>7.0124260322580607</v>
      </c>
      <c r="D302" s="5">
        <v>23.086148526881729</v>
      </c>
      <c r="E302" s="5">
        <v>15.646148612903225</v>
      </c>
      <c r="F302" s="5"/>
      <c r="G302" s="6">
        <f t="shared" si="38"/>
        <v>227.875</v>
      </c>
      <c r="H302" s="6">
        <f t="shared" si="38"/>
        <v>7.2231181479737572</v>
      </c>
      <c r="I302" s="6">
        <f t="shared" si="38"/>
        <v>25.873364591411157</v>
      </c>
      <c r="J302" s="6">
        <f t="shared" si="37"/>
        <v>16.664657989503329</v>
      </c>
      <c r="L302" s="6"/>
      <c r="M302" s="6"/>
      <c r="N302" s="6"/>
      <c r="O302" s="6"/>
    </row>
    <row r="303" spans="1:15" x14ac:dyDescent="0.5">
      <c r="A303" s="4">
        <v>39173</v>
      </c>
      <c r="B303" s="1">
        <v>108.5</v>
      </c>
      <c r="C303" s="5">
        <v>6.9449358888888835</v>
      </c>
      <c r="D303" s="5">
        <v>21.932082666666677</v>
      </c>
      <c r="E303" s="5">
        <v>15.092169222222225</v>
      </c>
      <c r="F303" s="5"/>
      <c r="G303" s="6">
        <f t="shared" si="38"/>
        <v>218.95833333333334</v>
      </c>
      <c r="H303" s="6">
        <f t="shared" si="38"/>
        <v>7.239735046121905</v>
      </c>
      <c r="I303" s="6">
        <f t="shared" si="38"/>
        <v>26.080916674744497</v>
      </c>
      <c r="J303" s="6">
        <f t="shared" si="37"/>
        <v>16.784995952466296</v>
      </c>
      <c r="L303" s="6"/>
      <c r="M303" s="6"/>
      <c r="N303" s="6"/>
      <c r="O303" s="6"/>
    </row>
    <row r="304" spans="1:15" x14ac:dyDescent="0.5">
      <c r="A304" s="4">
        <v>39203</v>
      </c>
      <c r="B304" s="1">
        <v>141</v>
      </c>
      <c r="C304" s="5">
        <v>6.9460685053763394</v>
      </c>
      <c r="D304" s="5">
        <v>21.279858204301082</v>
      </c>
      <c r="E304" s="5">
        <v>14.763191623655914</v>
      </c>
      <c r="F304" s="5"/>
      <c r="G304" s="6">
        <f t="shared" si="38"/>
        <v>212.91666666666666</v>
      </c>
      <c r="H304" s="6">
        <f t="shared" si="38"/>
        <v>7.25333495651617</v>
      </c>
      <c r="I304" s="6">
        <f t="shared" si="38"/>
        <v>26.244961253597541</v>
      </c>
      <c r="J304" s="6">
        <f t="shared" si="37"/>
        <v>16.884428076122205</v>
      </c>
      <c r="L304" s="6"/>
      <c r="M304" s="6"/>
      <c r="N304" s="6"/>
      <c r="O304" s="6"/>
    </row>
    <row r="305" spans="1:15" x14ac:dyDescent="0.5">
      <c r="A305" s="4">
        <v>39234</v>
      </c>
      <c r="B305" s="1">
        <v>184</v>
      </c>
      <c r="C305" s="5">
        <v>6.9182414444444422</v>
      </c>
      <c r="D305" s="5">
        <v>21.341291000000009</v>
      </c>
      <c r="E305" s="5">
        <v>14.686530333333334</v>
      </c>
      <c r="F305" s="5"/>
      <c r="G305" s="6">
        <f t="shared" si="38"/>
        <v>174.75</v>
      </c>
      <c r="H305" s="6">
        <f t="shared" si="38"/>
        <v>7.2580537065161712</v>
      </c>
      <c r="I305" s="6">
        <f t="shared" si="38"/>
        <v>26.357837411004951</v>
      </c>
      <c r="J305" s="6">
        <f t="shared" si="37"/>
        <v>16.955272983529614</v>
      </c>
      <c r="L305" s="6"/>
      <c r="M305" s="6"/>
      <c r="N305" s="6"/>
      <c r="O305" s="6"/>
    </row>
    <row r="306" spans="1:15" x14ac:dyDescent="0.5">
      <c r="A306" s="4">
        <v>39264</v>
      </c>
      <c r="B306" s="1">
        <v>674.5</v>
      </c>
      <c r="C306" s="5">
        <v>7.2532593655913935</v>
      </c>
      <c r="D306" s="5">
        <v>24.212479172043022</v>
      </c>
      <c r="E306" s="5">
        <v>15.938567967741935</v>
      </c>
      <c r="F306" s="5"/>
      <c r="G306" s="6">
        <f t="shared" si="38"/>
        <v>165.20833333333334</v>
      </c>
      <c r="H306" s="6">
        <f t="shared" si="38"/>
        <v>7.2526336796344495</v>
      </c>
      <c r="I306" s="6">
        <f t="shared" si="38"/>
        <v>26.340499421373607</v>
      </c>
      <c r="J306" s="6">
        <f t="shared" si="37"/>
        <v>16.937681137651477</v>
      </c>
      <c r="L306" s="6"/>
      <c r="M306" s="6"/>
      <c r="N306" s="6"/>
      <c r="O306" s="6"/>
    </row>
    <row r="307" spans="1:15" x14ac:dyDescent="0.5">
      <c r="A307" s="4">
        <v>39295</v>
      </c>
      <c r="B307" s="1">
        <v>175.5</v>
      </c>
      <c r="C307" s="5">
        <v>7.2876142043010708</v>
      </c>
      <c r="D307" s="5">
        <v>26.971713043010762</v>
      </c>
      <c r="E307" s="5">
        <v>17.024670118279573</v>
      </c>
      <c r="F307" s="5"/>
      <c r="G307" s="6">
        <f t="shared" si="38"/>
        <v>144.20833333333334</v>
      </c>
      <c r="H307" s="6">
        <f t="shared" si="38"/>
        <v>7.2270669233620479</v>
      </c>
      <c r="I307" s="6">
        <f t="shared" si="38"/>
        <v>26.042509010558746</v>
      </c>
      <c r="J307" s="6">
        <f t="shared" si="37"/>
        <v>16.793001478153268</v>
      </c>
      <c r="L307" s="6"/>
      <c r="M307" s="6"/>
      <c r="N307" s="6"/>
      <c r="O307" s="6"/>
    </row>
    <row r="308" spans="1:15" x14ac:dyDescent="0.5">
      <c r="A308" s="4">
        <v>39326</v>
      </c>
      <c r="B308" s="1">
        <v>80.5</v>
      </c>
      <c r="C308" s="5">
        <v>7.3607831111111048</v>
      </c>
      <c r="D308" s="5">
        <v>28.939249333333336</v>
      </c>
      <c r="E308" s="5">
        <v>17.740377555555554</v>
      </c>
      <c r="F308" s="5"/>
      <c r="G308" s="6">
        <f t="shared" si="38"/>
        <v>143.125</v>
      </c>
      <c r="H308" s="6">
        <f t="shared" si="38"/>
        <v>7.2005055807694545</v>
      </c>
      <c r="I308" s="6">
        <f t="shared" si="38"/>
        <v>25.728566880929119</v>
      </c>
      <c r="J308" s="6">
        <f t="shared" si="37"/>
        <v>16.65086721889401</v>
      </c>
      <c r="L308" s="6"/>
      <c r="M308" s="6"/>
      <c r="N308" s="6"/>
      <c r="O308" s="6"/>
    </row>
    <row r="309" spans="1:15" x14ac:dyDescent="0.5">
      <c r="A309" s="4">
        <v>39356</v>
      </c>
      <c r="B309" s="1">
        <v>134.5</v>
      </c>
      <c r="C309" s="5">
        <v>7.3615926989247278</v>
      </c>
      <c r="D309" s="5">
        <v>28.67211626881722</v>
      </c>
      <c r="E309" s="5">
        <v>17.774844849462369</v>
      </c>
      <c r="F309" s="5"/>
      <c r="G309" s="6">
        <f t="shared" si="38"/>
        <v>153.41666666666666</v>
      </c>
      <c r="H309" s="6">
        <f t="shared" si="38"/>
        <v>7.1819279257125741</v>
      </c>
      <c r="I309" s="6">
        <f t="shared" si="38"/>
        <v>25.436013117488258</v>
      </c>
      <c r="J309" s="6">
        <f t="shared" si="37"/>
        <v>16.523978778033797</v>
      </c>
      <c r="L309" s="6"/>
      <c r="M309" s="6"/>
      <c r="N309" s="6"/>
      <c r="O309" s="6"/>
    </row>
    <row r="310" spans="1:15" x14ac:dyDescent="0.5">
      <c r="A310" s="4">
        <v>39387</v>
      </c>
      <c r="B310" s="1">
        <v>31</v>
      </c>
      <c r="C310" s="5">
        <v>7.2625747777777763</v>
      </c>
      <c r="D310" s="5">
        <v>26.582360444444451</v>
      </c>
      <c r="E310" s="5">
        <v>17.055210888888887</v>
      </c>
      <c r="F310" s="5"/>
      <c r="G310" s="6">
        <f t="shared" si="38"/>
        <v>149.25</v>
      </c>
      <c r="H310" s="6">
        <f t="shared" si="38"/>
        <v>7.1659338780935258</v>
      </c>
      <c r="I310" s="6">
        <f t="shared" si="38"/>
        <v>25.14548652718042</v>
      </c>
      <c r="J310" s="6">
        <f t="shared" si="37"/>
        <v>16.396374611367129</v>
      </c>
      <c r="L310" s="6"/>
      <c r="M310" s="6"/>
      <c r="N310" s="6"/>
      <c r="O310" s="6"/>
    </row>
    <row r="311" spans="1:15" x14ac:dyDescent="0.5">
      <c r="A311" s="4">
        <v>39417</v>
      </c>
      <c r="B311" s="1">
        <v>67</v>
      </c>
      <c r="C311" s="5">
        <v>7.144939473118276</v>
      </c>
      <c r="D311" s="5">
        <v>24.638514118279581</v>
      </c>
      <c r="E311" s="5">
        <v>16.283554526881723</v>
      </c>
      <c r="F311" s="5"/>
      <c r="G311" s="6">
        <f t="shared" si="38"/>
        <v>150.875</v>
      </c>
      <c r="H311" s="6">
        <f t="shared" si="38"/>
        <v>7.1507345053336699</v>
      </c>
      <c r="I311" s="6">
        <f t="shared" si="38"/>
        <v>24.858539842592606</v>
      </c>
      <c r="J311" s="6">
        <f t="shared" si="37"/>
        <v>16.272489082693294</v>
      </c>
      <c r="L311" s="6"/>
      <c r="M311" s="6"/>
      <c r="N311" s="6"/>
      <c r="O311" s="6"/>
    </row>
    <row r="312" spans="1:15" x14ac:dyDescent="0.5">
      <c r="A312" s="4">
        <v>39448</v>
      </c>
      <c r="B312" s="1">
        <v>136.5</v>
      </c>
      <c r="C312" s="5">
        <v>7.0505711935483815</v>
      </c>
      <c r="D312" s="5">
        <v>23.08843347311829</v>
      </c>
      <c r="E312" s="5">
        <v>15.619051838709677</v>
      </c>
      <c r="F312" s="5"/>
      <c r="G312" s="6">
        <f t="shared" si="38"/>
        <v>159.45833333333334</v>
      </c>
      <c r="H312" s="6">
        <f t="shared" si="38"/>
        <v>7.1371592365164647</v>
      </c>
      <c r="I312" s="6">
        <f t="shared" si="38"/>
        <v>24.603843382019125</v>
      </c>
      <c r="J312" s="6">
        <f t="shared" si="37"/>
        <v>16.158280973374296</v>
      </c>
      <c r="L312" s="6"/>
      <c r="M312" s="6"/>
      <c r="N312" s="6"/>
      <c r="O312" s="6"/>
    </row>
    <row r="313" spans="1:15" x14ac:dyDescent="0.5">
      <c r="A313" s="4">
        <v>39479</v>
      </c>
      <c r="B313" s="1">
        <v>43.5</v>
      </c>
      <c r="C313" s="5">
        <v>6.9549607931034458</v>
      </c>
      <c r="D313" s="5">
        <v>21.861500770114951</v>
      </c>
      <c r="E313" s="5">
        <v>15.079725735632184</v>
      </c>
      <c r="F313" s="5"/>
      <c r="G313" s="6">
        <f t="shared" si="38"/>
        <v>156.75</v>
      </c>
      <c r="H313" s="6">
        <f t="shared" si="38"/>
        <v>7.1248306240369912</v>
      </c>
      <c r="I313" s="6">
        <f t="shared" si="38"/>
        <v>24.383812251750925</v>
      </c>
      <c r="J313" s="6">
        <f t="shared" si="37"/>
        <v>16.058670272772215</v>
      </c>
      <c r="L313" s="6"/>
      <c r="M313" s="6"/>
      <c r="N313" s="6"/>
      <c r="O313" s="6"/>
    </row>
    <row r="314" spans="1:15" x14ac:dyDescent="0.5">
      <c r="A314" s="4">
        <v>39508</v>
      </c>
      <c r="B314" s="1">
        <v>90.5</v>
      </c>
      <c r="C314" s="5">
        <v>6.8750738817204278</v>
      </c>
      <c r="D314" s="5">
        <v>20.966538311827964</v>
      </c>
      <c r="E314" s="5">
        <v>14.590153989247312</v>
      </c>
      <c r="F314" s="5"/>
      <c r="G314" s="6">
        <f t="shared" si="38"/>
        <v>155.58333333333334</v>
      </c>
      <c r="H314" s="6">
        <f t="shared" si="38"/>
        <v>7.1133846114921893</v>
      </c>
      <c r="I314" s="6">
        <f t="shared" si="38"/>
        <v>24.20717806716311</v>
      </c>
      <c r="J314" s="6">
        <f t="shared" si="37"/>
        <v>15.970670720800891</v>
      </c>
      <c r="L314" s="6"/>
      <c r="M314" s="6"/>
      <c r="N314" s="6"/>
      <c r="O314" s="6"/>
    </row>
    <row r="315" spans="1:15" x14ac:dyDescent="0.5">
      <c r="A315" s="4">
        <v>39539</v>
      </c>
      <c r="B315" s="1">
        <v>115.5</v>
      </c>
      <c r="C315" s="5">
        <v>6.8356997777777746</v>
      </c>
      <c r="D315" s="5">
        <v>20.250124333333343</v>
      </c>
      <c r="E315" s="5">
        <v>14.216697</v>
      </c>
      <c r="F315" s="5"/>
      <c r="G315" s="6">
        <f t="shared" si="38"/>
        <v>156.16666666666666</v>
      </c>
      <c r="H315" s="6">
        <f t="shared" si="38"/>
        <v>7.1042816022329296</v>
      </c>
      <c r="I315" s="6">
        <f t="shared" si="38"/>
        <v>24.067014872718669</v>
      </c>
      <c r="J315" s="6">
        <f t="shared" si="37"/>
        <v>15.897714702282373</v>
      </c>
      <c r="L315" s="6"/>
      <c r="M315" s="6"/>
      <c r="N315" s="6"/>
      <c r="O315" s="6"/>
    </row>
    <row r="316" spans="1:15" x14ac:dyDescent="0.5">
      <c r="A316" s="4">
        <v>39569</v>
      </c>
      <c r="B316" s="1">
        <v>209.5</v>
      </c>
      <c r="C316" s="5">
        <v>6.8389314086021473</v>
      </c>
      <c r="D316" s="5">
        <v>19.778366268817209</v>
      </c>
      <c r="E316" s="5">
        <v>13.922976569892473</v>
      </c>
      <c r="F316" s="5"/>
      <c r="G316" s="6">
        <f t="shared" si="38"/>
        <v>161.875</v>
      </c>
      <c r="H316" s="6">
        <f t="shared" si="38"/>
        <v>7.0953535108350811</v>
      </c>
      <c r="I316" s="6">
        <f t="shared" si="38"/>
        <v>23.941890544761677</v>
      </c>
      <c r="J316" s="6">
        <f t="shared" si="37"/>
        <v>15.827696781135421</v>
      </c>
      <c r="L316" s="6"/>
      <c r="M316" s="6"/>
      <c r="N316" s="6"/>
      <c r="O316" s="6"/>
    </row>
    <row r="317" spans="1:15" x14ac:dyDescent="0.5">
      <c r="A317" s="4">
        <v>39600</v>
      </c>
      <c r="B317" s="1">
        <v>776</v>
      </c>
      <c r="C317" s="5">
        <v>7.0222553333333293</v>
      </c>
      <c r="D317" s="5">
        <v>20.386818777777787</v>
      </c>
      <c r="E317" s="5">
        <v>14.211863666666666</v>
      </c>
      <c r="F317" s="5"/>
      <c r="G317" s="6">
        <f t="shared" si="38"/>
        <v>211.20833333333334</v>
      </c>
      <c r="H317" s="6">
        <f t="shared" si="38"/>
        <v>7.1040213349091559</v>
      </c>
      <c r="I317" s="6">
        <f t="shared" si="38"/>
        <v>23.862351192909827</v>
      </c>
      <c r="J317" s="6">
        <f t="shared" si="37"/>
        <v>15.788141225579864</v>
      </c>
      <c r="L317" s="6"/>
      <c r="M317" s="6"/>
      <c r="N317" s="6"/>
      <c r="O317" s="6"/>
    </row>
    <row r="318" spans="1:15" x14ac:dyDescent="0.5">
      <c r="A318" s="4">
        <v>39630</v>
      </c>
      <c r="B318" s="1">
        <v>204</v>
      </c>
      <c r="C318" s="5">
        <v>7.2311625913978457</v>
      </c>
      <c r="D318" s="5">
        <v>24.047008592592608</v>
      </c>
      <c r="E318" s="5">
        <v>15.865812591397852</v>
      </c>
      <c r="F318" s="5"/>
      <c r="G318" s="6">
        <f t="shared" si="38"/>
        <v>172</v>
      </c>
      <c r="H318" s="6">
        <f t="shared" si="38"/>
        <v>7.1021799370596925</v>
      </c>
      <c r="I318" s="6">
        <f t="shared" si="38"/>
        <v>23.848561977955622</v>
      </c>
      <c r="J318" s="6">
        <f t="shared" si="37"/>
        <v>15.782078277551191</v>
      </c>
      <c r="L318" s="6"/>
      <c r="M318" s="6"/>
      <c r="N318" s="6"/>
      <c r="O318" s="6"/>
    </row>
    <row r="319" spans="1:15" x14ac:dyDescent="0.5">
      <c r="A319" s="4">
        <v>39661</v>
      </c>
      <c r="B319" s="1">
        <v>226.5</v>
      </c>
      <c r="C319" s="5">
        <v>7.2542136666666641</v>
      </c>
      <c r="D319" s="5">
        <v>25.686047265664168</v>
      </c>
      <c r="E319" s="5">
        <v>16.561699688172041</v>
      </c>
      <c r="F319" s="5"/>
      <c r="G319" s="6">
        <f t="shared" si="38"/>
        <v>176.25</v>
      </c>
      <c r="H319" s="6">
        <f t="shared" si="38"/>
        <v>7.0993965589234911</v>
      </c>
      <c r="I319" s="6">
        <f t="shared" si="38"/>
        <v>23.741423163176744</v>
      </c>
      <c r="J319" s="6">
        <f t="shared" si="37"/>
        <v>15.743497408375562</v>
      </c>
      <c r="L319" s="6"/>
      <c r="M319" s="6"/>
      <c r="N319" s="6"/>
      <c r="O319" s="6"/>
    </row>
    <row r="320" spans="1:15" x14ac:dyDescent="0.5">
      <c r="A320" s="4">
        <v>39692</v>
      </c>
      <c r="B320" s="1">
        <v>294.5</v>
      </c>
      <c r="C320" s="5">
        <v>7.3274497777777743</v>
      </c>
      <c r="D320" s="5">
        <v>27.136394669319202</v>
      </c>
      <c r="E320" s="5">
        <v>17.051919222222224</v>
      </c>
      <c r="F320" s="5"/>
      <c r="G320" s="6">
        <f t="shared" si="38"/>
        <v>194.08333333333334</v>
      </c>
      <c r="H320" s="6">
        <f t="shared" si="38"/>
        <v>7.0966187811457138</v>
      </c>
      <c r="I320" s="6">
        <f t="shared" si="38"/>
        <v>23.591185274508899</v>
      </c>
      <c r="J320" s="6">
        <f t="shared" si="37"/>
        <v>15.686125880597785</v>
      </c>
      <c r="L320" s="6"/>
      <c r="M320" s="6"/>
      <c r="N320" s="6"/>
      <c r="O320" s="6"/>
    </row>
    <row r="321" spans="1:15" x14ac:dyDescent="0.5">
      <c r="A321" s="4">
        <v>39722</v>
      </c>
      <c r="B321" s="1">
        <v>62</v>
      </c>
      <c r="C321" s="5">
        <v>7.3645362473118228</v>
      </c>
      <c r="D321" s="5">
        <v>27.455234548387104</v>
      </c>
      <c r="E321" s="5">
        <v>17.221753451612908</v>
      </c>
      <c r="F321" s="5"/>
      <c r="G321" s="6">
        <f t="shared" si="38"/>
        <v>188.04166666666666</v>
      </c>
      <c r="H321" s="6">
        <f t="shared" si="38"/>
        <v>7.0968640768446383</v>
      </c>
      <c r="I321" s="6">
        <f t="shared" si="38"/>
        <v>23.489778464473059</v>
      </c>
      <c r="J321" s="6">
        <f t="shared" si="37"/>
        <v>15.640034930776993</v>
      </c>
      <c r="L321" s="6"/>
      <c r="M321" s="6"/>
      <c r="N321" s="6"/>
      <c r="O321" s="6"/>
    </row>
    <row r="322" spans="1:15" x14ac:dyDescent="0.5">
      <c r="A322" s="4">
        <v>39753</v>
      </c>
      <c r="B322" s="1">
        <v>88.5</v>
      </c>
      <c r="C322" s="5">
        <v>7.2799358888888843</v>
      </c>
      <c r="D322" s="5">
        <v>26.25399933333334</v>
      </c>
      <c r="E322" s="5">
        <v>16.817947</v>
      </c>
      <c r="F322" s="5"/>
      <c r="G322" s="6">
        <f t="shared" si="38"/>
        <v>192.83333333333334</v>
      </c>
      <c r="H322" s="6">
        <f t="shared" si="38"/>
        <v>7.0983108361038978</v>
      </c>
      <c r="I322" s="6">
        <f t="shared" si="38"/>
        <v>23.462415038547132</v>
      </c>
      <c r="J322" s="6">
        <f t="shared" si="37"/>
        <v>15.620262940036254</v>
      </c>
      <c r="L322" s="6"/>
      <c r="M322" s="6"/>
      <c r="N322" s="6"/>
      <c r="O322" s="6"/>
    </row>
    <row r="323" spans="1:15" x14ac:dyDescent="0.5">
      <c r="A323" s="4">
        <v>39783</v>
      </c>
      <c r="B323" s="1">
        <v>106</v>
      </c>
      <c r="C323" s="5">
        <v>7.1847647419354805</v>
      </c>
      <c r="D323" s="5">
        <v>24.817909279569903</v>
      </c>
      <c r="E323" s="5">
        <v>16.276350225806453</v>
      </c>
      <c r="F323" s="5"/>
      <c r="G323" s="6">
        <f t="shared" si="38"/>
        <v>196.08333333333334</v>
      </c>
      <c r="H323" s="6">
        <f t="shared" si="38"/>
        <v>7.1016296085053314</v>
      </c>
      <c r="I323" s="6">
        <f t="shared" si="38"/>
        <v>23.477364635321322</v>
      </c>
      <c r="J323" s="6">
        <f t="shared" si="37"/>
        <v>15.619662581613317</v>
      </c>
      <c r="L323" s="6"/>
      <c r="M323" s="6"/>
      <c r="N323" s="6"/>
      <c r="O323" s="6"/>
    </row>
    <row r="324" spans="1:15" x14ac:dyDescent="0.5">
      <c r="A324" s="4">
        <v>39814</v>
      </c>
      <c r="B324" s="1">
        <v>54.5</v>
      </c>
      <c r="C324" s="5">
        <v>7.0923050645161236</v>
      </c>
      <c r="D324" s="5">
        <v>23.599065193548398</v>
      </c>
      <c r="E324" s="5">
        <v>15.767156677419354</v>
      </c>
      <c r="F324" s="5"/>
      <c r="G324" s="6">
        <f t="shared" si="38"/>
        <v>189.25</v>
      </c>
      <c r="H324" s="6">
        <f t="shared" si="38"/>
        <v>7.105107431085977</v>
      </c>
      <c r="I324" s="6">
        <f t="shared" si="38"/>
        <v>23.519917278690496</v>
      </c>
      <c r="J324" s="6">
        <f t="shared" si="37"/>
        <v>15.63200465150579</v>
      </c>
      <c r="L324" s="6"/>
      <c r="M324" s="6"/>
      <c r="N324" s="6"/>
      <c r="O324" s="6"/>
    </row>
    <row r="325" spans="1:15" x14ac:dyDescent="0.5">
      <c r="A325" s="4">
        <v>39845</v>
      </c>
      <c r="B325" s="1">
        <v>133.5</v>
      </c>
      <c r="C325" s="5">
        <v>7.0336928333333315</v>
      </c>
      <c r="D325" s="5">
        <v>22.659374333333339</v>
      </c>
      <c r="E325" s="5">
        <v>15.326646404761906</v>
      </c>
      <c r="F325" s="5"/>
      <c r="G325" s="6">
        <f t="shared" si="38"/>
        <v>196.75</v>
      </c>
      <c r="H325" s="6">
        <f t="shared" si="38"/>
        <v>7.1116684344384673</v>
      </c>
      <c r="I325" s="6">
        <f t="shared" si="38"/>
        <v>23.586406742292027</v>
      </c>
      <c r="J325" s="6">
        <f t="shared" si="37"/>
        <v>15.652581373933266</v>
      </c>
      <c r="L325" s="6"/>
      <c r="M325" s="6"/>
      <c r="N325" s="6"/>
      <c r="O325" s="6"/>
    </row>
    <row r="326" spans="1:15" x14ac:dyDescent="0.5">
      <c r="A326" s="4">
        <v>39873</v>
      </c>
      <c r="B326" s="1">
        <v>144.5</v>
      </c>
      <c r="C326" s="5">
        <v>6.9957459247311808</v>
      </c>
      <c r="D326" s="5">
        <v>22.02433645454547</v>
      </c>
      <c r="E326" s="5">
        <v>15.000718505376346</v>
      </c>
      <c r="F326" s="5"/>
      <c r="G326" s="6">
        <f t="shared" si="38"/>
        <v>201.25</v>
      </c>
      <c r="H326" s="6">
        <f t="shared" si="38"/>
        <v>7.1217244380226967</v>
      </c>
      <c r="I326" s="6">
        <f t="shared" si="38"/>
        <v>23.674556587518484</v>
      </c>
      <c r="J326" s="6">
        <f t="shared" si="37"/>
        <v>15.686795083610685</v>
      </c>
      <c r="L326" s="6"/>
      <c r="M326" s="6"/>
      <c r="N326" s="6"/>
      <c r="O326" s="6"/>
    </row>
    <row r="327" spans="1:15" x14ac:dyDescent="0.5">
      <c r="A327" s="4">
        <v>39904</v>
      </c>
      <c r="B327" s="1">
        <v>80</v>
      </c>
      <c r="C327" s="5">
        <v>6.944241444444442</v>
      </c>
      <c r="D327" s="5">
        <v>21.340888222222233</v>
      </c>
      <c r="E327" s="5">
        <v>14.717988666666667</v>
      </c>
      <c r="F327" s="5"/>
      <c r="G327" s="6">
        <f t="shared" si="38"/>
        <v>198.29166666666666</v>
      </c>
      <c r="H327" s="6">
        <f t="shared" si="38"/>
        <v>7.130769576911586</v>
      </c>
      <c r="I327" s="6">
        <f t="shared" si="38"/>
        <v>23.76545357825923</v>
      </c>
      <c r="J327" s="6">
        <f t="shared" si="37"/>
        <v>15.728569389166239</v>
      </c>
      <c r="L327" s="6"/>
      <c r="M327" s="6"/>
      <c r="N327" s="6"/>
      <c r="O327" s="6"/>
    </row>
    <row r="328" spans="1:15" x14ac:dyDescent="0.5">
      <c r="A328" s="4">
        <v>39934</v>
      </c>
      <c r="B328" s="1">
        <v>69</v>
      </c>
      <c r="C328" s="5">
        <v>6.9199797956989224</v>
      </c>
      <c r="D328" s="5">
        <v>20.947640462365602</v>
      </c>
      <c r="E328" s="5">
        <v>14.535422806451614</v>
      </c>
      <c r="F328" s="5"/>
      <c r="G328" s="6">
        <f t="shared" si="38"/>
        <v>186.58333333333334</v>
      </c>
      <c r="H328" s="6">
        <f t="shared" si="38"/>
        <v>7.1375236091696506</v>
      </c>
      <c r="I328" s="6">
        <f t="shared" si="38"/>
        <v>23.862893094388266</v>
      </c>
      <c r="J328" s="6">
        <f t="shared" si="37"/>
        <v>15.779606575546168</v>
      </c>
      <c r="L328" s="6"/>
      <c r="M328" s="6"/>
      <c r="N328" s="6"/>
      <c r="O328" s="6"/>
    </row>
    <row r="329" spans="1:15" x14ac:dyDescent="0.5">
      <c r="A329" s="4">
        <v>39965</v>
      </c>
      <c r="B329" s="1">
        <v>246</v>
      </c>
      <c r="C329" s="5">
        <v>6.8988942222222187</v>
      </c>
      <c r="D329" s="5">
        <v>21.348443777777778</v>
      </c>
      <c r="E329" s="5">
        <v>14.554474777777779</v>
      </c>
      <c r="F329" s="5"/>
      <c r="G329" s="6">
        <f t="shared" si="38"/>
        <v>142.41666666666666</v>
      </c>
      <c r="H329" s="6">
        <f t="shared" si="38"/>
        <v>7.1272435165770576</v>
      </c>
      <c r="I329" s="6">
        <f t="shared" si="38"/>
        <v>23.943028511054933</v>
      </c>
      <c r="J329" s="6">
        <f t="shared" si="37"/>
        <v>15.808157501472095</v>
      </c>
      <c r="L329" s="6"/>
      <c r="M329" s="6"/>
      <c r="N329" s="6"/>
      <c r="O329" s="6"/>
    </row>
    <row r="330" spans="1:15" x14ac:dyDescent="0.5">
      <c r="A330" s="4">
        <v>39995</v>
      </c>
      <c r="B330" s="1">
        <v>429</v>
      </c>
      <c r="C330" s="5">
        <v>7.0871437741935441</v>
      </c>
      <c r="D330" s="5">
        <v>22.895153903225815</v>
      </c>
      <c r="E330" s="5">
        <v>15.191834096774194</v>
      </c>
      <c r="F330" s="5"/>
      <c r="G330" s="6">
        <f t="shared" si="38"/>
        <v>161.16666666666666</v>
      </c>
      <c r="H330" s="6">
        <f t="shared" si="38"/>
        <v>7.1152419484767</v>
      </c>
      <c r="I330" s="6">
        <f t="shared" si="38"/>
        <v>23.847040620274367</v>
      </c>
      <c r="J330" s="6">
        <f t="shared" si="37"/>
        <v>15.751992626920122</v>
      </c>
      <c r="L330" s="6"/>
      <c r="M330" s="6"/>
      <c r="N330" s="6"/>
      <c r="O330" s="6"/>
    </row>
    <row r="331" spans="1:15" x14ac:dyDescent="0.5">
      <c r="A331" s="4">
        <v>40026</v>
      </c>
      <c r="B331" s="1">
        <v>66.5</v>
      </c>
      <c r="C331" s="5">
        <v>7.1851142043010707</v>
      </c>
      <c r="D331" s="5">
        <v>24.835584010752694</v>
      </c>
      <c r="E331" s="5">
        <v>16.002331408602153</v>
      </c>
      <c r="F331" s="5"/>
      <c r="G331" s="6">
        <f t="shared" si="38"/>
        <v>147.83333333333334</v>
      </c>
      <c r="H331" s="6">
        <f t="shared" si="38"/>
        <v>7.1094836599462354</v>
      </c>
      <c r="I331" s="6">
        <f t="shared" si="38"/>
        <v>23.776168682365078</v>
      </c>
      <c r="J331" s="6">
        <f t="shared" si="37"/>
        <v>15.705378603622632</v>
      </c>
      <c r="L331" s="6"/>
      <c r="M331" s="6"/>
      <c r="N331" s="6"/>
      <c r="O331" s="6"/>
    </row>
    <row r="332" spans="1:15" x14ac:dyDescent="0.5">
      <c r="A332" s="4">
        <v>40057</v>
      </c>
      <c r="B332" s="1">
        <v>34</v>
      </c>
      <c r="C332" s="5">
        <v>7.2351164444444409</v>
      </c>
      <c r="D332" s="5">
        <v>26.567499333333338</v>
      </c>
      <c r="E332" s="5">
        <v>16.673988666666666</v>
      </c>
      <c r="F332" s="5"/>
      <c r="G332" s="6">
        <f t="shared" si="38"/>
        <v>126.125</v>
      </c>
      <c r="H332" s="6">
        <f t="shared" si="38"/>
        <v>7.101789215501789</v>
      </c>
      <c r="I332" s="6">
        <f t="shared" si="38"/>
        <v>23.728760737699584</v>
      </c>
      <c r="J332" s="6">
        <f t="shared" si="37"/>
        <v>15.673884390659671</v>
      </c>
      <c r="L332" s="6"/>
      <c r="M332" s="6"/>
      <c r="N332" s="6"/>
      <c r="O332" s="6"/>
    </row>
    <row r="333" spans="1:15" x14ac:dyDescent="0.5">
      <c r="A333" s="4">
        <v>40087</v>
      </c>
      <c r="B333" s="1">
        <v>129.5</v>
      </c>
      <c r="C333" s="5">
        <v>7.2564851720430088</v>
      </c>
      <c r="D333" s="5">
        <v>26.649199602150546</v>
      </c>
      <c r="E333" s="5">
        <v>16.854723881720432</v>
      </c>
      <c r="F333" s="5"/>
      <c r="G333" s="6">
        <f t="shared" si="38"/>
        <v>131.75</v>
      </c>
      <c r="H333" s="6">
        <f t="shared" si="38"/>
        <v>7.0927849592293875</v>
      </c>
      <c r="I333" s="6">
        <f t="shared" si="38"/>
        <v>23.661591158846534</v>
      </c>
      <c r="J333" s="6">
        <f t="shared" si="37"/>
        <v>15.643298593168629</v>
      </c>
      <c r="L333" s="6"/>
      <c r="M333" s="6"/>
      <c r="N333" s="6"/>
      <c r="O333" s="6"/>
    </row>
    <row r="334" spans="1:15" x14ac:dyDescent="0.5">
      <c r="A334" s="4">
        <v>40118</v>
      </c>
      <c r="B334" s="1">
        <v>112</v>
      </c>
      <c r="C334" s="5">
        <v>7.1614497777777739</v>
      </c>
      <c r="D334" s="5">
        <v>25.088568777777784</v>
      </c>
      <c r="E334" s="5">
        <v>16.212127555555554</v>
      </c>
      <c r="F334" s="5"/>
      <c r="G334" s="6">
        <f t="shared" si="38"/>
        <v>133.70833333333334</v>
      </c>
      <c r="H334" s="6">
        <f t="shared" si="38"/>
        <v>7.0829111166367946</v>
      </c>
      <c r="I334" s="6">
        <f t="shared" si="38"/>
        <v>23.564471945883572</v>
      </c>
      <c r="J334" s="6">
        <f t="shared" si="38"/>
        <v>15.592813639464923</v>
      </c>
      <c r="L334" s="6"/>
      <c r="M334" s="6"/>
      <c r="N334" s="6"/>
      <c r="O334" s="6"/>
    </row>
    <row r="335" spans="1:15" x14ac:dyDescent="0.5">
      <c r="A335" s="4">
        <v>40148</v>
      </c>
      <c r="B335" s="1">
        <v>67</v>
      </c>
      <c r="C335" s="5">
        <v>7.0608265698924715</v>
      </c>
      <c r="D335" s="5">
        <v>23.801242612903241</v>
      </c>
      <c r="E335" s="5">
        <v>15.549145924731182</v>
      </c>
      <c r="F335" s="5"/>
      <c r="G335" s="6">
        <f t="shared" ref="G335:J398" si="39">AVERAGE(B324:B335)</f>
        <v>130.45833333333334</v>
      </c>
      <c r="H335" s="6">
        <f t="shared" si="39"/>
        <v>7.0725829356332106</v>
      </c>
      <c r="I335" s="6">
        <f t="shared" si="39"/>
        <v>23.479749723661353</v>
      </c>
      <c r="J335" s="6">
        <f t="shared" si="39"/>
        <v>15.532213281041988</v>
      </c>
      <c r="L335" s="6"/>
      <c r="M335" s="6"/>
      <c r="N335" s="6"/>
      <c r="O335" s="6"/>
    </row>
    <row r="336" spans="1:15" x14ac:dyDescent="0.5">
      <c r="A336" s="4">
        <v>40179</v>
      </c>
      <c r="B336" s="1">
        <v>47.5</v>
      </c>
      <c r="C336" s="5">
        <v>6.9568077526881682</v>
      </c>
      <c r="D336" s="5">
        <v>22.524629709677431</v>
      </c>
      <c r="E336" s="5">
        <v>14.958554526881723</v>
      </c>
      <c r="F336" s="5"/>
      <c r="G336" s="6">
        <f t="shared" si="39"/>
        <v>129.875</v>
      </c>
      <c r="H336" s="6">
        <f t="shared" si="39"/>
        <v>7.0612914929808808</v>
      </c>
      <c r="I336" s="6">
        <f t="shared" si="39"/>
        <v>23.390213433338769</v>
      </c>
      <c r="J336" s="6">
        <f t="shared" si="39"/>
        <v>15.464829768497188</v>
      </c>
      <c r="L336" s="6"/>
      <c r="M336" s="6"/>
      <c r="N336" s="6"/>
      <c r="O336" s="6"/>
    </row>
    <row r="337" spans="1:15" x14ac:dyDescent="0.5">
      <c r="A337" s="4">
        <v>40210</v>
      </c>
      <c r="B337" s="1">
        <v>192</v>
      </c>
      <c r="C337" s="5">
        <v>6.9151362857142828</v>
      </c>
      <c r="D337" s="5">
        <v>21.670609452380958</v>
      </c>
      <c r="E337" s="5">
        <v>14.518283309523813</v>
      </c>
      <c r="F337" s="5"/>
      <c r="G337" s="6">
        <f t="shared" si="39"/>
        <v>134.75</v>
      </c>
      <c r="H337" s="6">
        <f t="shared" si="39"/>
        <v>7.0514117806792944</v>
      </c>
      <c r="I337" s="6">
        <f t="shared" si="39"/>
        <v>23.307816359926079</v>
      </c>
      <c r="J337" s="6">
        <f t="shared" si="39"/>
        <v>15.397466177227344</v>
      </c>
      <c r="L337" s="6"/>
      <c r="M337" s="6"/>
      <c r="N337" s="6"/>
      <c r="O337" s="6"/>
    </row>
    <row r="338" spans="1:15" x14ac:dyDescent="0.5">
      <c r="A338" s="4">
        <v>40238</v>
      </c>
      <c r="B338" s="1">
        <v>176.5</v>
      </c>
      <c r="C338" s="5">
        <v>6.8910013010752644</v>
      </c>
      <c r="D338" s="5">
        <v>21.03933401075269</v>
      </c>
      <c r="E338" s="5">
        <v>14.205086784946236</v>
      </c>
      <c r="F338" s="5"/>
      <c r="G338" s="6">
        <f t="shared" si="39"/>
        <v>137.41666666666666</v>
      </c>
      <c r="H338" s="6">
        <f t="shared" si="39"/>
        <v>7.0426830620413012</v>
      </c>
      <c r="I338" s="6">
        <f t="shared" si="39"/>
        <v>23.225732822943343</v>
      </c>
      <c r="J338" s="6">
        <f t="shared" si="39"/>
        <v>15.331163533858168</v>
      </c>
      <c r="L338" s="6"/>
      <c r="M338" s="6"/>
      <c r="N338" s="6"/>
      <c r="O338" s="6"/>
    </row>
    <row r="339" spans="1:15" x14ac:dyDescent="0.5">
      <c r="A339" s="4">
        <v>40269</v>
      </c>
      <c r="B339" s="1">
        <v>225.5</v>
      </c>
      <c r="C339" s="5">
        <v>6.88374144444444</v>
      </c>
      <c r="D339" s="5">
        <v>20.623346555555568</v>
      </c>
      <c r="E339" s="5">
        <v>13.993696999999999</v>
      </c>
      <c r="F339" s="5"/>
      <c r="G339" s="6">
        <f t="shared" si="39"/>
        <v>149.54166666666666</v>
      </c>
      <c r="H339" s="6">
        <f t="shared" si="39"/>
        <v>7.0376413953746342</v>
      </c>
      <c r="I339" s="6">
        <f t="shared" si="39"/>
        <v>23.165937684054455</v>
      </c>
      <c r="J339" s="6">
        <f t="shared" si="39"/>
        <v>15.270805894969278</v>
      </c>
      <c r="L339" s="6"/>
      <c r="M339" s="6"/>
      <c r="N339" s="6"/>
      <c r="O339" s="6"/>
    </row>
    <row r="340" spans="1:15" x14ac:dyDescent="0.5">
      <c r="A340" s="4">
        <v>40299</v>
      </c>
      <c r="B340" s="1">
        <v>284.5</v>
      </c>
      <c r="C340" s="5">
        <v>6.9481383978494611</v>
      </c>
      <c r="D340" s="5">
        <v>20.394858204301077</v>
      </c>
      <c r="E340" s="5">
        <v>14.023406677419356</v>
      </c>
      <c r="F340" s="5"/>
      <c r="G340" s="6">
        <f t="shared" si="39"/>
        <v>167.5</v>
      </c>
      <c r="H340" s="6">
        <f t="shared" si="39"/>
        <v>7.0399879455538459</v>
      </c>
      <c r="I340" s="6">
        <f t="shared" si="39"/>
        <v>23.119872495882415</v>
      </c>
      <c r="J340" s="6">
        <f t="shared" si="39"/>
        <v>15.228137884216592</v>
      </c>
      <c r="L340" s="6"/>
      <c r="M340" s="6"/>
      <c r="N340" s="6"/>
      <c r="O340" s="6"/>
    </row>
    <row r="341" spans="1:15" x14ac:dyDescent="0.5">
      <c r="A341" s="4">
        <v>40330</v>
      </c>
      <c r="B341" s="1">
        <v>401</v>
      </c>
      <c r="C341" s="5">
        <v>7.0290053333333278</v>
      </c>
      <c r="D341" s="5">
        <v>21.489499333333349</v>
      </c>
      <c r="E341" s="5">
        <v>14.566391444444445</v>
      </c>
      <c r="F341" s="5"/>
      <c r="G341" s="6">
        <f t="shared" si="39"/>
        <v>180.41666666666666</v>
      </c>
      <c r="H341" s="6">
        <f t="shared" si="39"/>
        <v>7.0508305381464389</v>
      </c>
      <c r="I341" s="6">
        <f t="shared" si="39"/>
        <v>23.131627125512043</v>
      </c>
      <c r="J341" s="6">
        <f t="shared" si="39"/>
        <v>15.229130939772146</v>
      </c>
      <c r="L341" s="6"/>
      <c r="M341" s="6"/>
      <c r="N341" s="6"/>
      <c r="O341" s="6"/>
    </row>
    <row r="342" spans="1:15" x14ac:dyDescent="0.5">
      <c r="A342" s="4">
        <v>40360</v>
      </c>
      <c r="B342" s="1">
        <v>362</v>
      </c>
      <c r="C342" s="5">
        <v>7.3210281827956942</v>
      </c>
      <c r="D342" s="5">
        <v>23.568791000000008</v>
      </c>
      <c r="E342" s="5">
        <v>15.914791086021506</v>
      </c>
      <c r="F342" s="5"/>
      <c r="G342" s="6">
        <f t="shared" si="39"/>
        <v>174.83333333333334</v>
      </c>
      <c r="H342" s="6">
        <f t="shared" si="39"/>
        <v>7.0703209055299512</v>
      </c>
      <c r="I342" s="6">
        <f t="shared" si="39"/>
        <v>23.187763550243222</v>
      </c>
      <c r="J342" s="6">
        <f t="shared" si="39"/>
        <v>15.289377355542754</v>
      </c>
      <c r="L342" s="6"/>
      <c r="M342" s="6"/>
      <c r="N342" s="6"/>
      <c r="O342" s="6"/>
    </row>
    <row r="343" spans="1:15" x14ac:dyDescent="0.5">
      <c r="A343" s="4">
        <v>40391</v>
      </c>
      <c r="B343" s="1">
        <v>58</v>
      </c>
      <c r="C343" s="5">
        <v>7.3916733440860165</v>
      </c>
      <c r="D343" s="5">
        <v>27.490584010752691</v>
      </c>
      <c r="E343" s="5">
        <v>17.103393236559143</v>
      </c>
      <c r="F343" s="5"/>
      <c r="G343" s="6">
        <f t="shared" si="39"/>
        <v>174.125</v>
      </c>
      <c r="H343" s="6">
        <f t="shared" si="39"/>
        <v>7.0875341671786964</v>
      </c>
      <c r="I343" s="6">
        <f t="shared" si="39"/>
        <v>23.409013550243227</v>
      </c>
      <c r="J343" s="6">
        <f t="shared" si="39"/>
        <v>15.381132507872502</v>
      </c>
      <c r="L343" s="6"/>
      <c r="M343" s="6"/>
      <c r="N343" s="6"/>
      <c r="O343" s="6"/>
    </row>
    <row r="344" spans="1:15" x14ac:dyDescent="0.5">
      <c r="A344" s="4">
        <v>40422</v>
      </c>
      <c r="B344" s="1">
        <v>118</v>
      </c>
      <c r="C344" s="5">
        <v>7.4536997777777749</v>
      </c>
      <c r="D344" s="5">
        <v>29.334638222222228</v>
      </c>
      <c r="E344" s="5">
        <v>17.775530333333336</v>
      </c>
      <c r="F344" s="5"/>
      <c r="G344" s="6">
        <f t="shared" si="39"/>
        <v>181.125</v>
      </c>
      <c r="H344" s="6">
        <f t="shared" si="39"/>
        <v>7.1057494449564738</v>
      </c>
      <c r="I344" s="6">
        <f t="shared" si="39"/>
        <v>23.639608457650628</v>
      </c>
      <c r="J344" s="6">
        <f t="shared" si="39"/>
        <v>15.472927646761391</v>
      </c>
      <c r="L344" s="6"/>
      <c r="M344" s="6"/>
      <c r="N344" s="6"/>
      <c r="O344" s="6"/>
    </row>
    <row r="345" spans="1:15" x14ac:dyDescent="0.5">
      <c r="A345" s="4">
        <v>40452</v>
      </c>
      <c r="B345" s="1">
        <v>85</v>
      </c>
      <c r="C345" s="5">
        <v>7.4429636666666639</v>
      </c>
      <c r="D345" s="5">
        <v>29.058124333333346</v>
      </c>
      <c r="E345" s="5">
        <v>17.815651301075267</v>
      </c>
      <c r="F345" s="5"/>
      <c r="G345" s="6">
        <f t="shared" si="39"/>
        <v>177.41666666666666</v>
      </c>
      <c r="H345" s="6">
        <f t="shared" si="39"/>
        <v>7.1212893195084446</v>
      </c>
      <c r="I345" s="6">
        <f t="shared" si="39"/>
        <v>23.840352185249198</v>
      </c>
      <c r="J345" s="6">
        <f t="shared" si="39"/>
        <v>15.553004931707628</v>
      </c>
      <c r="L345" s="6"/>
      <c r="M345" s="6"/>
      <c r="N345" s="6"/>
      <c r="O345" s="6"/>
    </row>
    <row r="346" spans="1:15" x14ac:dyDescent="0.5">
      <c r="A346" s="4">
        <v>40483</v>
      </c>
      <c r="B346" s="1">
        <v>29</v>
      </c>
      <c r="C346" s="5">
        <v>7.314144222222219</v>
      </c>
      <c r="D346" s="5">
        <v>26.9113048888889</v>
      </c>
      <c r="E346" s="5">
        <v>17.071266444444444</v>
      </c>
      <c r="F346" s="5"/>
      <c r="G346" s="6">
        <f t="shared" si="39"/>
        <v>170.5</v>
      </c>
      <c r="H346" s="6">
        <f t="shared" si="39"/>
        <v>7.1340138565454829</v>
      </c>
      <c r="I346" s="6">
        <f t="shared" si="39"/>
        <v>23.992246861175122</v>
      </c>
      <c r="J346" s="6">
        <f t="shared" si="39"/>
        <v>15.624599839115037</v>
      </c>
      <c r="L346" s="6"/>
      <c r="M346" s="6"/>
      <c r="N346" s="6"/>
      <c r="O346" s="6"/>
    </row>
    <row r="347" spans="1:15" x14ac:dyDescent="0.5">
      <c r="A347" s="4">
        <v>40513</v>
      </c>
      <c r="B347" s="1">
        <v>93.5</v>
      </c>
      <c r="C347" s="5">
        <v>7.1925335591397799</v>
      </c>
      <c r="D347" s="5">
        <v>24.965584010752689</v>
      </c>
      <c r="E347" s="5">
        <v>16.303299150537633</v>
      </c>
      <c r="F347" s="5"/>
      <c r="G347" s="6">
        <f t="shared" si="39"/>
        <v>172.70833333333334</v>
      </c>
      <c r="H347" s="6">
        <f t="shared" si="39"/>
        <v>7.1449894389827584</v>
      </c>
      <c r="I347" s="6">
        <f t="shared" si="39"/>
        <v>24.089275310995912</v>
      </c>
      <c r="J347" s="6">
        <f t="shared" si="39"/>
        <v>15.687445941265574</v>
      </c>
      <c r="L347" s="6"/>
      <c r="M347" s="6"/>
      <c r="N347" s="6"/>
      <c r="O347" s="6"/>
    </row>
    <row r="348" spans="1:15" x14ac:dyDescent="0.5">
      <c r="A348" s="4">
        <v>40544</v>
      </c>
      <c r="B348" s="1">
        <v>2.5</v>
      </c>
      <c r="C348" s="5">
        <v>7.067399150537633</v>
      </c>
      <c r="D348" s="5">
        <v>23.295489924731186</v>
      </c>
      <c r="E348" s="5">
        <v>15.601901301075269</v>
      </c>
      <c r="F348" s="5"/>
      <c r="G348" s="6">
        <f t="shared" si="39"/>
        <v>168.95833333333334</v>
      </c>
      <c r="H348" s="6">
        <f t="shared" si="39"/>
        <v>7.1542053888035468</v>
      </c>
      <c r="I348" s="6">
        <f t="shared" si="39"/>
        <v>24.15351366225039</v>
      </c>
      <c r="J348" s="6">
        <f t="shared" si="39"/>
        <v>15.741058172448369</v>
      </c>
      <c r="L348" s="6"/>
      <c r="M348" s="6"/>
      <c r="N348" s="6"/>
      <c r="O348" s="6"/>
    </row>
    <row r="349" spans="1:15" x14ac:dyDescent="0.5">
      <c r="A349" s="4">
        <v>40575</v>
      </c>
      <c r="B349" s="1">
        <v>39.5</v>
      </c>
      <c r="C349" s="5">
        <v>6.9568255973084865</v>
      </c>
      <c r="D349" s="5">
        <v>22.117410047619057</v>
      </c>
      <c r="E349" s="5">
        <v>15.025411285714288</v>
      </c>
      <c r="F349" s="5"/>
      <c r="G349" s="6">
        <f t="shared" si="39"/>
        <v>156.25</v>
      </c>
      <c r="H349" s="6">
        <f t="shared" si="39"/>
        <v>7.1576794981030636</v>
      </c>
      <c r="I349" s="6">
        <f t="shared" si="39"/>
        <v>24.190747045186896</v>
      </c>
      <c r="J349" s="6">
        <f t="shared" si="39"/>
        <v>15.783318837130908</v>
      </c>
      <c r="L349" s="6"/>
      <c r="M349" s="6"/>
      <c r="N349" s="6"/>
      <c r="O349" s="6"/>
    </row>
    <row r="350" spans="1:15" x14ac:dyDescent="0.5">
      <c r="A350" s="4">
        <v>40603</v>
      </c>
      <c r="B350" s="1">
        <v>50.5</v>
      </c>
      <c r="C350" s="5">
        <v>6.8730577526881698</v>
      </c>
      <c r="D350" s="5">
        <v>21.139817881720436</v>
      </c>
      <c r="E350" s="5">
        <v>14.474266892473118</v>
      </c>
      <c r="F350" s="5"/>
      <c r="G350" s="6">
        <f t="shared" si="39"/>
        <v>145.75</v>
      </c>
      <c r="H350" s="6">
        <f t="shared" si="39"/>
        <v>7.1561842024041384</v>
      </c>
      <c r="I350" s="6">
        <f t="shared" si="39"/>
        <v>24.199120701100878</v>
      </c>
      <c r="J350" s="6">
        <f t="shared" si="39"/>
        <v>15.80575051275815</v>
      </c>
      <c r="L350" s="6"/>
      <c r="M350" s="6"/>
      <c r="N350" s="6"/>
      <c r="O350" s="6"/>
    </row>
    <row r="351" spans="1:15" x14ac:dyDescent="0.5">
      <c r="A351" s="4">
        <v>40634</v>
      </c>
      <c r="B351" s="1">
        <v>67</v>
      </c>
      <c r="C351" s="5">
        <v>6.8267136666666639</v>
      </c>
      <c r="D351" s="5">
        <v>20.35812433333335</v>
      </c>
      <c r="E351" s="5">
        <v>14.049030333333334</v>
      </c>
      <c r="F351" s="5"/>
      <c r="G351" s="6">
        <f t="shared" si="39"/>
        <v>132.54166666666666</v>
      </c>
      <c r="H351" s="6">
        <f t="shared" si="39"/>
        <v>7.1514318875893244</v>
      </c>
      <c r="I351" s="6">
        <f t="shared" si="39"/>
        <v>24.177018849249027</v>
      </c>
      <c r="J351" s="6">
        <f t="shared" si="39"/>
        <v>15.810361623869261</v>
      </c>
      <c r="L351" s="6"/>
      <c r="M351" s="6"/>
      <c r="N351" s="6"/>
      <c r="O351" s="6"/>
    </row>
    <row r="352" spans="1:15" x14ac:dyDescent="0.5">
      <c r="A352" s="4">
        <v>40664</v>
      </c>
      <c r="B352" s="1">
        <v>125.5</v>
      </c>
      <c r="C352" s="5">
        <v>6.8208131290322545</v>
      </c>
      <c r="D352" s="5">
        <v>19.833944225806459</v>
      </c>
      <c r="E352" s="5">
        <v>13.766229258064516</v>
      </c>
      <c r="F352" s="5"/>
      <c r="G352" s="6">
        <f t="shared" si="39"/>
        <v>119.29166666666667</v>
      </c>
      <c r="H352" s="6">
        <f t="shared" si="39"/>
        <v>7.1408214485212236</v>
      </c>
      <c r="I352" s="6">
        <f t="shared" si="39"/>
        <v>24.130276017707811</v>
      </c>
      <c r="J352" s="6">
        <f t="shared" si="39"/>
        <v>15.788930172256357</v>
      </c>
      <c r="L352" s="6"/>
      <c r="M352" s="6"/>
      <c r="N352" s="6"/>
      <c r="O352" s="6"/>
    </row>
    <row r="353" spans="1:15" x14ac:dyDescent="0.5">
      <c r="A353" s="4">
        <v>40695</v>
      </c>
      <c r="B353" s="1">
        <v>928.5</v>
      </c>
      <c r="C353" s="5">
        <v>7.0593247777777748</v>
      </c>
      <c r="D353" s="5">
        <v>20.503138222222226</v>
      </c>
      <c r="E353" s="5">
        <v>14.11555811111111</v>
      </c>
      <c r="F353" s="5"/>
      <c r="G353" s="6">
        <f t="shared" si="39"/>
        <v>163.25</v>
      </c>
      <c r="H353" s="6">
        <f t="shared" si="39"/>
        <v>7.1433480688915951</v>
      </c>
      <c r="I353" s="6">
        <f t="shared" si="39"/>
        <v>24.048079258448549</v>
      </c>
      <c r="J353" s="6">
        <f t="shared" si="39"/>
        <v>15.751360727811914</v>
      </c>
      <c r="L353" s="6"/>
      <c r="M353" s="6"/>
      <c r="N353" s="6"/>
      <c r="O353" s="6"/>
    </row>
    <row r="354" spans="1:15" x14ac:dyDescent="0.5">
      <c r="A354" s="4">
        <v>40725</v>
      </c>
      <c r="B354" s="1">
        <v>253</v>
      </c>
      <c r="C354" s="5">
        <v>7.272305064516126</v>
      </c>
      <c r="D354" s="5">
        <v>24.366242612903239</v>
      </c>
      <c r="E354" s="5">
        <v>15.893715817204299</v>
      </c>
      <c r="F354" s="5"/>
      <c r="G354" s="6">
        <f t="shared" si="39"/>
        <v>154.16666666666666</v>
      </c>
      <c r="H354" s="6">
        <f t="shared" si="39"/>
        <v>7.1392878090349647</v>
      </c>
      <c r="I354" s="6">
        <f t="shared" si="39"/>
        <v>24.114533559523817</v>
      </c>
      <c r="J354" s="6">
        <f t="shared" si="39"/>
        <v>15.749604455410484</v>
      </c>
      <c r="L354" s="6"/>
      <c r="M354" s="6"/>
      <c r="N354" s="6"/>
      <c r="O354" s="6"/>
    </row>
    <row r="355" spans="1:15" x14ac:dyDescent="0.5">
      <c r="A355" s="4">
        <v>40756</v>
      </c>
      <c r="B355" s="1">
        <v>384.5</v>
      </c>
      <c r="C355" s="5">
        <v>7.3373319462365538</v>
      </c>
      <c r="D355" s="5">
        <v>26.519307129032267</v>
      </c>
      <c r="E355" s="5">
        <v>16.746430870967743</v>
      </c>
      <c r="F355" s="5"/>
      <c r="G355" s="6">
        <f t="shared" si="39"/>
        <v>181.375</v>
      </c>
      <c r="H355" s="6">
        <f t="shared" si="39"/>
        <v>7.1347593592141756</v>
      </c>
      <c r="I355" s="6">
        <f t="shared" si="39"/>
        <v>24.033593819380446</v>
      </c>
      <c r="J355" s="6">
        <f t="shared" si="39"/>
        <v>15.7198575916112</v>
      </c>
      <c r="L355" s="6"/>
      <c r="M355" s="6"/>
      <c r="N355" s="6"/>
      <c r="O355" s="6"/>
    </row>
    <row r="356" spans="1:15" x14ac:dyDescent="0.5">
      <c r="A356" s="4">
        <v>40787</v>
      </c>
      <c r="B356" s="1">
        <v>75.5</v>
      </c>
      <c r="C356" s="5">
        <v>7.4026303333333292</v>
      </c>
      <c r="D356" s="5">
        <v>27.802902111111127</v>
      </c>
      <c r="E356" s="5">
        <v>17.236474777777779</v>
      </c>
      <c r="F356" s="5"/>
      <c r="G356" s="6">
        <f t="shared" si="39"/>
        <v>177.83333333333334</v>
      </c>
      <c r="H356" s="6">
        <f t="shared" si="39"/>
        <v>7.1305035721771377</v>
      </c>
      <c r="I356" s="6">
        <f t="shared" si="39"/>
        <v>23.905949143454524</v>
      </c>
      <c r="J356" s="6">
        <f t="shared" si="39"/>
        <v>15.6749362953149</v>
      </c>
      <c r="L356" s="6"/>
      <c r="M356" s="6"/>
      <c r="N356" s="6"/>
      <c r="O356" s="6"/>
    </row>
    <row r="357" spans="1:15" x14ac:dyDescent="0.5">
      <c r="A357" s="4">
        <v>40817</v>
      </c>
      <c r="B357" s="1">
        <v>107</v>
      </c>
      <c r="C357" s="5">
        <v>7.4085147419354804</v>
      </c>
      <c r="D357" s="5">
        <v>28.209181273704807</v>
      </c>
      <c r="E357" s="5">
        <v>17.44172656989247</v>
      </c>
      <c r="F357" s="5"/>
      <c r="G357" s="6">
        <f t="shared" si="39"/>
        <v>179.66666666666666</v>
      </c>
      <c r="H357" s="6">
        <f t="shared" si="39"/>
        <v>7.1276328284495394</v>
      </c>
      <c r="I357" s="6">
        <f t="shared" si="39"/>
        <v>23.835203888485477</v>
      </c>
      <c r="J357" s="6">
        <f t="shared" si="39"/>
        <v>15.643775901049667</v>
      </c>
      <c r="L357" s="6"/>
      <c r="M357" s="6"/>
      <c r="N357" s="6"/>
      <c r="O357" s="6"/>
    </row>
    <row r="358" spans="1:15" x14ac:dyDescent="0.5">
      <c r="A358" s="4">
        <v>40848</v>
      </c>
      <c r="B358" s="1">
        <v>88.5</v>
      </c>
      <c r="C358" s="5">
        <v>7.3213803333333294</v>
      </c>
      <c r="D358" s="5">
        <v>26.767291000000007</v>
      </c>
      <c r="E358" s="5">
        <v>16.950875571428572</v>
      </c>
      <c r="F358" s="5"/>
      <c r="G358" s="6">
        <f t="shared" si="39"/>
        <v>184.625</v>
      </c>
      <c r="H358" s="6">
        <f t="shared" si="39"/>
        <v>7.1282358377087975</v>
      </c>
      <c r="I358" s="6">
        <f t="shared" si="39"/>
        <v>23.823202731078069</v>
      </c>
      <c r="J358" s="6">
        <f t="shared" si="39"/>
        <v>15.633743328298344</v>
      </c>
      <c r="L358" s="6"/>
      <c r="M358" s="6"/>
      <c r="N358" s="6"/>
      <c r="O358" s="6"/>
    </row>
    <row r="359" spans="1:15" x14ac:dyDescent="0.5">
      <c r="A359" s="4">
        <v>40878</v>
      </c>
      <c r="B359" s="1">
        <v>32.5</v>
      </c>
      <c r="C359" s="5">
        <v>7.2028292580645115</v>
      </c>
      <c r="D359" s="5">
        <v>25.014159279569899</v>
      </c>
      <c r="E359" s="5">
        <v>16.286874419354838</v>
      </c>
      <c r="F359" s="5"/>
      <c r="G359" s="6">
        <f t="shared" si="39"/>
        <v>179.54166666666666</v>
      </c>
      <c r="H359" s="6">
        <f t="shared" si="39"/>
        <v>7.1290938126191916</v>
      </c>
      <c r="I359" s="6">
        <f t="shared" si="39"/>
        <v>23.827250670146174</v>
      </c>
      <c r="J359" s="6">
        <f t="shared" si="39"/>
        <v>15.632374600699778</v>
      </c>
      <c r="L359" s="6"/>
      <c r="M359" s="6"/>
      <c r="N359" s="6"/>
      <c r="O359" s="6"/>
    </row>
    <row r="360" spans="1:15" x14ac:dyDescent="0.5">
      <c r="A360" s="4">
        <v>40909</v>
      </c>
      <c r="B360" s="1">
        <v>25.5</v>
      </c>
      <c r="C360" s="5">
        <v>7.0946168924731134</v>
      </c>
      <c r="D360" s="5">
        <v>23.558393150537643</v>
      </c>
      <c r="E360" s="5">
        <v>15.683137860215055</v>
      </c>
      <c r="F360" s="5"/>
      <c r="G360" s="6">
        <f t="shared" si="39"/>
        <v>181.45833333333334</v>
      </c>
      <c r="H360" s="6">
        <f t="shared" si="39"/>
        <v>7.1313619577804817</v>
      </c>
      <c r="I360" s="6">
        <f t="shared" si="39"/>
        <v>23.849159272296713</v>
      </c>
      <c r="J360" s="6">
        <f t="shared" si="39"/>
        <v>15.639144313961426</v>
      </c>
      <c r="L360" s="6"/>
      <c r="M360" s="6"/>
      <c r="N360" s="6"/>
      <c r="O360" s="6"/>
    </row>
    <row r="361" spans="1:15" x14ac:dyDescent="0.5">
      <c r="A361" s="4">
        <v>40940</v>
      </c>
      <c r="B361" s="1">
        <v>129</v>
      </c>
      <c r="C361" s="5">
        <v>7.0205642413793079</v>
      </c>
      <c r="D361" s="5">
        <v>22.350236402298854</v>
      </c>
      <c r="E361" s="5">
        <v>15.160860793103449</v>
      </c>
      <c r="F361" s="5"/>
      <c r="G361" s="6">
        <f t="shared" si="39"/>
        <v>188.91666666666666</v>
      </c>
      <c r="H361" s="6">
        <f t="shared" si="39"/>
        <v>7.1366735114530506</v>
      </c>
      <c r="I361" s="6">
        <f t="shared" si="39"/>
        <v>23.868561468520024</v>
      </c>
      <c r="J361" s="6">
        <f t="shared" si="39"/>
        <v>15.650431772910522</v>
      </c>
      <c r="L361" s="6"/>
      <c r="M361" s="6"/>
      <c r="N361" s="6"/>
      <c r="O361" s="6"/>
    </row>
    <row r="362" spans="1:15" x14ac:dyDescent="0.5">
      <c r="A362" s="4">
        <v>40969</v>
      </c>
      <c r="B362" s="1">
        <v>200</v>
      </c>
      <c r="C362" s="5">
        <v>7.1461627587648797</v>
      </c>
      <c r="D362" s="5">
        <v>23.899927955975226</v>
      </c>
      <c r="E362" s="5">
        <v>15.673351799792245</v>
      </c>
      <c r="F362" s="5"/>
      <c r="G362" s="6">
        <f t="shared" si="39"/>
        <v>201.375</v>
      </c>
      <c r="H362" s="6">
        <f t="shared" si="39"/>
        <v>7.1594322619594442</v>
      </c>
      <c r="I362" s="6">
        <f t="shared" si="39"/>
        <v>24.098570641374593</v>
      </c>
      <c r="J362" s="6">
        <f t="shared" si="39"/>
        <v>15.750355515187117</v>
      </c>
      <c r="L362" s="6"/>
      <c r="M362" s="6"/>
      <c r="N362" s="6"/>
      <c r="O362" s="6"/>
    </row>
    <row r="363" spans="1:15" x14ac:dyDescent="0.5">
      <c r="A363" s="4">
        <v>41000</v>
      </c>
      <c r="B363" s="1">
        <v>99</v>
      </c>
      <c r="C363" s="5">
        <v>6.9493386666666632</v>
      </c>
      <c r="D363" s="5">
        <v>20.945646769230777</v>
      </c>
      <c r="E363" s="5">
        <v>14.464766444444445</v>
      </c>
      <c r="F363" s="5"/>
      <c r="G363" s="6">
        <f t="shared" si="39"/>
        <v>204.04166666666666</v>
      </c>
      <c r="H363" s="6">
        <f t="shared" si="39"/>
        <v>7.1696510119594441</v>
      </c>
      <c r="I363" s="6">
        <f t="shared" si="39"/>
        <v>24.147530844366045</v>
      </c>
      <c r="J363" s="6">
        <f t="shared" si="39"/>
        <v>15.785000191113042</v>
      </c>
      <c r="L363" s="6"/>
      <c r="M363" s="6"/>
      <c r="N363" s="6"/>
      <c r="O363" s="6"/>
    </row>
    <row r="364" spans="1:15" x14ac:dyDescent="0.5">
      <c r="A364" s="4">
        <v>41030</v>
      </c>
      <c r="B364" s="1">
        <v>59</v>
      </c>
      <c r="C364" s="5">
        <v>6.9308131290322539</v>
      </c>
      <c r="D364" s="5">
        <v>20.581954978494633</v>
      </c>
      <c r="E364" s="5">
        <v>14.255557215053763</v>
      </c>
      <c r="F364" s="5"/>
      <c r="G364" s="6">
        <f t="shared" si="39"/>
        <v>198.5</v>
      </c>
      <c r="H364" s="6">
        <f t="shared" si="39"/>
        <v>7.1788176786261104</v>
      </c>
      <c r="I364" s="6">
        <f t="shared" si="39"/>
        <v>24.209865073756728</v>
      </c>
      <c r="J364" s="6">
        <f t="shared" si="39"/>
        <v>15.825777520862147</v>
      </c>
      <c r="L364" s="6"/>
      <c r="M364" s="6"/>
      <c r="N364" s="6"/>
      <c r="O364" s="6"/>
    </row>
    <row r="365" spans="1:15" x14ac:dyDescent="0.5">
      <c r="A365" s="4">
        <v>41061</v>
      </c>
      <c r="B365" s="1">
        <v>698.5</v>
      </c>
      <c r="C365" s="5">
        <v>7.0275192222222165</v>
      </c>
      <c r="D365" s="5">
        <v>20.815754675213686</v>
      </c>
      <c r="E365" s="5">
        <v>14.355044222222222</v>
      </c>
      <c r="F365" s="5"/>
      <c r="G365" s="6">
        <f t="shared" si="39"/>
        <v>179.33333333333334</v>
      </c>
      <c r="H365" s="6">
        <f t="shared" si="39"/>
        <v>7.1761672156631464</v>
      </c>
      <c r="I365" s="6">
        <f t="shared" si="39"/>
        <v>24.235916444839347</v>
      </c>
      <c r="J365" s="6">
        <f t="shared" si="39"/>
        <v>15.845734696788073</v>
      </c>
      <c r="L365" s="6"/>
      <c r="M365" s="6"/>
      <c r="N365" s="6"/>
      <c r="O365" s="6"/>
    </row>
    <row r="366" spans="1:15" x14ac:dyDescent="0.5">
      <c r="A366" s="4">
        <v>41091</v>
      </c>
      <c r="B366" s="1">
        <v>488.5</v>
      </c>
      <c r="C366" s="5">
        <v>7.3781249569892449</v>
      </c>
      <c r="D366" s="5">
        <v>24.296571303030312</v>
      </c>
      <c r="E366" s="5">
        <v>16.179683559139782</v>
      </c>
      <c r="F366" s="5"/>
      <c r="G366" s="6">
        <f t="shared" si="39"/>
        <v>198.95833333333334</v>
      </c>
      <c r="H366" s="6">
        <f t="shared" si="39"/>
        <v>7.1849855400359068</v>
      </c>
      <c r="I366" s="6">
        <f t="shared" si="39"/>
        <v>24.230110502349934</v>
      </c>
      <c r="J366" s="6">
        <f t="shared" si="39"/>
        <v>15.869565341949366</v>
      </c>
      <c r="L366" s="6"/>
      <c r="M366" s="6"/>
      <c r="N366" s="6"/>
      <c r="O366" s="6"/>
    </row>
    <row r="367" spans="1:15" x14ac:dyDescent="0.5">
      <c r="A367" s="4">
        <v>41122</v>
      </c>
      <c r="B367" s="1">
        <v>142.5</v>
      </c>
      <c r="C367" s="5">
        <v>7.5223722688172003</v>
      </c>
      <c r="D367" s="5">
        <v>29.880794205128204</v>
      </c>
      <c r="E367" s="5">
        <v>18.002089473118282</v>
      </c>
      <c r="F367" s="5"/>
      <c r="G367" s="6">
        <f t="shared" si="39"/>
        <v>178.79166666666666</v>
      </c>
      <c r="H367" s="6">
        <f t="shared" si="39"/>
        <v>7.2004055669176266</v>
      </c>
      <c r="I367" s="6">
        <f t="shared" si="39"/>
        <v>24.510234425357933</v>
      </c>
      <c r="J367" s="6">
        <f t="shared" si="39"/>
        <v>15.97420355879524</v>
      </c>
      <c r="L367" s="6"/>
      <c r="M367" s="6"/>
      <c r="N367" s="6"/>
      <c r="O367" s="6"/>
    </row>
    <row r="368" spans="1:15" x14ac:dyDescent="0.5">
      <c r="A368" s="4">
        <v>41153</v>
      </c>
      <c r="B368" s="1">
        <v>111</v>
      </c>
      <c r="C368" s="5">
        <v>7.5710331111111051</v>
      </c>
      <c r="D368" s="5">
        <v>30.952832666666687</v>
      </c>
      <c r="E368" s="5">
        <v>18.491585888888892</v>
      </c>
      <c r="F368" s="5"/>
      <c r="G368" s="6">
        <f t="shared" si="39"/>
        <v>181.75</v>
      </c>
      <c r="H368" s="6">
        <f t="shared" si="39"/>
        <v>7.2144391317324414</v>
      </c>
      <c r="I368" s="6">
        <f t="shared" si="39"/>
        <v>24.772728638320888</v>
      </c>
      <c r="J368" s="6">
        <f t="shared" si="39"/>
        <v>16.078796151387838</v>
      </c>
      <c r="L368" s="6"/>
      <c r="M368" s="6"/>
      <c r="N368" s="6"/>
      <c r="O368" s="6"/>
    </row>
    <row r="369" spans="1:15" x14ac:dyDescent="0.5">
      <c r="A369" s="4">
        <v>41183</v>
      </c>
      <c r="B369" s="1">
        <v>97</v>
      </c>
      <c r="C369" s="5">
        <v>7.5385013010752671</v>
      </c>
      <c r="D369" s="5">
        <v>31.013471555555565</v>
      </c>
      <c r="E369" s="5">
        <v>18.433715817204302</v>
      </c>
      <c r="F369" s="5"/>
      <c r="G369" s="6">
        <f t="shared" si="39"/>
        <v>180.91666666666666</v>
      </c>
      <c r="H369" s="6">
        <f t="shared" si="39"/>
        <v>7.2252713449940913</v>
      </c>
      <c r="I369" s="6">
        <f t="shared" si="39"/>
        <v>25.006419495141788</v>
      </c>
      <c r="J369" s="6">
        <f t="shared" si="39"/>
        <v>16.161461921997155</v>
      </c>
      <c r="L369" s="6"/>
      <c r="M369" s="6"/>
      <c r="N369" s="6"/>
      <c r="O369" s="6"/>
    </row>
    <row r="370" spans="1:15" x14ac:dyDescent="0.5">
      <c r="A370" s="4">
        <v>41214</v>
      </c>
      <c r="B370" s="1">
        <v>70.5</v>
      </c>
      <c r="C370" s="5">
        <v>7.4447969999999968</v>
      </c>
      <c r="D370" s="5"/>
      <c r="E370" s="5">
        <v>17.893183111111114</v>
      </c>
      <c r="F370" s="5"/>
      <c r="G370" s="6">
        <f t="shared" si="39"/>
        <v>179.41666666666666</v>
      </c>
      <c r="H370" s="6">
        <f t="shared" si="39"/>
        <v>7.2355560672163142</v>
      </c>
      <c r="I370" s="6">
        <f t="shared" si="39"/>
        <v>24.846340267427411</v>
      </c>
      <c r="J370" s="6">
        <f t="shared" si="39"/>
        <v>16.239987550304033</v>
      </c>
      <c r="L370" s="6"/>
      <c r="M370" s="6"/>
      <c r="N370" s="6"/>
      <c r="O370" s="6"/>
    </row>
    <row r="371" spans="1:15" x14ac:dyDescent="0.5">
      <c r="A371" s="4">
        <v>41244</v>
      </c>
      <c r="B371" s="1">
        <v>89</v>
      </c>
      <c r="C371" s="5">
        <v>7.322372268817201</v>
      </c>
      <c r="D371" s="5"/>
      <c r="E371" s="5">
        <v>17.096108290322583</v>
      </c>
      <c r="F371" s="5"/>
      <c r="G371" s="6">
        <f t="shared" si="39"/>
        <v>184.125</v>
      </c>
      <c r="H371" s="6">
        <f t="shared" si="39"/>
        <v>7.2455179847790383</v>
      </c>
      <c r="I371" s="6">
        <f t="shared" si="39"/>
        <v>24.82955836621316</v>
      </c>
      <c r="J371" s="6">
        <f t="shared" si="39"/>
        <v>16.30742370621801</v>
      </c>
      <c r="L371" s="6"/>
      <c r="M371" s="6"/>
      <c r="N371" s="6"/>
      <c r="O371" s="6"/>
    </row>
    <row r="372" spans="1:15" x14ac:dyDescent="0.5">
      <c r="A372" s="4">
        <v>41275</v>
      </c>
      <c r="C372" s="5">
        <v>7.2031383978494592</v>
      </c>
      <c r="D372" s="5"/>
      <c r="E372" s="5">
        <v>16.363863666666667</v>
      </c>
      <c r="F372" s="5"/>
      <c r="G372" s="6">
        <f t="shared" si="39"/>
        <v>198.54545454545453</v>
      </c>
      <c r="H372" s="6">
        <f t="shared" si="39"/>
        <v>7.2545614435604007</v>
      </c>
      <c r="I372" s="6">
        <f t="shared" si="39"/>
        <v>24.97079894573266</v>
      </c>
      <c r="J372" s="6">
        <f t="shared" si="39"/>
        <v>16.364150856755646</v>
      </c>
      <c r="L372" s="6"/>
      <c r="M372" s="6"/>
      <c r="N372" s="6"/>
      <c r="O372" s="6"/>
    </row>
    <row r="373" spans="1:15" x14ac:dyDescent="0.5">
      <c r="A373" s="4">
        <v>41306</v>
      </c>
      <c r="B373" s="1">
        <v>166.5</v>
      </c>
      <c r="C373" s="5">
        <v>7.1084993809523782</v>
      </c>
      <c r="D373" s="5">
        <v>23.667749333333333</v>
      </c>
      <c r="E373" s="5">
        <v>15.770411285714285</v>
      </c>
      <c r="F373" s="5"/>
      <c r="G373" s="6">
        <f t="shared" si="39"/>
        <v>201.95454545454547</v>
      </c>
      <c r="H373" s="6">
        <f t="shared" si="39"/>
        <v>7.2618893718581559</v>
      </c>
      <c r="I373" s="6">
        <f t="shared" si="39"/>
        <v>25.117189271403156</v>
      </c>
      <c r="J373" s="6">
        <f t="shared" si="39"/>
        <v>16.414946731139882</v>
      </c>
      <c r="L373" s="6"/>
      <c r="M373" s="6"/>
      <c r="N373" s="6"/>
      <c r="O373" s="6"/>
    </row>
    <row r="374" spans="1:15" x14ac:dyDescent="0.5">
      <c r="A374" s="4">
        <v>41334</v>
      </c>
      <c r="B374" s="1">
        <v>110</v>
      </c>
      <c r="C374" s="5">
        <v>7.2541799045058832</v>
      </c>
      <c r="D374" s="5">
        <v>24.986469155625741</v>
      </c>
      <c r="E374" s="5">
        <v>16.383879395673322</v>
      </c>
      <c r="F374" s="5"/>
      <c r="G374" s="6">
        <f t="shared" si="39"/>
        <v>193.77272727272728</v>
      </c>
      <c r="H374" s="6">
        <f t="shared" si="39"/>
        <v>7.270890800669906</v>
      </c>
      <c r="I374" s="6">
        <f t="shared" si="39"/>
        <v>25.237916071364324</v>
      </c>
      <c r="J374" s="6">
        <f t="shared" si="39"/>
        <v>16.474157364129972</v>
      </c>
      <c r="L374" s="6"/>
      <c r="M374" s="6"/>
      <c r="N374" s="6"/>
      <c r="O374" s="6"/>
    </row>
    <row r="375" spans="1:15" x14ac:dyDescent="0.5">
      <c r="A375" s="4">
        <v>41365</v>
      </c>
      <c r="B375" s="1">
        <v>164</v>
      </c>
      <c r="C375" s="5">
        <v>7.0132831111111074</v>
      </c>
      <c r="D375" s="5">
        <v>22.099606162907278</v>
      </c>
      <c r="E375" s="5">
        <v>14.916780333333335</v>
      </c>
      <c r="F375" s="5"/>
      <c r="G375" s="6">
        <f t="shared" si="39"/>
        <v>199.68181818181819</v>
      </c>
      <c r="H375" s="6">
        <f t="shared" si="39"/>
        <v>7.2762195043736098</v>
      </c>
      <c r="I375" s="6">
        <f t="shared" si="39"/>
        <v>25.366133781772824</v>
      </c>
      <c r="J375" s="6">
        <f t="shared" si="39"/>
        <v>16.511825188204046</v>
      </c>
      <c r="L375" s="6"/>
      <c r="M375" s="6"/>
      <c r="N375" s="6"/>
      <c r="O375" s="6"/>
    </row>
    <row r="376" spans="1:15" x14ac:dyDescent="0.5">
      <c r="A376" s="4">
        <v>41395</v>
      </c>
      <c r="B376" s="1">
        <v>53.5</v>
      </c>
      <c r="C376" s="5">
        <v>6.9804099032258042</v>
      </c>
      <c r="D376" s="5">
        <v>21.313618777777787</v>
      </c>
      <c r="E376" s="5">
        <v>14.636484634408603</v>
      </c>
      <c r="F376" s="5"/>
      <c r="G376" s="6">
        <f t="shared" si="39"/>
        <v>199.18181818181819</v>
      </c>
      <c r="H376" s="6">
        <f t="shared" si="39"/>
        <v>7.2803525688897395</v>
      </c>
      <c r="I376" s="6">
        <f t="shared" si="39"/>
        <v>25.447429759470953</v>
      </c>
      <c r="J376" s="6">
        <f t="shared" si="39"/>
        <v>16.543569139816949</v>
      </c>
      <c r="L376" s="6"/>
      <c r="M376" s="6"/>
      <c r="N376" s="6"/>
      <c r="O376" s="6"/>
    </row>
    <row r="377" spans="1:15" x14ac:dyDescent="0.5">
      <c r="A377" s="4">
        <v>41426</v>
      </c>
      <c r="B377" s="1">
        <v>308</v>
      </c>
      <c r="C377" s="5">
        <v>6.9985053333333305</v>
      </c>
      <c r="D377" s="5">
        <v>21.381416000000005</v>
      </c>
      <c r="E377" s="5">
        <v>14.593808111111112</v>
      </c>
      <c r="F377" s="5"/>
      <c r="G377" s="6">
        <f t="shared" si="39"/>
        <v>163.68181818181819</v>
      </c>
      <c r="H377" s="6">
        <f t="shared" si="39"/>
        <v>7.2779347448156644</v>
      </c>
      <c r="I377" s="6">
        <f t="shared" si="39"/>
        <v>25.510281017780546</v>
      </c>
      <c r="J377" s="6">
        <f t="shared" si="39"/>
        <v>16.563466130557689</v>
      </c>
      <c r="L377" s="6"/>
      <c r="M377" s="6"/>
      <c r="N377" s="6"/>
      <c r="O377" s="6"/>
    </row>
    <row r="378" spans="1:15" x14ac:dyDescent="0.5">
      <c r="A378" s="4">
        <v>41456</v>
      </c>
      <c r="B378" s="1">
        <v>118.5</v>
      </c>
      <c r="C378" s="5">
        <v>7.0537701182795667</v>
      </c>
      <c r="D378" s="5">
        <v>22.493451444947222</v>
      </c>
      <c r="E378" s="5">
        <v>15.081484634408604</v>
      </c>
      <c r="F378" s="5"/>
      <c r="G378" s="6">
        <f t="shared" si="39"/>
        <v>130.04545454545453</v>
      </c>
      <c r="H378" s="6">
        <f t="shared" si="39"/>
        <v>7.250905174923191</v>
      </c>
      <c r="I378" s="6">
        <f t="shared" si="39"/>
        <v>25.30993436688242</v>
      </c>
      <c r="J378" s="6">
        <f t="shared" si="39"/>
        <v>16.47194955349676</v>
      </c>
      <c r="L378" s="6"/>
      <c r="M378" s="6"/>
      <c r="N378" s="6"/>
      <c r="O378" s="6"/>
    </row>
    <row r="379" spans="1:15" x14ac:dyDescent="0.5">
      <c r="A379" s="4">
        <v>41487</v>
      </c>
      <c r="B379" s="1">
        <v>571</v>
      </c>
      <c r="C379" s="5">
        <v>7.1262835591397824</v>
      </c>
      <c r="D379" s="5">
        <v>23.591807460905358</v>
      </c>
      <c r="E379" s="5">
        <v>15.481188935483871</v>
      </c>
      <c r="F379" s="5"/>
      <c r="G379" s="6">
        <f t="shared" si="39"/>
        <v>169</v>
      </c>
      <c r="H379" s="6">
        <f t="shared" si="39"/>
        <v>7.2178977824500734</v>
      </c>
      <c r="I379" s="6">
        <f t="shared" si="39"/>
        <v>24.611158061968773</v>
      </c>
      <c r="J379" s="6">
        <f t="shared" si="39"/>
        <v>16.261874508693889</v>
      </c>
      <c r="L379" s="6"/>
      <c r="M379" s="6"/>
      <c r="N379" s="6"/>
      <c r="O379" s="6"/>
    </row>
    <row r="380" spans="1:15" x14ac:dyDescent="0.5">
      <c r="A380" s="4">
        <v>41518</v>
      </c>
      <c r="B380" s="1">
        <v>199</v>
      </c>
      <c r="C380" s="5">
        <v>7.3583664444444423</v>
      </c>
      <c r="D380" s="5">
        <v>26.085291000000009</v>
      </c>
      <c r="E380" s="5">
        <v>16.564627555555553</v>
      </c>
      <c r="F380" s="5"/>
      <c r="G380" s="6">
        <f t="shared" si="39"/>
        <v>177</v>
      </c>
      <c r="H380" s="6">
        <f t="shared" si="39"/>
        <v>7.2001755602278514</v>
      </c>
      <c r="I380" s="6">
        <f t="shared" si="39"/>
        <v>24.070320099005812</v>
      </c>
      <c r="J380" s="6">
        <f t="shared" si="39"/>
        <v>16.10129464758278</v>
      </c>
      <c r="L380" s="6"/>
      <c r="M380" s="6"/>
      <c r="N380" s="6"/>
      <c r="O380" s="6"/>
    </row>
    <row r="381" spans="1:15" x14ac:dyDescent="0.5">
      <c r="A381" s="4">
        <v>41548</v>
      </c>
      <c r="B381" s="1">
        <v>109</v>
      </c>
      <c r="C381" s="5">
        <v>7.3720228064516098</v>
      </c>
      <c r="D381" s="5">
        <v>27.597116268817217</v>
      </c>
      <c r="E381" s="5">
        <v>17.209320655913981</v>
      </c>
      <c r="F381" s="5"/>
      <c r="G381" s="6">
        <f t="shared" si="39"/>
        <v>178.09090909090909</v>
      </c>
      <c r="H381" s="6">
        <f t="shared" si="39"/>
        <v>7.1863023523425476</v>
      </c>
      <c r="I381" s="6">
        <f t="shared" si="39"/>
        <v>23.690725067145994</v>
      </c>
      <c r="J381" s="6">
        <f t="shared" si="39"/>
        <v>15.999261717475255</v>
      </c>
      <c r="L381" s="6"/>
      <c r="M381" s="6"/>
      <c r="N381" s="6"/>
      <c r="O381" s="6"/>
    </row>
    <row r="382" spans="1:15" x14ac:dyDescent="0.5">
      <c r="A382" s="4">
        <v>41579</v>
      </c>
      <c r="B382" s="1">
        <v>80</v>
      </c>
      <c r="C382" s="5">
        <v>7.295991444444442</v>
      </c>
      <c r="D382" s="5">
        <v>26.405763222222237</v>
      </c>
      <c r="E382" s="5">
        <v>16.78668311111111</v>
      </c>
      <c r="F382" s="5"/>
      <c r="G382" s="6">
        <f t="shared" si="39"/>
        <v>178.95454545454547</v>
      </c>
      <c r="H382" s="6">
        <f t="shared" si="39"/>
        <v>7.1739018893795832</v>
      </c>
      <c r="I382" s="6">
        <f t="shared" si="39"/>
        <v>23.962228882653619</v>
      </c>
      <c r="J382" s="6">
        <f t="shared" si="39"/>
        <v>15.907053384141919</v>
      </c>
      <c r="L382" s="6"/>
      <c r="M382" s="6"/>
      <c r="N382" s="6"/>
      <c r="O382" s="6"/>
    </row>
    <row r="383" spans="1:15" x14ac:dyDescent="0.5">
      <c r="A383" s="4">
        <v>41609</v>
      </c>
      <c r="B383" s="1">
        <v>50.5</v>
      </c>
      <c r="C383" s="5">
        <v>7.1819959247311775</v>
      </c>
      <c r="D383" s="5">
        <v>24.780422720430114</v>
      </c>
      <c r="E383" s="5">
        <v>16.111820655913981</v>
      </c>
      <c r="F383" s="5"/>
      <c r="G383" s="6">
        <f t="shared" si="39"/>
        <v>175.45454545454547</v>
      </c>
      <c r="H383" s="6">
        <f t="shared" si="39"/>
        <v>7.1622038607057492</v>
      </c>
      <c r="I383" s="6">
        <f t="shared" si="39"/>
        <v>24.0366101406333</v>
      </c>
      <c r="J383" s="6">
        <f t="shared" si="39"/>
        <v>15.825029414607869</v>
      </c>
      <c r="L383" s="6"/>
      <c r="M383" s="6"/>
      <c r="N383" s="6"/>
      <c r="O383" s="6"/>
    </row>
    <row r="384" spans="1:15" x14ac:dyDescent="0.5">
      <c r="A384" s="4">
        <v>41640</v>
      </c>
      <c r="B384" s="1">
        <v>36</v>
      </c>
      <c r="C384" s="5">
        <v>7.0809206559139737</v>
      </c>
      <c r="D384" s="5">
        <v>23.386014118279579</v>
      </c>
      <c r="E384" s="5">
        <v>15.501995387096775</v>
      </c>
      <c r="F384" s="5"/>
      <c r="G384" s="6">
        <f t="shared" si="39"/>
        <v>163.83333333333334</v>
      </c>
      <c r="H384" s="6">
        <f t="shared" si="39"/>
        <v>7.1520190488777926</v>
      </c>
      <c r="I384" s="6">
        <f t="shared" si="39"/>
        <v>23.982393805437159</v>
      </c>
      <c r="J384" s="6">
        <f t="shared" si="39"/>
        <v>15.753207057977045</v>
      </c>
      <c r="L384" s="6"/>
      <c r="M384" s="6"/>
      <c r="N384" s="6"/>
      <c r="O384" s="6"/>
    </row>
    <row r="385" spans="1:15" x14ac:dyDescent="0.5">
      <c r="A385" s="4">
        <v>41671</v>
      </c>
      <c r="B385" s="1">
        <v>120.5</v>
      </c>
      <c r="C385" s="5">
        <v>7.0054339047619019</v>
      </c>
      <c r="D385" s="5">
        <v>22.393496357142858</v>
      </c>
      <c r="E385" s="5">
        <v>15.048372595238096</v>
      </c>
      <c r="F385" s="5"/>
      <c r="G385" s="6">
        <f t="shared" si="39"/>
        <v>160</v>
      </c>
      <c r="H385" s="6">
        <f t="shared" si="39"/>
        <v>7.1434302591952523</v>
      </c>
      <c r="I385" s="6">
        <f t="shared" si="39"/>
        <v>23.876206057421285</v>
      </c>
      <c r="J385" s="6">
        <f t="shared" si="39"/>
        <v>15.693037167104031</v>
      </c>
      <c r="L385" s="6"/>
      <c r="M385" s="6"/>
      <c r="N385" s="6"/>
      <c r="O385" s="6"/>
    </row>
    <row r="386" spans="1:15" x14ac:dyDescent="0.5">
      <c r="A386" s="4">
        <v>41699</v>
      </c>
      <c r="B386" s="1">
        <v>130</v>
      </c>
      <c r="C386" s="5">
        <v>7.1194993809523774</v>
      </c>
      <c r="D386" s="5">
        <v>23.631069571334194</v>
      </c>
      <c r="E386" s="5">
        <v>15.565171833055983</v>
      </c>
      <c r="F386" s="5"/>
      <c r="G386" s="6">
        <f t="shared" si="39"/>
        <v>161.66666666666666</v>
      </c>
      <c r="H386" s="6">
        <f t="shared" si="39"/>
        <v>7.1322068822324596</v>
      </c>
      <c r="I386" s="6">
        <f t="shared" si="39"/>
        <v>23.763256092063656</v>
      </c>
      <c r="J386" s="6">
        <f t="shared" si="39"/>
        <v>15.624811536885916</v>
      </c>
      <c r="L386" s="6"/>
      <c r="M386" s="6"/>
      <c r="N386" s="6"/>
      <c r="O386" s="6"/>
    </row>
    <row r="387" spans="1:15" x14ac:dyDescent="0.5">
      <c r="A387" s="4">
        <v>41730</v>
      </c>
      <c r="B387" s="1">
        <v>69</v>
      </c>
      <c r="C387" s="5">
        <v>6.9540608888888862</v>
      </c>
      <c r="D387" s="5">
        <v>21.511596555555567</v>
      </c>
      <c r="E387" s="5">
        <v>14.597516444444445</v>
      </c>
      <c r="F387" s="5"/>
      <c r="G387" s="6">
        <f t="shared" si="39"/>
        <v>153.75</v>
      </c>
      <c r="H387" s="6">
        <f t="shared" si="39"/>
        <v>7.1272716970472745</v>
      </c>
      <c r="I387" s="6">
        <f t="shared" si="39"/>
        <v>23.714255291451014</v>
      </c>
      <c r="J387" s="6">
        <f t="shared" si="39"/>
        <v>15.598206212811844</v>
      </c>
      <c r="L387" s="6"/>
      <c r="M387" s="6"/>
      <c r="N387" s="6"/>
      <c r="O387" s="6"/>
    </row>
    <row r="388" spans="1:15" x14ac:dyDescent="0.5">
      <c r="A388" s="4">
        <v>41760</v>
      </c>
      <c r="B388" s="1">
        <v>135</v>
      </c>
      <c r="C388" s="5">
        <v>6.9519556021505347</v>
      </c>
      <c r="D388" s="5">
        <v>21.114871645161301</v>
      </c>
      <c r="E388" s="5">
        <v>14.424979258064518</v>
      </c>
      <c r="F388" s="5"/>
      <c r="G388" s="6">
        <f t="shared" si="39"/>
        <v>160.54166666666666</v>
      </c>
      <c r="H388" s="6">
        <f t="shared" si="39"/>
        <v>7.1249005052910022</v>
      </c>
      <c r="I388" s="6">
        <f t="shared" si="39"/>
        <v>23.697693030399638</v>
      </c>
      <c r="J388" s="6">
        <f t="shared" si="39"/>
        <v>15.58058076478317</v>
      </c>
      <c r="L388" s="6"/>
      <c r="M388" s="6"/>
      <c r="N388" s="6"/>
      <c r="O388" s="6"/>
    </row>
    <row r="389" spans="1:15" x14ac:dyDescent="0.5">
      <c r="A389" s="4">
        <v>41791</v>
      </c>
      <c r="B389" s="1">
        <v>258.5</v>
      </c>
      <c r="C389" s="5">
        <v>6.9758525555555515</v>
      </c>
      <c r="D389" s="5">
        <v>21.132610444444452</v>
      </c>
      <c r="E389" s="5">
        <v>14.412474777777776</v>
      </c>
      <c r="F389" s="5"/>
      <c r="G389" s="6">
        <f t="shared" si="39"/>
        <v>156.41666666666666</v>
      </c>
      <c r="H389" s="6">
        <f t="shared" si="39"/>
        <v>7.1230127738095206</v>
      </c>
      <c r="I389" s="6">
        <f t="shared" si="39"/>
        <v>23.676959234103339</v>
      </c>
      <c r="J389" s="6">
        <f t="shared" si="39"/>
        <v>15.565469653672059</v>
      </c>
      <c r="L389" s="6"/>
      <c r="M389" s="6"/>
      <c r="N389" s="6"/>
      <c r="O389" s="6"/>
    </row>
    <row r="390" spans="1:15" x14ac:dyDescent="0.5">
      <c r="A390" s="4">
        <v>41821</v>
      </c>
      <c r="B390" s="1">
        <v>358</v>
      </c>
      <c r="C390" s="5">
        <v>7.1149529139784899</v>
      </c>
      <c r="D390" s="5">
        <v>22.196073258064519</v>
      </c>
      <c r="E390" s="5">
        <v>14.919481946236559</v>
      </c>
      <c r="F390" s="5"/>
      <c r="G390" s="6">
        <f t="shared" si="39"/>
        <v>176.375</v>
      </c>
      <c r="H390" s="6">
        <f t="shared" si="39"/>
        <v>7.1281113401177629</v>
      </c>
      <c r="I390" s="6">
        <f t="shared" si="39"/>
        <v>23.652177718529781</v>
      </c>
      <c r="J390" s="6">
        <f t="shared" si="39"/>
        <v>15.551969429657722</v>
      </c>
      <c r="L390" s="6"/>
      <c r="M390" s="6"/>
      <c r="N390" s="6"/>
      <c r="O390" s="6"/>
    </row>
    <row r="391" spans="1:15" x14ac:dyDescent="0.5">
      <c r="A391" s="4">
        <v>41852</v>
      </c>
      <c r="B391" s="1">
        <v>213</v>
      </c>
      <c r="C391" s="5">
        <v>7.1483534516128993</v>
      </c>
      <c r="D391" s="5">
        <v>23.234441537634414</v>
      </c>
      <c r="E391" s="5">
        <v>15.353487322580646</v>
      </c>
      <c r="F391" s="5"/>
      <c r="G391" s="6">
        <f t="shared" si="39"/>
        <v>146.54166666666666</v>
      </c>
      <c r="H391" s="6">
        <f t="shared" si="39"/>
        <v>7.1299504978238568</v>
      </c>
      <c r="I391" s="6">
        <f t="shared" si="39"/>
        <v>23.622397224923873</v>
      </c>
      <c r="J391" s="6">
        <f t="shared" si="39"/>
        <v>15.541327628582451</v>
      </c>
      <c r="L391" s="6"/>
      <c r="M391" s="6"/>
      <c r="N391" s="6"/>
      <c r="O391" s="6"/>
    </row>
    <row r="392" spans="1:15" x14ac:dyDescent="0.5">
      <c r="A392" s="4">
        <v>41883</v>
      </c>
      <c r="B392" s="1">
        <v>107</v>
      </c>
      <c r="C392" s="5">
        <v>7.1742553333333285</v>
      </c>
      <c r="D392" s="5">
        <v>23.933346555555563</v>
      </c>
      <c r="E392" s="5">
        <v>15.62680811111111</v>
      </c>
      <c r="F392" s="5"/>
      <c r="G392" s="6">
        <f t="shared" si="39"/>
        <v>138.875</v>
      </c>
      <c r="H392" s="6">
        <f t="shared" si="39"/>
        <v>7.1146079052312645</v>
      </c>
      <c r="I392" s="6">
        <f t="shared" si="39"/>
        <v>23.443068521220166</v>
      </c>
      <c r="J392" s="6">
        <f t="shared" si="39"/>
        <v>15.463176008212081</v>
      </c>
      <c r="L392" s="6"/>
      <c r="M392" s="6"/>
      <c r="N392" s="6"/>
      <c r="O392" s="6"/>
    </row>
    <row r="393" spans="1:15" x14ac:dyDescent="0.5">
      <c r="A393" s="4">
        <v>41913</v>
      </c>
      <c r="B393" s="1">
        <v>142</v>
      </c>
      <c r="C393" s="5">
        <v>7.1709206559139762</v>
      </c>
      <c r="D393" s="5">
        <v>24.215758741935488</v>
      </c>
      <c r="E393" s="5">
        <v>15.730920118279572</v>
      </c>
      <c r="F393" s="5"/>
      <c r="G393" s="6">
        <f t="shared" si="39"/>
        <v>141.625</v>
      </c>
      <c r="H393" s="6">
        <f t="shared" si="39"/>
        <v>7.0978493926864621</v>
      </c>
      <c r="I393" s="6">
        <f t="shared" si="39"/>
        <v>23.161288727313362</v>
      </c>
      <c r="J393" s="6">
        <f t="shared" si="39"/>
        <v>15.339975963409215</v>
      </c>
      <c r="L393" s="6"/>
      <c r="M393" s="6"/>
      <c r="N393" s="6"/>
      <c r="O393" s="6"/>
    </row>
    <row r="394" spans="1:15" x14ac:dyDescent="0.5">
      <c r="A394" s="4">
        <v>41944</v>
      </c>
      <c r="B394" s="1">
        <v>62.5</v>
      </c>
      <c r="C394" s="5">
        <v>7.1121719999999966</v>
      </c>
      <c r="D394" s="5">
        <v>23.464804888888906</v>
      </c>
      <c r="E394" s="5">
        <v>15.500071999999999</v>
      </c>
      <c r="F394" s="5"/>
      <c r="G394" s="6">
        <f t="shared" si="39"/>
        <v>140.16666666666666</v>
      </c>
      <c r="H394" s="6">
        <f t="shared" si="39"/>
        <v>7.0825311056494256</v>
      </c>
      <c r="I394" s="6">
        <f t="shared" si="39"/>
        <v>22.916208866202251</v>
      </c>
      <c r="J394" s="6">
        <f t="shared" si="39"/>
        <v>15.232758370816621</v>
      </c>
      <c r="L394" s="6"/>
      <c r="M394" s="6"/>
      <c r="N394" s="6"/>
      <c r="O394" s="6"/>
    </row>
    <row r="395" spans="1:15" x14ac:dyDescent="0.5">
      <c r="A395" s="4">
        <v>41974</v>
      </c>
      <c r="B395" s="1">
        <v>62.5</v>
      </c>
      <c r="C395" s="5">
        <v>7.0137297956989215</v>
      </c>
      <c r="D395" s="5">
        <v>22.233541000000013</v>
      </c>
      <c r="E395" s="5">
        <v>14.960288397849464</v>
      </c>
      <c r="F395" s="5"/>
      <c r="G395" s="6">
        <f t="shared" si="39"/>
        <v>141.16666666666666</v>
      </c>
      <c r="H395" s="6">
        <f t="shared" si="39"/>
        <v>7.0685089282300702</v>
      </c>
      <c r="I395" s="6">
        <f t="shared" si="39"/>
        <v>22.703968722833071</v>
      </c>
      <c r="J395" s="6">
        <f t="shared" si="39"/>
        <v>15.136797349311246</v>
      </c>
      <c r="L395" s="6"/>
      <c r="M395" s="6"/>
      <c r="N395" s="6"/>
      <c r="O395" s="6"/>
    </row>
    <row r="396" spans="1:15" x14ac:dyDescent="0.5">
      <c r="A396" s="4">
        <v>42005</v>
      </c>
      <c r="B396" s="1">
        <v>99.5</v>
      </c>
      <c r="C396" s="5">
        <v>6.929495924731178</v>
      </c>
      <c r="D396" s="5">
        <v>21.285825946236571</v>
      </c>
      <c r="E396" s="5">
        <v>14.4994281827957</v>
      </c>
      <c r="F396" s="5"/>
      <c r="G396" s="6">
        <f t="shared" si="39"/>
        <v>146.45833333333334</v>
      </c>
      <c r="H396" s="6">
        <f t="shared" si="39"/>
        <v>7.0558902006315023</v>
      </c>
      <c r="I396" s="6">
        <f t="shared" si="39"/>
        <v>22.528953041829485</v>
      </c>
      <c r="J396" s="6">
        <f t="shared" si="39"/>
        <v>15.053250082286155</v>
      </c>
      <c r="L396" s="6"/>
      <c r="M396" s="6"/>
      <c r="N396" s="6"/>
      <c r="O396" s="6"/>
    </row>
    <row r="397" spans="1:15" x14ac:dyDescent="0.5">
      <c r="A397" s="4">
        <v>42036</v>
      </c>
      <c r="B397" s="1">
        <v>33.5</v>
      </c>
      <c r="C397" s="5">
        <v>6.8606719999999966</v>
      </c>
      <c r="D397" s="5">
        <v>20.548407071428578</v>
      </c>
      <c r="E397" s="5">
        <v>14.137996689440994</v>
      </c>
      <c r="F397" s="5"/>
      <c r="G397" s="6">
        <f t="shared" si="39"/>
        <v>139.20833333333334</v>
      </c>
      <c r="H397" s="6">
        <f t="shared" si="39"/>
        <v>7.0438267085680097</v>
      </c>
      <c r="I397" s="6">
        <f t="shared" si="39"/>
        <v>22.375195601353298</v>
      </c>
      <c r="J397" s="6">
        <f t="shared" si="39"/>
        <v>14.977385423469732</v>
      </c>
      <c r="L397" s="6"/>
      <c r="M397" s="6"/>
      <c r="N397" s="6"/>
      <c r="O397" s="6"/>
    </row>
    <row r="398" spans="1:15" x14ac:dyDescent="0.5">
      <c r="A398" s="4">
        <v>42064</v>
      </c>
      <c r="B398" s="1">
        <v>186</v>
      </c>
      <c r="C398" s="5">
        <v>7.0204740459976067</v>
      </c>
      <c r="D398" s="5">
        <v>22.070799179190146</v>
      </c>
      <c r="E398" s="5">
        <v>14.834900737560945</v>
      </c>
      <c r="F398" s="5"/>
      <c r="G398" s="6">
        <f t="shared" si="39"/>
        <v>143.875</v>
      </c>
      <c r="H398" s="6">
        <f t="shared" si="39"/>
        <v>7.03557459732178</v>
      </c>
      <c r="I398" s="6">
        <f t="shared" si="39"/>
        <v>22.245173068674628</v>
      </c>
      <c r="J398" s="6">
        <f t="shared" ref="J398:J431" si="40">AVERAGE(E387:E398)</f>
        <v>14.916529498845145</v>
      </c>
      <c r="L398" s="6"/>
      <c r="M398" s="6"/>
      <c r="N398" s="6"/>
      <c r="O398" s="6"/>
    </row>
    <row r="399" spans="1:15" x14ac:dyDescent="0.5">
      <c r="A399" s="4">
        <v>42095</v>
      </c>
      <c r="B399" s="1">
        <v>150.5</v>
      </c>
      <c r="C399" s="5">
        <v>6.8299775555555495</v>
      </c>
      <c r="D399" s="5">
        <v>19.600471555555565</v>
      </c>
      <c r="E399" s="5">
        <v>13.662419222222221</v>
      </c>
      <c r="F399" s="5"/>
      <c r="G399" s="6">
        <f t="shared" ref="G399:I431" si="41">AVERAGE(B388:B399)</f>
        <v>150.66666666666666</v>
      </c>
      <c r="H399" s="6">
        <f t="shared" si="41"/>
        <v>7.0252343195440012</v>
      </c>
      <c r="I399" s="6">
        <f t="shared" si="41"/>
        <v>22.085912652007959</v>
      </c>
      <c r="J399" s="6">
        <f t="shared" si="40"/>
        <v>14.838604730326628</v>
      </c>
      <c r="L399" s="6"/>
      <c r="M399" s="6"/>
      <c r="N399" s="6"/>
      <c r="O399" s="6"/>
    </row>
    <row r="400" spans="1:15" x14ac:dyDescent="0.5">
      <c r="A400" s="4">
        <v>42125</v>
      </c>
      <c r="B400" s="1">
        <v>131</v>
      </c>
      <c r="C400" s="5">
        <v>6.8341330215053713</v>
      </c>
      <c r="D400" s="5">
        <v>19.419145838709689</v>
      </c>
      <c r="E400" s="5">
        <v>13.576551838709676</v>
      </c>
      <c r="F400" s="5"/>
      <c r="G400" s="6">
        <f t="shared" si="41"/>
        <v>150.33333333333334</v>
      </c>
      <c r="H400" s="6">
        <f t="shared" si="41"/>
        <v>7.0154157711569036</v>
      </c>
      <c r="I400" s="6">
        <f t="shared" si="41"/>
        <v>21.944602168136992</v>
      </c>
      <c r="J400" s="6">
        <f t="shared" si="40"/>
        <v>14.767902445380392</v>
      </c>
      <c r="L400" s="6"/>
      <c r="M400" s="6"/>
      <c r="N400" s="6"/>
      <c r="O400" s="6"/>
    </row>
    <row r="401" spans="1:15" x14ac:dyDescent="0.5">
      <c r="A401" s="4">
        <v>42156</v>
      </c>
      <c r="B401" s="1">
        <v>628</v>
      </c>
      <c r="C401" s="5">
        <v>7.0390608888888844</v>
      </c>
      <c r="D401" s="5">
        <v>20.409943777777787</v>
      </c>
      <c r="E401" s="5">
        <v>14.104238666666667</v>
      </c>
      <c r="F401" s="5"/>
      <c r="G401" s="6">
        <f t="shared" si="41"/>
        <v>181.125</v>
      </c>
      <c r="H401" s="6">
        <f t="shared" si="41"/>
        <v>7.0206831322680152</v>
      </c>
      <c r="I401" s="6">
        <f t="shared" si="41"/>
        <v>21.884379945914773</v>
      </c>
      <c r="J401" s="6">
        <f t="shared" si="40"/>
        <v>14.742216102787799</v>
      </c>
      <c r="L401" s="6"/>
      <c r="M401" s="6"/>
      <c r="N401" s="6"/>
      <c r="O401" s="6"/>
    </row>
    <row r="402" spans="1:15" x14ac:dyDescent="0.5">
      <c r="A402" s="4">
        <v>42186</v>
      </c>
      <c r="B402" s="1">
        <v>375.5</v>
      </c>
      <c r="C402" s="5">
        <v>7.2114717311827903</v>
      </c>
      <c r="D402" s="5">
        <v>23.412116268817215</v>
      </c>
      <c r="E402" s="5">
        <v>15.467170118279572</v>
      </c>
      <c r="F402" s="5"/>
      <c r="G402" s="6">
        <f t="shared" si="41"/>
        <v>182.58333333333334</v>
      </c>
      <c r="H402" s="6">
        <f t="shared" si="41"/>
        <v>7.0287263670350413</v>
      </c>
      <c r="I402" s="6">
        <f t="shared" si="41"/>
        <v>21.985716863477496</v>
      </c>
      <c r="J402" s="6">
        <f t="shared" si="40"/>
        <v>14.787856783791378</v>
      </c>
      <c r="L402" s="6"/>
      <c r="M402" s="6"/>
      <c r="N402" s="6"/>
      <c r="O402" s="6"/>
    </row>
    <row r="403" spans="1:15" x14ac:dyDescent="0.5">
      <c r="A403" s="4">
        <v>42217</v>
      </c>
      <c r="B403" s="1">
        <v>246</v>
      </c>
      <c r="C403" s="5">
        <v>7.2932996881720387</v>
      </c>
      <c r="D403" s="5">
        <v>25.92508669892473</v>
      </c>
      <c r="E403" s="5">
        <v>16.470933559139787</v>
      </c>
      <c r="F403" s="5"/>
      <c r="G403" s="6">
        <f t="shared" si="41"/>
        <v>185.33333333333334</v>
      </c>
      <c r="H403" s="6">
        <f t="shared" si="41"/>
        <v>7.040805220081638</v>
      </c>
      <c r="I403" s="6">
        <f t="shared" si="41"/>
        <v>22.209937293585018</v>
      </c>
      <c r="J403" s="6">
        <f t="shared" si="40"/>
        <v>14.880977303504642</v>
      </c>
      <c r="L403" s="6"/>
      <c r="M403" s="6"/>
      <c r="N403" s="6"/>
      <c r="O403" s="6"/>
    </row>
    <row r="404" spans="1:15" x14ac:dyDescent="0.5">
      <c r="A404" s="4">
        <v>42248</v>
      </c>
      <c r="B404" s="1">
        <v>149.5</v>
      </c>
      <c r="C404" s="5">
        <v>7.4117414444444414</v>
      </c>
      <c r="D404" s="5">
        <v>27.259693777777787</v>
      </c>
      <c r="E404" s="5">
        <v>17.088905333333329</v>
      </c>
      <c r="F404" s="5"/>
      <c r="G404" s="6">
        <f t="shared" si="41"/>
        <v>188.875</v>
      </c>
      <c r="H404" s="6">
        <f t="shared" si="41"/>
        <v>7.0605957293408963</v>
      </c>
      <c r="I404" s="6">
        <f t="shared" si="41"/>
        <v>22.487132895436872</v>
      </c>
      <c r="J404" s="6">
        <f t="shared" si="40"/>
        <v>15.002818738689825</v>
      </c>
      <c r="L404" s="6"/>
      <c r="M404" s="6"/>
      <c r="N404" s="6"/>
      <c r="O404" s="6"/>
    </row>
    <row r="405" spans="1:15" x14ac:dyDescent="0.5">
      <c r="A405" s="4">
        <v>42278</v>
      </c>
      <c r="B405" s="1">
        <v>64.5</v>
      </c>
      <c r="C405" s="5">
        <v>7.3763776451612868</v>
      </c>
      <c r="D405" s="5">
        <v>27.825772182795713</v>
      </c>
      <c r="E405" s="5">
        <v>17.213070655913981</v>
      </c>
      <c r="F405" s="5"/>
      <c r="G405" s="6">
        <f t="shared" si="41"/>
        <v>182.41666666666666</v>
      </c>
      <c r="H405" s="6">
        <f t="shared" si="41"/>
        <v>7.0777171451115057</v>
      </c>
      <c r="I405" s="6">
        <f t="shared" si="41"/>
        <v>22.787967348841892</v>
      </c>
      <c r="J405" s="6">
        <f t="shared" si="40"/>
        <v>15.126331283492696</v>
      </c>
      <c r="L405" s="6"/>
      <c r="M405" s="6"/>
      <c r="N405" s="6"/>
      <c r="O405" s="6"/>
    </row>
    <row r="406" spans="1:15" x14ac:dyDescent="0.5">
      <c r="A406" s="4">
        <v>42309</v>
      </c>
      <c r="B406" s="1">
        <v>136.5</v>
      </c>
      <c r="C406" s="5">
        <v>7.3141164444444415</v>
      </c>
      <c r="D406" s="5">
        <v>27.021916000000012</v>
      </c>
      <c r="E406" s="5">
        <v>16.904127555555558</v>
      </c>
      <c r="F406" s="5"/>
      <c r="G406" s="6">
        <f t="shared" si="41"/>
        <v>188.58333333333334</v>
      </c>
      <c r="H406" s="6">
        <f t="shared" si="41"/>
        <v>7.0945458488152084</v>
      </c>
      <c r="I406" s="6">
        <f t="shared" si="41"/>
        <v>23.084393274767816</v>
      </c>
      <c r="J406" s="6">
        <f t="shared" si="40"/>
        <v>15.243335913122323</v>
      </c>
      <c r="L406" s="6"/>
      <c r="M406" s="6"/>
      <c r="N406" s="6"/>
      <c r="O406" s="6"/>
    </row>
    <row r="407" spans="1:15" x14ac:dyDescent="0.5">
      <c r="A407" s="4">
        <v>42339</v>
      </c>
      <c r="B407" s="1">
        <v>91.5</v>
      </c>
      <c r="C407" s="5">
        <v>7.2094018387096748</v>
      </c>
      <c r="D407" s="5">
        <v>25.459589387096788</v>
      </c>
      <c r="E407" s="5">
        <v>16.304240010752686</v>
      </c>
      <c r="F407" s="5"/>
      <c r="G407" s="6">
        <f t="shared" si="41"/>
        <v>191</v>
      </c>
      <c r="H407" s="6">
        <f t="shared" si="41"/>
        <v>7.1108518523994384</v>
      </c>
      <c r="I407" s="6">
        <f t="shared" si="41"/>
        <v>23.353230640359214</v>
      </c>
      <c r="J407" s="6">
        <f t="shared" si="40"/>
        <v>15.355331880864258</v>
      </c>
      <c r="L407" s="6"/>
      <c r="M407" s="6"/>
      <c r="N407" s="6"/>
      <c r="O407" s="6"/>
    </row>
    <row r="408" spans="1:15" x14ac:dyDescent="0.5">
      <c r="A408" s="4">
        <v>42370</v>
      </c>
      <c r="B408" s="1">
        <v>70.5</v>
      </c>
      <c r="C408" s="5">
        <v>7.1087029139784894</v>
      </c>
      <c r="D408" s="5">
        <v>24.134670032258079</v>
      </c>
      <c r="E408" s="5">
        <v>15.774925494623655</v>
      </c>
      <c r="F408" s="5"/>
      <c r="G408" s="6">
        <f t="shared" si="41"/>
        <v>188.58333333333334</v>
      </c>
      <c r="H408" s="6">
        <f t="shared" si="41"/>
        <v>7.1257857681700481</v>
      </c>
      <c r="I408" s="6">
        <f t="shared" si="41"/>
        <v>23.590634314194343</v>
      </c>
      <c r="J408" s="6">
        <f t="shared" si="40"/>
        <v>15.461623323516589</v>
      </c>
      <c r="L408" s="6"/>
      <c r="M408" s="6"/>
      <c r="N408" s="6"/>
      <c r="O408" s="6"/>
    </row>
    <row r="409" spans="1:15" x14ac:dyDescent="0.5">
      <c r="A409" s="4">
        <v>42401</v>
      </c>
      <c r="B409" s="1">
        <v>74</v>
      </c>
      <c r="C409" s="5">
        <v>7.0226332068965505</v>
      </c>
      <c r="D409" s="5">
        <v>23.018555367816099</v>
      </c>
      <c r="E409" s="5">
        <v>15.286751597701148</v>
      </c>
      <c r="F409" s="5"/>
      <c r="G409" s="6">
        <f t="shared" si="41"/>
        <v>191.95833333333334</v>
      </c>
      <c r="H409" s="6">
        <f t="shared" si="41"/>
        <v>7.1392825354114278</v>
      </c>
      <c r="I409" s="6">
        <f t="shared" si="41"/>
        <v>23.796480005559967</v>
      </c>
      <c r="J409" s="6">
        <f t="shared" si="40"/>
        <v>15.557352899204936</v>
      </c>
      <c r="L409" s="6"/>
      <c r="M409" s="6"/>
      <c r="N409" s="6"/>
      <c r="O409" s="6"/>
    </row>
    <row r="410" spans="1:15" x14ac:dyDescent="0.5">
      <c r="A410" s="4">
        <v>42430</v>
      </c>
      <c r="B410" s="1">
        <v>60</v>
      </c>
      <c r="C410" s="5">
        <v>7.1345112851625236</v>
      </c>
      <c r="D410" s="5">
        <v>23.80250710173857</v>
      </c>
      <c r="E410" s="5">
        <v>15.560885428243315</v>
      </c>
      <c r="F410" s="5"/>
      <c r="G410" s="6">
        <f t="shared" si="41"/>
        <v>181.45833333333334</v>
      </c>
      <c r="H410" s="6">
        <f t="shared" si="41"/>
        <v>7.1487856386751689</v>
      </c>
      <c r="I410" s="6">
        <f t="shared" si="41"/>
        <v>23.940788999105667</v>
      </c>
      <c r="J410" s="6">
        <f t="shared" si="40"/>
        <v>15.617851623428466</v>
      </c>
      <c r="L410" s="6"/>
      <c r="M410" s="6"/>
      <c r="N410" s="6"/>
      <c r="O410" s="6"/>
    </row>
    <row r="411" spans="1:15" x14ac:dyDescent="0.5">
      <c r="A411" s="4">
        <v>42461</v>
      </c>
      <c r="B411" s="1">
        <v>178.5</v>
      </c>
      <c r="C411" s="5">
        <v>6.6207638888888871</v>
      </c>
      <c r="D411" s="5">
        <v>20.969552777777778</v>
      </c>
      <c r="E411" s="5">
        <v>14.003416666666665</v>
      </c>
      <c r="F411" s="5"/>
      <c r="G411" s="6">
        <f t="shared" si="41"/>
        <v>183.79166666666666</v>
      </c>
      <c r="H411" s="6">
        <f t="shared" si="41"/>
        <v>7.131351166452947</v>
      </c>
      <c r="I411" s="6">
        <f t="shared" si="41"/>
        <v>24.054879100957521</v>
      </c>
      <c r="J411" s="6">
        <f t="shared" si="40"/>
        <v>15.64626807713217</v>
      </c>
      <c r="L411" s="6"/>
      <c r="M411" s="6"/>
      <c r="N411" s="6"/>
      <c r="O411" s="6"/>
    </row>
    <row r="412" spans="1:15" x14ac:dyDescent="0.5">
      <c r="A412" s="4">
        <v>42491</v>
      </c>
      <c r="B412" s="1">
        <v>273</v>
      </c>
      <c r="C412" s="5">
        <v>6.6367876344085994</v>
      </c>
      <c r="D412" s="5">
        <v>22.145913978494633</v>
      </c>
      <c r="E412" s="5">
        <v>14.57141129032258</v>
      </c>
      <c r="F412" s="5"/>
      <c r="G412" s="6">
        <f t="shared" si="41"/>
        <v>195.625</v>
      </c>
      <c r="H412" s="6">
        <f t="shared" si="41"/>
        <v>7.1149057175282175</v>
      </c>
      <c r="I412" s="6">
        <f t="shared" si="41"/>
        <v>24.282109779272929</v>
      </c>
      <c r="J412" s="6">
        <f t="shared" si="40"/>
        <v>15.729173031433243</v>
      </c>
      <c r="L412" s="6"/>
      <c r="M412" s="6"/>
      <c r="N412" s="6"/>
      <c r="O412" s="6"/>
    </row>
    <row r="413" spans="1:15" x14ac:dyDescent="0.5">
      <c r="A413" s="4">
        <v>42522</v>
      </c>
      <c r="B413" s="1">
        <v>643.5</v>
      </c>
      <c r="C413" s="5">
        <v>6.8121805555555515</v>
      </c>
      <c r="D413" s="5">
        <v>23.306756792058518</v>
      </c>
      <c r="E413" s="5">
        <v>15.124472222222224</v>
      </c>
      <c r="F413" s="5"/>
      <c r="G413" s="6">
        <f t="shared" si="41"/>
        <v>196.91666666666666</v>
      </c>
      <c r="H413" s="6">
        <f t="shared" si="41"/>
        <v>7.0959990230837739</v>
      </c>
      <c r="I413" s="6">
        <f t="shared" si="41"/>
        <v>24.523510863796332</v>
      </c>
      <c r="J413" s="6">
        <f t="shared" si="40"/>
        <v>15.81419249439621</v>
      </c>
      <c r="L413" s="6"/>
      <c r="M413" s="6"/>
      <c r="N413" s="6"/>
      <c r="O413" s="6"/>
    </row>
    <row r="414" spans="1:15" x14ac:dyDescent="0.5">
      <c r="A414" s="4">
        <v>42552</v>
      </c>
      <c r="B414" s="1">
        <v>389.5</v>
      </c>
      <c r="C414" s="5">
        <v>7.1684677419354825</v>
      </c>
      <c r="D414" s="5">
        <v>27.722627777777785</v>
      </c>
      <c r="E414" s="5">
        <v>16.83625</v>
      </c>
      <c r="F414" s="5"/>
      <c r="G414" s="6">
        <f t="shared" si="41"/>
        <v>198.08333333333334</v>
      </c>
      <c r="H414" s="6">
        <f t="shared" si="41"/>
        <v>7.0924153573131647</v>
      </c>
      <c r="I414" s="6">
        <f t="shared" si="41"/>
        <v>24.882720156209711</v>
      </c>
      <c r="J414" s="6">
        <f t="shared" si="40"/>
        <v>15.928282484539574</v>
      </c>
      <c r="L414" s="6"/>
      <c r="M414" s="6"/>
      <c r="N414" s="6"/>
      <c r="O414" s="6"/>
    </row>
    <row r="415" spans="1:15" x14ac:dyDescent="0.5">
      <c r="A415" s="4">
        <v>42583</v>
      </c>
      <c r="B415" s="1">
        <v>62</v>
      </c>
      <c r="C415" s="5">
        <v>7.2556451612903183</v>
      </c>
      <c r="D415" s="5">
        <v>30.838602150537643</v>
      </c>
      <c r="E415" s="5">
        <v>18.437787356321834</v>
      </c>
      <c r="F415" s="5"/>
      <c r="G415" s="6">
        <f t="shared" si="41"/>
        <v>182.75</v>
      </c>
      <c r="H415" s="6">
        <f t="shared" si="41"/>
        <v>7.0892774800730214</v>
      </c>
      <c r="I415" s="6">
        <f t="shared" si="41"/>
        <v>25.292179777177452</v>
      </c>
      <c r="J415" s="6">
        <f t="shared" si="40"/>
        <v>16.092186967638082</v>
      </c>
      <c r="L415" s="6"/>
      <c r="M415" s="6"/>
      <c r="N415" s="6"/>
      <c r="O415" s="6"/>
    </row>
    <row r="416" spans="1:15" x14ac:dyDescent="0.5">
      <c r="A416" s="4">
        <v>42614</v>
      </c>
      <c r="B416" s="1">
        <v>336.5</v>
      </c>
      <c r="C416" s="5">
        <v>7.292958333333333</v>
      </c>
      <c r="D416" s="5">
        <v>31.220902777777791</v>
      </c>
      <c r="E416" s="5">
        <v>18.514361111111107</v>
      </c>
      <c r="F416" s="5"/>
      <c r="G416" s="6">
        <f t="shared" si="41"/>
        <v>198.33333333333334</v>
      </c>
      <c r="H416" s="6">
        <f t="shared" si="41"/>
        <v>7.079378887480428</v>
      </c>
      <c r="I416" s="6">
        <f t="shared" si="41"/>
        <v>25.622280527177448</v>
      </c>
      <c r="J416" s="6">
        <f t="shared" si="40"/>
        <v>16.210974949119564</v>
      </c>
      <c r="L416" s="6"/>
      <c r="M416" s="6"/>
      <c r="N416" s="6"/>
      <c r="O416" s="6"/>
    </row>
    <row r="417" spans="1:15" x14ac:dyDescent="0.5">
      <c r="A417" s="4">
        <v>42644</v>
      </c>
      <c r="B417" s="1">
        <v>201</v>
      </c>
      <c r="C417" s="5">
        <v>7.2731989247311803</v>
      </c>
      <c r="D417" s="5">
        <v>30.792311827956997</v>
      </c>
      <c r="E417" s="5">
        <v>18.3554435483871</v>
      </c>
      <c r="F417" s="5"/>
      <c r="G417" s="6">
        <f t="shared" si="41"/>
        <v>209.70833333333334</v>
      </c>
      <c r="H417" s="6">
        <f t="shared" si="41"/>
        <v>7.0707806607779178</v>
      </c>
      <c r="I417" s="6">
        <f t="shared" si="41"/>
        <v>25.869492164274224</v>
      </c>
      <c r="J417" s="6">
        <f t="shared" si="40"/>
        <v>16.306172690158988</v>
      </c>
      <c r="L417" s="6"/>
      <c r="M417" s="6"/>
      <c r="N417" s="6"/>
      <c r="O417" s="6"/>
    </row>
    <row r="418" spans="1:15" x14ac:dyDescent="0.5">
      <c r="A418" s="4">
        <v>42675</v>
      </c>
      <c r="B418" s="1">
        <v>109.5</v>
      </c>
      <c r="C418" s="5">
        <v>7.1872083333333308</v>
      </c>
      <c r="D418" s="5">
        <v>29.84684722222223</v>
      </c>
      <c r="E418" s="5">
        <v>17.917791666666666</v>
      </c>
      <c r="F418" s="5"/>
      <c r="G418" s="6">
        <f t="shared" si="41"/>
        <v>207.45833333333334</v>
      </c>
      <c r="H418" s="6">
        <f t="shared" si="41"/>
        <v>7.0602049848519925</v>
      </c>
      <c r="I418" s="6">
        <f t="shared" si="41"/>
        <v>26.104903099459406</v>
      </c>
      <c r="J418" s="6">
        <f t="shared" si="40"/>
        <v>16.390644699418242</v>
      </c>
      <c r="L418" s="6"/>
      <c r="M418" s="6"/>
      <c r="N418" s="6"/>
      <c r="O418" s="6"/>
    </row>
    <row r="419" spans="1:15" x14ac:dyDescent="0.5">
      <c r="A419" s="4">
        <v>42705</v>
      </c>
      <c r="B419" s="1">
        <v>106</v>
      </c>
      <c r="C419" s="5">
        <v>7.1063978494623621</v>
      </c>
      <c r="D419" s="5">
        <v>28.736720430107532</v>
      </c>
      <c r="E419" s="5">
        <v>17.456021505376341</v>
      </c>
      <c r="F419" s="5"/>
      <c r="G419" s="6">
        <f t="shared" si="41"/>
        <v>208.66666666666666</v>
      </c>
      <c r="H419" s="6">
        <f t="shared" si="41"/>
        <v>7.0516213190813843</v>
      </c>
      <c r="I419" s="6">
        <f t="shared" si="41"/>
        <v>26.377997353043636</v>
      </c>
      <c r="J419" s="6">
        <f t="shared" si="40"/>
        <v>16.48662649063689</v>
      </c>
      <c r="L419" s="6"/>
      <c r="M419" s="6"/>
      <c r="N419" s="6"/>
      <c r="O419" s="6"/>
    </row>
    <row r="420" spans="1:15" x14ac:dyDescent="0.5">
      <c r="A420" s="4">
        <v>42736</v>
      </c>
      <c r="B420" s="1">
        <v>44</v>
      </c>
      <c r="C420" s="5">
        <v>7.0209811827956949</v>
      </c>
      <c r="D420" s="5">
        <v>27.741612903225814</v>
      </c>
      <c r="E420" s="5">
        <v>17.024395161290322</v>
      </c>
      <c r="F420" s="5"/>
      <c r="G420" s="6">
        <f t="shared" si="41"/>
        <v>206.45833333333334</v>
      </c>
      <c r="H420" s="6">
        <f t="shared" si="41"/>
        <v>7.0443111748161513</v>
      </c>
      <c r="I420" s="6">
        <f t="shared" si="41"/>
        <v>26.678575925624283</v>
      </c>
      <c r="J420" s="6">
        <f t="shared" si="40"/>
        <v>16.590748962859109</v>
      </c>
      <c r="L420" s="6"/>
      <c r="M420" s="6"/>
      <c r="N420" s="6"/>
      <c r="O420" s="6"/>
    </row>
    <row r="421" spans="1:15" x14ac:dyDescent="0.5">
      <c r="A421" s="4">
        <v>42767</v>
      </c>
      <c r="B421" s="1">
        <v>69.5</v>
      </c>
      <c r="C421" s="5">
        <v>6.9405803571428537</v>
      </c>
      <c r="D421" s="5">
        <v>26.804449404761904</v>
      </c>
      <c r="E421" s="5">
        <v>16.601830357142859</v>
      </c>
      <c r="F421" s="5"/>
      <c r="G421" s="6">
        <f t="shared" si="41"/>
        <v>206.08333333333334</v>
      </c>
      <c r="H421" s="6">
        <f t="shared" si="41"/>
        <v>7.0374734373366756</v>
      </c>
      <c r="I421" s="6">
        <f t="shared" si="41"/>
        <v>26.994067095369768</v>
      </c>
      <c r="J421" s="6">
        <f t="shared" si="40"/>
        <v>16.700338859479253</v>
      </c>
      <c r="L421" s="6"/>
      <c r="M421" s="6"/>
      <c r="N421" s="6"/>
      <c r="O421" s="6"/>
    </row>
    <row r="422" spans="1:15" x14ac:dyDescent="0.5">
      <c r="A422" s="4">
        <v>42795</v>
      </c>
      <c r="B422" s="1">
        <v>70</v>
      </c>
      <c r="C422" s="5">
        <v>7.0163268875874705</v>
      </c>
      <c r="D422" s="5">
        <v>27.169863994597645</v>
      </c>
      <c r="E422" s="5">
        <v>16.75341807558442</v>
      </c>
      <c r="F422" s="5"/>
      <c r="G422" s="6">
        <f t="shared" si="41"/>
        <v>206.91666666666666</v>
      </c>
      <c r="H422" s="6">
        <f t="shared" si="41"/>
        <v>7.0276247375387548</v>
      </c>
      <c r="I422" s="6">
        <f t="shared" si="41"/>
        <v>27.274680169774687</v>
      </c>
      <c r="J422" s="6">
        <f t="shared" si="40"/>
        <v>16.799716580091012</v>
      </c>
      <c r="L422" s="6"/>
      <c r="M422" s="6"/>
      <c r="N422" s="6"/>
      <c r="O422" s="6"/>
    </row>
    <row r="423" spans="1:15" x14ac:dyDescent="0.5">
      <c r="A423" s="4">
        <v>42826</v>
      </c>
      <c r="B423" s="1">
        <v>202.5</v>
      </c>
      <c r="C423" s="5">
        <v>6.8730000000000002</v>
      </c>
      <c r="D423" s="5">
        <v>25.14908333333333</v>
      </c>
      <c r="E423" s="5">
        <v>15.863069444444447</v>
      </c>
      <c r="F423" s="5"/>
      <c r="G423" s="6">
        <f t="shared" si="41"/>
        <v>208.91666666666666</v>
      </c>
      <c r="H423" s="6">
        <f t="shared" si="41"/>
        <v>7.0486444134646815</v>
      </c>
      <c r="I423" s="6">
        <f t="shared" si="41"/>
        <v>27.622974382737652</v>
      </c>
      <c r="J423" s="6">
        <f t="shared" si="40"/>
        <v>16.954687644905828</v>
      </c>
      <c r="L423" s="6"/>
      <c r="M423" s="6"/>
      <c r="N423" s="6"/>
      <c r="O423" s="6"/>
    </row>
    <row r="424" spans="1:15" x14ac:dyDescent="0.5">
      <c r="A424" s="4">
        <v>42856</v>
      </c>
      <c r="B424" s="1">
        <v>150</v>
      </c>
      <c r="C424" s="5">
        <v>6.8544220430107528</v>
      </c>
      <c r="D424" s="5">
        <v>24.743897849462364</v>
      </c>
      <c r="E424" s="5">
        <v>15.704798387096773</v>
      </c>
      <c r="F424" s="5"/>
      <c r="G424" s="6">
        <f t="shared" si="41"/>
        <v>198.66666666666666</v>
      </c>
      <c r="H424" s="6">
        <f t="shared" si="41"/>
        <v>7.0667806141815284</v>
      </c>
      <c r="I424" s="6">
        <f t="shared" si="41"/>
        <v>27.839473038651633</v>
      </c>
      <c r="J424" s="6">
        <f t="shared" si="40"/>
        <v>17.04913656963701</v>
      </c>
      <c r="L424" s="6"/>
      <c r="M424" s="6"/>
      <c r="N424" s="6"/>
      <c r="O424" s="6"/>
    </row>
    <row r="425" spans="1:15" x14ac:dyDescent="0.5">
      <c r="A425" s="4">
        <v>42887</v>
      </c>
      <c r="B425" s="1">
        <v>202.5</v>
      </c>
      <c r="C425" s="5">
        <v>6.8610833333333323</v>
      </c>
      <c r="D425" s="5">
        <v>25.037652777777776</v>
      </c>
      <c r="E425" s="5">
        <v>15.787124999999998</v>
      </c>
      <c r="F425" s="5"/>
      <c r="G425" s="6">
        <f t="shared" si="41"/>
        <v>161.91666666666666</v>
      </c>
      <c r="H425" s="6">
        <f t="shared" si="41"/>
        <v>7.0708558456630088</v>
      </c>
      <c r="I425" s="6">
        <f t="shared" si="41"/>
        <v>27.983714370794903</v>
      </c>
      <c r="J425" s="6">
        <f t="shared" si="40"/>
        <v>17.104357634451819</v>
      </c>
      <c r="L425" s="6"/>
      <c r="M425" s="6"/>
      <c r="N425" s="6"/>
      <c r="O425" s="6"/>
    </row>
    <row r="426" spans="1:15" x14ac:dyDescent="0.5">
      <c r="A426" s="4">
        <v>42917</v>
      </c>
      <c r="B426" s="1">
        <v>408.5</v>
      </c>
      <c r="C426" s="5">
        <v>7.0662768817204302</v>
      </c>
      <c r="D426" s="5">
        <v>27.123225806451611</v>
      </c>
      <c r="E426" s="5">
        <v>16.642150537634407</v>
      </c>
      <c r="F426" s="5"/>
      <c r="G426" s="6">
        <f t="shared" si="41"/>
        <v>163.5</v>
      </c>
      <c r="H426" s="6">
        <f t="shared" si="41"/>
        <v>7.0623399406450877</v>
      </c>
      <c r="I426" s="6">
        <f t="shared" si="41"/>
        <v>27.933764206517722</v>
      </c>
      <c r="J426" s="6">
        <f t="shared" si="40"/>
        <v>17.08818267925469</v>
      </c>
      <c r="L426" s="6"/>
      <c r="M426" s="6"/>
      <c r="N426" s="6"/>
      <c r="O426" s="6"/>
    </row>
    <row r="427" spans="1:15" x14ac:dyDescent="0.5">
      <c r="A427" s="4">
        <v>42948</v>
      </c>
      <c r="B427" s="1">
        <v>158</v>
      </c>
      <c r="C427" s="5">
        <v>7.0865725806451616</v>
      </c>
      <c r="D427" s="5">
        <v>28.735241935483874</v>
      </c>
      <c r="E427" s="5">
        <v>17.28985215053763</v>
      </c>
      <c r="F427" s="5"/>
      <c r="G427" s="6">
        <f t="shared" si="41"/>
        <v>171.5</v>
      </c>
      <c r="H427" s="6">
        <f t="shared" si="41"/>
        <v>7.048250558924658</v>
      </c>
      <c r="I427" s="6">
        <f t="shared" si="41"/>
        <v>27.758484188596572</v>
      </c>
      <c r="J427" s="6">
        <f t="shared" si="40"/>
        <v>16.992521412106004</v>
      </c>
      <c r="L427" s="6"/>
      <c r="M427" s="6"/>
      <c r="N427" s="6"/>
      <c r="O427" s="6"/>
    </row>
    <row r="428" spans="1:15" x14ac:dyDescent="0.5">
      <c r="A428" s="4">
        <v>42979</v>
      </c>
      <c r="B428" s="1">
        <v>241</v>
      </c>
      <c r="C428" s="5">
        <v>7.1347222222222229</v>
      </c>
      <c r="D428" s="5">
        <v>29.325444444444443</v>
      </c>
      <c r="E428" s="5">
        <v>17.569875</v>
      </c>
      <c r="F428" s="5"/>
      <c r="G428" s="6">
        <f t="shared" si="41"/>
        <v>163.54166666666666</v>
      </c>
      <c r="H428" s="6">
        <f t="shared" si="41"/>
        <v>7.0350642163320662</v>
      </c>
      <c r="I428" s="6">
        <f t="shared" si="41"/>
        <v>27.600529327485457</v>
      </c>
      <c r="J428" s="6">
        <f t="shared" si="40"/>
        <v>16.91381423618008</v>
      </c>
      <c r="L428" s="6"/>
      <c r="M428" s="6"/>
      <c r="N428" s="6"/>
      <c r="O428" s="6"/>
    </row>
    <row r="429" spans="1:15" x14ac:dyDescent="0.5">
      <c r="A429" s="4">
        <v>43009</v>
      </c>
      <c r="B429" s="1">
        <v>196</v>
      </c>
      <c r="C429" s="5">
        <v>7.1333870967741912</v>
      </c>
      <c r="D429" s="5">
        <v>28.973682795698927</v>
      </c>
      <c r="E429" s="5">
        <v>17.434516129032268</v>
      </c>
      <c r="F429" s="5"/>
      <c r="G429" s="6">
        <f t="shared" si="41"/>
        <v>163.125</v>
      </c>
      <c r="H429" s="6">
        <f t="shared" si="41"/>
        <v>7.0234132306689832</v>
      </c>
      <c r="I429" s="6">
        <f t="shared" si="41"/>
        <v>27.448976908130621</v>
      </c>
      <c r="J429" s="6">
        <f t="shared" si="40"/>
        <v>16.837070284567179</v>
      </c>
      <c r="L429" s="6"/>
      <c r="M429" s="6"/>
      <c r="N429" s="6"/>
      <c r="O429" s="6"/>
    </row>
    <row r="430" spans="1:15" x14ac:dyDescent="0.5">
      <c r="A430" s="4">
        <v>43040</v>
      </c>
      <c r="B430" s="1">
        <v>60.5</v>
      </c>
      <c r="C430" s="5">
        <v>7.0667222222222223</v>
      </c>
      <c r="D430" s="5">
        <v>28.128805555555552</v>
      </c>
      <c r="E430" s="5">
        <v>17.120888888888889</v>
      </c>
      <c r="F430" s="5"/>
      <c r="G430" s="6">
        <f t="shared" si="41"/>
        <v>159.04166666666666</v>
      </c>
      <c r="H430" s="6">
        <f t="shared" si="41"/>
        <v>7.0133727214097243</v>
      </c>
      <c r="I430" s="6">
        <f t="shared" si="41"/>
        <v>27.305806769241737</v>
      </c>
      <c r="J430" s="6">
        <f t="shared" si="40"/>
        <v>16.770661719752361</v>
      </c>
      <c r="L430" s="6"/>
      <c r="M430" s="6"/>
      <c r="N430" s="6"/>
      <c r="O430" s="6"/>
    </row>
    <row r="431" spans="1:15" x14ac:dyDescent="0.5">
      <c r="A431" s="4">
        <v>43070</v>
      </c>
      <c r="B431" s="1">
        <v>16</v>
      </c>
      <c r="C431" s="5">
        <v>6.9676612903225816</v>
      </c>
      <c r="D431" s="5">
        <v>26.753158602150538</v>
      </c>
      <c r="E431" s="5">
        <v>16.573266129032262</v>
      </c>
      <c r="F431" s="5"/>
      <c r="G431" s="6">
        <f t="shared" si="41"/>
        <v>151.54166666666666</v>
      </c>
      <c r="H431" s="6">
        <f t="shared" si="41"/>
        <v>7.0018113414814103</v>
      </c>
      <c r="I431" s="6">
        <f t="shared" si="41"/>
        <v>27.14050995024532</v>
      </c>
      <c r="J431" s="6">
        <f t="shared" si="40"/>
        <v>16.697098771723688</v>
      </c>
      <c r="L431" s="6"/>
      <c r="M431" s="6"/>
      <c r="N431" s="6"/>
      <c r="O431" s="6"/>
    </row>
  </sheetData>
  <mergeCells count="3">
    <mergeCell ref="B1:E1"/>
    <mergeCell ref="G1:J1"/>
    <mergeCell ref="M1:P1"/>
  </mergeCells>
  <phoneticPr fontId="21"/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3"/>
  <sheetViews>
    <sheetView zoomScale="110" zoomScaleNormal="110" workbookViewId="0">
      <selection activeCell="F13" sqref="F13"/>
    </sheetView>
  </sheetViews>
  <sheetFormatPr defaultColWidth="10.90625" defaultRowHeight="19.8" x14ac:dyDescent="0.5"/>
  <cols>
    <col min="1" max="1" width="6.453125" customWidth="1"/>
    <col min="2" max="2" width="5.1796875" bestFit="1" customWidth="1"/>
    <col min="3" max="3" width="10.453125" customWidth="1"/>
    <col min="4" max="4" width="11.453125" customWidth="1"/>
    <col min="5" max="5" width="13.6328125" customWidth="1"/>
    <col min="6" max="6" width="13.453125" customWidth="1"/>
    <col min="7" max="7" width="16.453125" customWidth="1"/>
    <col min="8" max="8" width="14.81640625" customWidth="1"/>
    <col min="9" max="9" width="9.81640625" customWidth="1"/>
    <col min="10" max="10" width="11.6328125" customWidth="1"/>
    <col min="11" max="11" width="12" customWidth="1"/>
    <col min="12" max="12" width="15.81640625" customWidth="1"/>
    <col min="13" max="13" width="16.36328125" customWidth="1"/>
    <col min="14" max="14" width="16" customWidth="1"/>
    <col min="15" max="15" width="17" customWidth="1"/>
    <col min="16" max="16" width="12" customWidth="1"/>
    <col min="17" max="17" width="17.453125" style="51" customWidth="1"/>
    <col min="18" max="18" width="16.81640625" bestFit="1" customWidth="1"/>
  </cols>
  <sheetData>
    <row r="2" spans="1:18" x14ac:dyDescent="0.5">
      <c r="A2" s="140"/>
      <c r="B2" s="140"/>
      <c r="C2" s="140" t="s">
        <v>216</v>
      </c>
      <c r="D2" s="140"/>
      <c r="E2" s="140" t="s">
        <v>197</v>
      </c>
      <c r="F2" s="140"/>
      <c r="G2" s="140" t="s">
        <v>240</v>
      </c>
      <c r="H2" s="140"/>
      <c r="I2" s="140"/>
      <c r="J2" s="140" t="s">
        <v>216</v>
      </c>
      <c r="K2" s="140"/>
      <c r="L2" s="140" t="s">
        <v>197</v>
      </c>
      <c r="M2" s="140"/>
      <c r="N2" s="140" t="s">
        <v>240</v>
      </c>
      <c r="O2" s="140"/>
      <c r="P2" s="140"/>
      <c r="Q2" s="140" t="s">
        <v>240</v>
      </c>
      <c r="R2" s="140" t="s">
        <v>181</v>
      </c>
    </row>
    <row r="3" spans="1:18" ht="59.4" x14ac:dyDescent="0.5">
      <c r="A3" s="140"/>
      <c r="B3" s="138" t="s">
        <v>58</v>
      </c>
      <c r="C3" s="76" t="s">
        <v>219</v>
      </c>
      <c r="D3" s="76" t="s">
        <v>220</v>
      </c>
      <c r="E3" s="76" t="s">
        <v>242</v>
      </c>
      <c r="F3" s="76" t="s">
        <v>225</v>
      </c>
      <c r="G3" s="76" t="s">
        <v>239</v>
      </c>
      <c r="H3" s="76" t="s">
        <v>221</v>
      </c>
      <c r="I3" s="76" t="s">
        <v>222</v>
      </c>
      <c r="J3" s="76" t="s">
        <v>223</v>
      </c>
      <c r="K3" s="76" t="s">
        <v>224</v>
      </c>
      <c r="L3" s="76" t="s">
        <v>243</v>
      </c>
      <c r="M3" s="76" t="s">
        <v>227</v>
      </c>
      <c r="N3" s="76" t="s">
        <v>241</v>
      </c>
      <c r="O3" s="76" t="s">
        <v>228</v>
      </c>
      <c r="P3" s="76" t="s">
        <v>229</v>
      </c>
      <c r="Q3" s="76" t="s">
        <v>244</v>
      </c>
      <c r="R3" s="76" t="s">
        <v>244</v>
      </c>
    </row>
    <row r="4" spans="1:18" x14ac:dyDescent="0.5">
      <c r="A4" s="140" t="s">
        <v>322</v>
      </c>
      <c r="B4" s="140">
        <v>1982</v>
      </c>
      <c r="C4" s="141">
        <v>3513.73</v>
      </c>
      <c r="D4" s="76"/>
      <c r="E4" s="76"/>
      <c r="F4" s="76"/>
      <c r="G4" s="76"/>
      <c r="H4" s="76"/>
      <c r="I4" s="76"/>
      <c r="J4" s="141">
        <v>2864.64</v>
      </c>
      <c r="K4" s="76"/>
      <c r="L4" s="76"/>
      <c r="M4" s="76"/>
      <c r="N4" s="76"/>
      <c r="O4" s="76"/>
      <c r="P4" s="76"/>
      <c r="Q4" s="76"/>
      <c r="R4" s="76"/>
    </row>
    <row r="5" spans="1:18" x14ac:dyDescent="0.5">
      <c r="A5" s="140" t="s">
        <v>323</v>
      </c>
      <c r="B5" s="140">
        <v>1983</v>
      </c>
      <c r="C5" s="141">
        <v>3757.11</v>
      </c>
      <c r="D5" s="76"/>
      <c r="E5" s="76"/>
      <c r="F5" s="76"/>
      <c r="G5" s="76"/>
      <c r="H5" s="76"/>
      <c r="I5" s="76"/>
      <c r="J5" s="141">
        <v>2752.75</v>
      </c>
      <c r="K5" s="76"/>
      <c r="L5" s="76"/>
      <c r="M5" s="76"/>
      <c r="N5" s="76"/>
      <c r="O5" s="76"/>
      <c r="P5" s="76"/>
      <c r="Q5" s="76"/>
      <c r="R5" s="76"/>
    </row>
    <row r="6" spans="1:18" x14ac:dyDescent="0.5">
      <c r="A6" s="140" t="s">
        <v>324</v>
      </c>
      <c r="B6" s="140">
        <v>1984</v>
      </c>
      <c r="C6" s="141">
        <v>4383.62</v>
      </c>
      <c r="D6" s="76"/>
      <c r="E6" s="76"/>
      <c r="F6" s="76"/>
      <c r="G6" s="76"/>
      <c r="H6" s="76"/>
      <c r="I6" s="76"/>
      <c r="J6" s="141">
        <v>3001.29</v>
      </c>
      <c r="K6" s="76"/>
      <c r="L6" s="76"/>
      <c r="M6" s="76"/>
      <c r="N6" s="76"/>
      <c r="O6" s="76"/>
      <c r="P6" s="76"/>
      <c r="Q6" s="76"/>
      <c r="R6" s="76"/>
    </row>
    <row r="7" spans="1:18" x14ac:dyDescent="0.5">
      <c r="A7" s="140" t="s">
        <v>325</v>
      </c>
      <c r="B7" s="140">
        <v>1985</v>
      </c>
      <c r="C7" s="141">
        <v>4590.1499999999996</v>
      </c>
      <c r="D7" s="76"/>
      <c r="E7" s="76"/>
      <c r="F7" s="76"/>
      <c r="G7" s="76"/>
      <c r="H7" s="76"/>
      <c r="I7" s="76"/>
      <c r="J7" s="141">
        <v>3028.12</v>
      </c>
      <c r="K7" s="76"/>
      <c r="L7" s="76"/>
      <c r="M7" s="76"/>
      <c r="N7" s="76"/>
      <c r="O7" s="76"/>
      <c r="P7" s="76"/>
      <c r="Q7" s="76"/>
      <c r="R7" s="76"/>
    </row>
    <row r="8" spans="1:18" x14ac:dyDescent="0.5">
      <c r="A8" s="140" t="s">
        <v>326</v>
      </c>
      <c r="B8" s="140">
        <v>1986</v>
      </c>
      <c r="C8" s="141">
        <v>4471.93</v>
      </c>
      <c r="D8" s="76"/>
      <c r="E8" s="76"/>
      <c r="F8" s="76"/>
      <c r="G8" s="76"/>
      <c r="H8" s="76"/>
      <c r="I8" s="76"/>
      <c r="J8" s="141">
        <v>2951.24</v>
      </c>
      <c r="K8" s="76"/>
      <c r="L8" s="76"/>
      <c r="M8" s="76"/>
      <c r="N8" s="76"/>
      <c r="O8" s="76"/>
      <c r="P8" s="76"/>
      <c r="Q8" s="76"/>
      <c r="R8" s="76"/>
    </row>
    <row r="9" spans="1:18" x14ac:dyDescent="0.5">
      <c r="A9" s="140" t="s">
        <v>321</v>
      </c>
      <c r="B9" s="140">
        <v>1987</v>
      </c>
      <c r="C9" s="141">
        <v>4378.8500000000004</v>
      </c>
      <c r="D9" s="76"/>
      <c r="E9" s="76"/>
      <c r="F9" s="76"/>
      <c r="G9" s="76"/>
      <c r="H9" s="76"/>
      <c r="I9" s="76"/>
      <c r="J9" s="141">
        <v>2804.15</v>
      </c>
      <c r="K9" s="76"/>
      <c r="L9" s="76"/>
      <c r="M9" s="76"/>
      <c r="N9" s="76"/>
      <c r="O9" s="76"/>
      <c r="P9" s="76"/>
      <c r="Q9" s="76"/>
      <c r="R9" s="76"/>
    </row>
    <row r="10" spans="1:18" x14ac:dyDescent="0.5">
      <c r="A10" s="140" t="s">
        <v>320</v>
      </c>
      <c r="B10" s="140">
        <v>1988</v>
      </c>
      <c r="C10" s="141">
        <v>4202.25</v>
      </c>
      <c r="D10" s="76"/>
      <c r="E10" s="76"/>
      <c r="F10" s="76"/>
      <c r="G10" s="76"/>
      <c r="H10" s="76"/>
      <c r="I10" s="76"/>
      <c r="J10" s="141">
        <v>2899.67</v>
      </c>
      <c r="K10" s="76"/>
      <c r="L10" s="76"/>
      <c r="M10" s="76"/>
      <c r="N10" s="76"/>
      <c r="O10" s="76"/>
      <c r="P10" s="76"/>
      <c r="Q10" s="76"/>
      <c r="R10" s="76"/>
    </row>
    <row r="11" spans="1:18" x14ac:dyDescent="0.5">
      <c r="A11" s="140" t="s">
        <v>319</v>
      </c>
      <c r="B11" s="140">
        <v>1989</v>
      </c>
      <c r="C11" s="141">
        <v>4017.86</v>
      </c>
      <c r="D11" s="76"/>
      <c r="E11" s="76"/>
      <c r="F11" s="76"/>
      <c r="G11" s="76"/>
      <c r="H11" s="76"/>
      <c r="I11" s="76"/>
      <c r="J11" s="141">
        <v>2781.83</v>
      </c>
      <c r="K11" s="76"/>
      <c r="L11" s="76"/>
      <c r="M11" s="76"/>
      <c r="N11" s="76"/>
      <c r="O11" s="76"/>
      <c r="P11" s="76"/>
      <c r="Q11" s="76"/>
      <c r="R11" s="76"/>
    </row>
    <row r="12" spans="1:18" x14ac:dyDescent="0.5">
      <c r="A12" s="140" t="s">
        <v>308</v>
      </c>
      <c r="B12" s="140">
        <v>1990</v>
      </c>
      <c r="C12" s="141">
        <v>5686.47</v>
      </c>
      <c r="D12" s="76"/>
      <c r="E12" s="76"/>
      <c r="F12" s="76"/>
      <c r="G12" s="76"/>
      <c r="H12" s="76"/>
      <c r="I12" s="76"/>
      <c r="J12" s="141">
        <v>3561.7</v>
      </c>
      <c r="K12" s="76"/>
      <c r="L12" s="76"/>
      <c r="M12" s="76"/>
      <c r="N12" s="76"/>
      <c r="O12" s="76"/>
      <c r="P12" s="76"/>
      <c r="Q12" s="76"/>
      <c r="R12" s="76"/>
    </row>
    <row r="13" spans="1:18" x14ac:dyDescent="0.5">
      <c r="A13" s="140" t="s">
        <v>309</v>
      </c>
      <c r="B13" s="140">
        <v>1991</v>
      </c>
      <c r="C13" s="141">
        <v>5253.99</v>
      </c>
      <c r="D13" s="76"/>
      <c r="E13" s="76"/>
      <c r="F13" s="76"/>
      <c r="G13" s="76"/>
      <c r="H13" s="76"/>
      <c r="I13" s="76"/>
      <c r="J13" s="141">
        <v>3125.43</v>
      </c>
      <c r="K13" s="76"/>
      <c r="L13" s="76"/>
      <c r="M13" s="76"/>
      <c r="N13" s="76"/>
      <c r="O13" s="76"/>
      <c r="P13" s="76"/>
      <c r="Q13" s="76"/>
      <c r="R13" s="76"/>
    </row>
    <row r="14" spans="1:18" x14ac:dyDescent="0.5">
      <c r="A14" s="140" t="s">
        <v>310</v>
      </c>
      <c r="B14" s="140">
        <v>1992</v>
      </c>
      <c r="C14" s="141">
        <v>5470.37</v>
      </c>
      <c r="D14" s="76"/>
      <c r="E14" s="76"/>
      <c r="F14" s="76"/>
      <c r="G14" s="76"/>
      <c r="H14" s="76"/>
      <c r="I14" s="76"/>
      <c r="J14" s="141">
        <v>3329.39</v>
      </c>
      <c r="K14" s="76"/>
      <c r="L14" s="76"/>
      <c r="M14" s="76"/>
      <c r="N14" s="76"/>
      <c r="O14" s="76"/>
      <c r="P14" s="76"/>
      <c r="Q14" s="76"/>
      <c r="R14" s="76"/>
    </row>
    <row r="15" spans="1:18" x14ac:dyDescent="0.5">
      <c r="A15" s="140" t="s">
        <v>311</v>
      </c>
      <c r="B15" s="140">
        <v>1993</v>
      </c>
      <c r="C15" s="141">
        <v>5046.43</v>
      </c>
      <c r="D15" s="76"/>
      <c r="E15" s="76"/>
      <c r="F15" s="76"/>
      <c r="G15" s="76"/>
      <c r="H15" s="76"/>
      <c r="I15" s="76"/>
      <c r="J15" s="141">
        <v>3008.77</v>
      </c>
      <c r="K15" s="76"/>
      <c r="L15" s="76"/>
      <c r="M15" s="76"/>
      <c r="N15" s="76"/>
      <c r="O15" s="76"/>
      <c r="P15" s="76"/>
      <c r="Q15" s="76"/>
      <c r="R15" s="76"/>
    </row>
    <row r="16" spans="1:18" x14ac:dyDescent="0.5">
      <c r="A16" s="140" t="s">
        <v>312</v>
      </c>
      <c r="B16" s="140">
        <v>1994</v>
      </c>
      <c r="C16" s="141">
        <v>5628.13</v>
      </c>
      <c r="D16" s="76"/>
      <c r="E16" s="76"/>
      <c r="F16" s="76"/>
      <c r="G16" s="76"/>
      <c r="H16" s="76"/>
      <c r="I16" s="76"/>
      <c r="J16" s="141">
        <v>3240.28</v>
      </c>
      <c r="K16" s="76"/>
      <c r="L16" s="76"/>
      <c r="M16" s="76"/>
      <c r="N16" s="76"/>
      <c r="O16" s="76"/>
      <c r="P16" s="76"/>
      <c r="Q16" s="76"/>
      <c r="R16" s="76"/>
    </row>
    <row r="17" spans="1:18" x14ac:dyDescent="0.5">
      <c r="A17" s="140" t="s">
        <v>313</v>
      </c>
      <c r="B17" s="140">
        <v>1995</v>
      </c>
      <c r="C17" s="141">
        <v>5027.8500000000004</v>
      </c>
      <c r="D17" s="76"/>
      <c r="E17" s="76"/>
      <c r="F17" s="76"/>
      <c r="G17" s="76"/>
      <c r="H17" s="76"/>
      <c r="I17" s="76"/>
      <c r="J17" s="141">
        <v>2977.79</v>
      </c>
      <c r="K17" s="76"/>
      <c r="L17" s="76"/>
      <c r="M17" s="76"/>
      <c r="N17" s="76"/>
      <c r="O17" s="76"/>
      <c r="P17" s="76"/>
      <c r="Q17" s="76"/>
      <c r="R17" s="76"/>
    </row>
    <row r="18" spans="1:18" x14ac:dyDescent="0.5">
      <c r="A18" s="140" t="s">
        <v>314</v>
      </c>
      <c r="B18" s="140">
        <v>1996</v>
      </c>
      <c r="C18" s="141">
        <v>5154.6499999999996</v>
      </c>
      <c r="D18" s="76"/>
      <c r="E18" s="76"/>
      <c r="F18" s="76"/>
      <c r="G18" s="76"/>
      <c r="H18" s="76"/>
      <c r="I18" s="76"/>
      <c r="J18" s="141">
        <v>2908.65</v>
      </c>
      <c r="K18" s="76"/>
      <c r="L18" s="76"/>
      <c r="M18" s="76"/>
      <c r="N18" s="76"/>
      <c r="O18" s="76"/>
      <c r="P18" s="76"/>
      <c r="Q18" s="76"/>
      <c r="R18" s="76"/>
    </row>
    <row r="19" spans="1:18" x14ac:dyDescent="0.5">
      <c r="A19" s="140" t="s">
        <v>315</v>
      </c>
      <c r="B19" s="140">
        <v>1997</v>
      </c>
      <c r="C19" s="141">
        <v>4979.29</v>
      </c>
      <c r="D19" s="76"/>
      <c r="E19" s="76"/>
      <c r="F19" s="76"/>
      <c r="G19" s="76"/>
      <c r="H19" s="76"/>
      <c r="I19" s="76"/>
      <c r="J19" s="141">
        <v>2700.12</v>
      </c>
      <c r="K19" s="76"/>
      <c r="L19" s="76"/>
      <c r="M19" s="76"/>
      <c r="N19" s="76"/>
      <c r="O19" s="76"/>
      <c r="P19" s="76"/>
      <c r="Q19" s="76"/>
      <c r="R19" s="76"/>
    </row>
    <row r="20" spans="1:18" x14ac:dyDescent="0.5">
      <c r="A20" s="140" t="s">
        <v>316</v>
      </c>
      <c r="B20" s="140">
        <v>1998</v>
      </c>
      <c r="C20" s="141">
        <v>5230.9399999999996</v>
      </c>
      <c r="D20" s="76"/>
      <c r="E20" s="76"/>
      <c r="F20" s="76"/>
      <c r="G20" s="76"/>
      <c r="H20" s="76"/>
      <c r="I20" s="76"/>
      <c r="J20" s="141">
        <v>2923.99</v>
      </c>
      <c r="K20" s="76"/>
      <c r="L20" s="76"/>
      <c r="M20" s="76"/>
      <c r="N20" s="76"/>
      <c r="O20" s="76"/>
      <c r="P20" s="76"/>
      <c r="Q20" s="76"/>
      <c r="R20" s="76"/>
    </row>
    <row r="21" spans="1:18" x14ac:dyDescent="0.5">
      <c r="A21" s="140" t="s">
        <v>317</v>
      </c>
      <c r="B21" s="140">
        <v>1999</v>
      </c>
      <c r="C21" s="141">
        <v>5126.8100000000004</v>
      </c>
      <c r="D21" s="76"/>
      <c r="E21" s="76"/>
      <c r="F21" s="76"/>
      <c r="G21" s="76"/>
      <c r="H21" s="76"/>
      <c r="I21" s="76"/>
      <c r="J21" s="141">
        <v>2128.46</v>
      </c>
      <c r="K21" s="76"/>
      <c r="L21" s="76"/>
      <c r="M21" s="76"/>
      <c r="N21" s="76"/>
      <c r="O21" s="76"/>
      <c r="P21" s="76"/>
      <c r="Q21" s="76"/>
      <c r="R21" s="76"/>
    </row>
    <row r="22" spans="1:18" x14ac:dyDescent="0.5">
      <c r="A22" s="140" t="s">
        <v>318</v>
      </c>
      <c r="B22" s="140">
        <v>2000</v>
      </c>
      <c r="C22" s="141">
        <v>4000.66</v>
      </c>
      <c r="D22" s="76"/>
      <c r="E22" s="76"/>
      <c r="F22" s="76"/>
      <c r="G22" s="76"/>
      <c r="H22" s="76"/>
      <c r="I22" s="76"/>
      <c r="J22" s="141">
        <v>2359.4899999999998</v>
      </c>
      <c r="K22" s="76"/>
      <c r="L22" s="76"/>
      <c r="M22" s="76"/>
      <c r="N22" s="76"/>
      <c r="O22" s="76"/>
      <c r="P22" s="76"/>
      <c r="Q22" s="76"/>
      <c r="R22" s="76"/>
    </row>
    <row r="23" spans="1:18" x14ac:dyDescent="0.5">
      <c r="A23" s="140" t="s">
        <v>198</v>
      </c>
      <c r="B23" s="140">
        <v>2001</v>
      </c>
      <c r="C23" s="141">
        <v>3669.0323276845888</v>
      </c>
      <c r="D23" s="140">
        <v>864</v>
      </c>
      <c r="E23" s="142">
        <f t="shared" ref="E23:E37" si="0">C23*1000/D23</f>
        <v>4246.565194079385</v>
      </c>
      <c r="F23" s="142"/>
      <c r="G23" s="140"/>
      <c r="H23" s="143">
        <v>2674.6444308832306</v>
      </c>
      <c r="I23" s="143"/>
      <c r="J23" s="141">
        <v>2183.1370455584665</v>
      </c>
      <c r="K23" s="140">
        <v>559</v>
      </c>
      <c r="L23" s="143">
        <f t="shared" ref="L23:L37" si="1">J23*1000/K23</f>
        <v>3905.4329974212283</v>
      </c>
      <c r="M23" s="142"/>
      <c r="N23" s="140"/>
      <c r="O23" s="143">
        <v>2562.7689879038244</v>
      </c>
      <c r="P23" s="143"/>
      <c r="Q23" s="143"/>
      <c r="R23" s="143"/>
    </row>
    <row r="24" spans="1:18" x14ac:dyDescent="0.5">
      <c r="A24" s="140" t="s">
        <v>199</v>
      </c>
      <c r="B24" s="140">
        <v>2002</v>
      </c>
      <c r="C24" s="141">
        <v>3744.3915925583751</v>
      </c>
      <c r="D24" s="140">
        <v>864</v>
      </c>
      <c r="E24" s="142">
        <f t="shared" si="0"/>
        <v>4333.7865654610823</v>
      </c>
      <c r="F24" s="142"/>
      <c r="G24" s="140"/>
      <c r="H24" s="143">
        <v>2662.2945470865802</v>
      </c>
      <c r="I24" s="143"/>
      <c r="J24" s="141">
        <v>2106.9401465220953</v>
      </c>
      <c r="K24" s="140">
        <v>559</v>
      </c>
      <c r="L24" s="143">
        <f t="shared" si="1"/>
        <v>3769.1236968194908</v>
      </c>
      <c r="M24" s="142"/>
      <c r="N24" s="140"/>
      <c r="O24" s="143">
        <v>2594.2258050791952</v>
      </c>
      <c r="P24" s="143"/>
      <c r="Q24" s="143"/>
      <c r="R24" s="143"/>
    </row>
    <row r="25" spans="1:18" x14ac:dyDescent="0.5">
      <c r="A25" s="140" t="s">
        <v>200</v>
      </c>
      <c r="B25" s="140">
        <v>2003</v>
      </c>
      <c r="C25" s="141">
        <v>3421.6442939328449</v>
      </c>
      <c r="D25" s="140">
        <v>864</v>
      </c>
      <c r="E25" s="142">
        <f t="shared" si="0"/>
        <v>3960.2364513111629</v>
      </c>
      <c r="F25" s="142"/>
      <c r="G25" s="140"/>
      <c r="H25" s="143">
        <v>2546.7503504794895</v>
      </c>
      <c r="I25" s="143"/>
      <c r="J25" s="141">
        <v>2018.0223070831382</v>
      </c>
      <c r="K25" s="140">
        <v>559</v>
      </c>
      <c r="L25" s="143">
        <f t="shared" si="1"/>
        <v>3610.0577944242186</v>
      </c>
      <c r="M25" s="142"/>
      <c r="N25" s="140"/>
      <c r="O25" s="143">
        <v>2547.5700132371335</v>
      </c>
      <c r="P25" s="143"/>
      <c r="Q25" s="143"/>
      <c r="R25" s="143"/>
    </row>
    <row r="26" spans="1:18" x14ac:dyDescent="0.5">
      <c r="A26" s="140" t="s">
        <v>201</v>
      </c>
      <c r="B26" s="140">
        <v>2004</v>
      </c>
      <c r="C26" s="141">
        <v>3671.926032523013</v>
      </c>
      <c r="D26" s="140">
        <v>864</v>
      </c>
      <c r="E26" s="142">
        <f t="shared" si="0"/>
        <v>4249.9143894942281</v>
      </c>
      <c r="F26" s="142">
        <f>(D26/SUM(D26,K26))*'Subsidy and recharge'!B3</f>
        <v>210.68728039353479</v>
      </c>
      <c r="G26" s="143">
        <f>E26*F26*1000</f>
        <v>895402904.62788868</v>
      </c>
      <c r="H26" s="143">
        <v>2590.5246406926408</v>
      </c>
      <c r="I26" s="143">
        <f t="shared" ref="I26:I36" si="2">(E26-H26)*F26</f>
        <v>349612.31328791729</v>
      </c>
      <c r="J26" s="141">
        <v>1907.0296276484055</v>
      </c>
      <c r="K26" s="140">
        <v>559</v>
      </c>
      <c r="L26" s="143">
        <f t="shared" si="1"/>
        <v>3411.5020172601171</v>
      </c>
      <c r="M26" s="142">
        <f>(K26/SUM(D26,K26))*'Subsidy and recharge'!B3</f>
        <v>136.31271960646521</v>
      </c>
      <c r="N26" s="143">
        <f>L26*M26*1000</f>
        <v>465031117.91566879</v>
      </c>
      <c r="O26" s="143">
        <v>2588.931831404745</v>
      </c>
      <c r="P26" s="143">
        <f t="shared" ref="P26:P36" si="3">(L26-O26)*M26</f>
        <v>112126.77910114131</v>
      </c>
      <c r="Q26" s="143">
        <f>G26+N26</f>
        <v>1360434022.5435574</v>
      </c>
      <c r="R26" s="144">
        <f>Q26/105</f>
        <v>12956514.500414832</v>
      </c>
    </row>
    <row r="27" spans="1:18" x14ac:dyDescent="0.5">
      <c r="A27" s="140" t="s">
        <v>202</v>
      </c>
      <c r="B27" s="140">
        <v>2005</v>
      </c>
      <c r="C27" s="141">
        <v>3466.1143441620748</v>
      </c>
      <c r="D27" s="140">
        <v>864</v>
      </c>
      <c r="E27" s="142">
        <f t="shared" si="0"/>
        <v>4011.7064168542533</v>
      </c>
      <c r="F27" s="142">
        <f>(D27/SUM(D27,K27))*'Subsidy and recharge'!C3</f>
        <v>256.22487702037949</v>
      </c>
      <c r="G27" s="143">
        <f t="shared" ref="G27:G36" si="4">E27*F27*1000</f>
        <v>1027898983.3003484</v>
      </c>
      <c r="H27" s="143">
        <v>2489.3040505720273</v>
      </c>
      <c r="I27" s="143">
        <f t="shared" si="2"/>
        <v>390077.35907619807</v>
      </c>
      <c r="J27" s="141">
        <v>1971.8105605673345</v>
      </c>
      <c r="K27" s="140">
        <v>559</v>
      </c>
      <c r="L27" s="143">
        <f t="shared" si="1"/>
        <v>3527.389196005965</v>
      </c>
      <c r="M27" s="142">
        <f>(K27/SUM(D27,K27))*'Subsidy and recharge'!C3</f>
        <v>165.77512297962053</v>
      </c>
      <c r="N27" s="143">
        <f t="shared" ref="N27:N36" si="5">L27*M27*1000</f>
        <v>584753377.76487362</v>
      </c>
      <c r="O27" s="143">
        <v>2507.8580193623975</v>
      </c>
      <c r="P27" s="143">
        <f t="shared" si="3"/>
        <v>169012.90618964462</v>
      </c>
      <c r="Q27" s="143">
        <f t="shared" ref="Q27:Q36" si="6">G27+N27</f>
        <v>1612652361.065222</v>
      </c>
      <c r="R27" s="144">
        <f t="shared" ref="R27:R36" si="7">Q27/105</f>
        <v>15358593.914906876</v>
      </c>
    </row>
    <row r="28" spans="1:18" x14ac:dyDescent="0.5">
      <c r="A28" s="140" t="s">
        <v>203</v>
      </c>
      <c r="B28" s="140">
        <v>2006</v>
      </c>
      <c r="C28" s="141">
        <v>2775.54</v>
      </c>
      <c r="D28" s="140">
        <v>592</v>
      </c>
      <c r="E28" s="142">
        <f t="shared" si="0"/>
        <v>4688.4121621621625</v>
      </c>
      <c r="F28" s="142">
        <f>(D28/SUM(D28,K28))*'Subsidy and recharge'!D3</f>
        <v>273.45598417408507</v>
      </c>
      <c r="G28" s="143">
        <f t="shared" si="4"/>
        <v>1282074362.0178044</v>
      </c>
      <c r="H28" s="143">
        <v>2644.3212878059348</v>
      </c>
      <c r="I28" s="143">
        <f t="shared" si="2"/>
        <v>558968.88178834831</v>
      </c>
      <c r="J28" s="141">
        <v>1635.18</v>
      </c>
      <c r="K28" s="140">
        <v>419</v>
      </c>
      <c r="L28" s="143">
        <f t="shared" si="1"/>
        <v>3902.5775656324581</v>
      </c>
      <c r="M28" s="142">
        <f>(K28/SUM(D28,K28))*'Subsidy and recharge'!D3</f>
        <v>193.54401582591495</v>
      </c>
      <c r="N28" s="143">
        <f t="shared" si="5"/>
        <v>755320534.12462914</v>
      </c>
      <c r="O28" s="143">
        <v>2636.3157580462171</v>
      </c>
      <c r="P28" s="143">
        <f t="shared" si="3"/>
        <v>245077.39532722312</v>
      </c>
      <c r="Q28" s="143">
        <f t="shared" si="6"/>
        <v>2037394896.1424336</v>
      </c>
      <c r="R28" s="144">
        <f t="shared" si="7"/>
        <v>19403760.915642224</v>
      </c>
    </row>
    <row r="29" spans="1:18" x14ac:dyDescent="0.5">
      <c r="A29" s="140" t="s">
        <v>204</v>
      </c>
      <c r="B29" s="140">
        <v>2007</v>
      </c>
      <c r="C29" s="141">
        <v>2471.9499999999998</v>
      </c>
      <c r="D29" s="140">
        <v>592</v>
      </c>
      <c r="E29" s="142">
        <f t="shared" si="0"/>
        <v>4175.5912162162158</v>
      </c>
      <c r="F29" s="142">
        <f>(D29/SUM(D29,K29))*'Subsidy and recharge'!E3</f>
        <v>307.41839762611272</v>
      </c>
      <c r="G29" s="143">
        <f t="shared" si="4"/>
        <v>1283653560.8308601</v>
      </c>
      <c r="H29" s="143">
        <v>2745.8751516630996</v>
      </c>
      <c r="I29" s="143">
        <f t="shared" si="2"/>
        <v>439521.0216252309</v>
      </c>
      <c r="J29" s="141">
        <v>2031.26</v>
      </c>
      <c r="K29" s="140">
        <v>419</v>
      </c>
      <c r="L29" s="143">
        <f t="shared" si="1"/>
        <v>4847.8758949880666</v>
      </c>
      <c r="M29" s="142">
        <f>(K29/SUM(D29,K29))*'Subsidy and recharge'!E3</f>
        <v>217.58160237388725</v>
      </c>
      <c r="N29" s="143">
        <f t="shared" si="5"/>
        <v>1054808605.3412464</v>
      </c>
      <c r="O29" s="143">
        <v>2765.0965328579809</v>
      </c>
      <c r="P29" s="143">
        <f t="shared" si="3"/>
        <v>453174.47100352682</v>
      </c>
      <c r="Q29" s="143">
        <f t="shared" si="6"/>
        <v>2338462166.1721067</v>
      </c>
      <c r="R29" s="144">
        <f t="shared" si="7"/>
        <v>22271068.249258161</v>
      </c>
    </row>
    <row r="30" spans="1:18" x14ac:dyDescent="0.5">
      <c r="A30" s="140" t="s">
        <v>205</v>
      </c>
      <c r="B30" s="140">
        <v>2008</v>
      </c>
      <c r="C30" s="141">
        <v>2675.74</v>
      </c>
      <c r="D30" s="140">
        <v>592</v>
      </c>
      <c r="E30" s="142">
        <f t="shared" si="0"/>
        <v>4519.8310810810808</v>
      </c>
      <c r="F30" s="142">
        <f>(D30/SUM(D30,K30))*'Subsidy and recharge'!F3</f>
        <v>299.80613254203757</v>
      </c>
      <c r="G30" s="143">
        <f t="shared" si="4"/>
        <v>1355073076.1622155</v>
      </c>
      <c r="H30" s="143">
        <v>2757.6388486015421</v>
      </c>
      <c r="I30" s="143">
        <f t="shared" si="2"/>
        <v>528316.03801530972</v>
      </c>
      <c r="J30" s="141">
        <v>1905.56</v>
      </c>
      <c r="K30" s="140">
        <v>419</v>
      </c>
      <c r="L30" s="143">
        <f t="shared" si="1"/>
        <v>4547.8758949880666</v>
      </c>
      <c r="M30" s="142">
        <f>(K30/SUM(D30,K30))*'Subsidy and recharge'!F3</f>
        <v>212.19386745796243</v>
      </c>
      <c r="N30" s="143">
        <f t="shared" si="5"/>
        <v>965031374.87636006</v>
      </c>
      <c r="O30" s="143">
        <v>2753.1548843259825</v>
      </c>
      <c r="P30" s="143">
        <f t="shared" si="3"/>
        <v>380828.79226045066</v>
      </c>
      <c r="Q30" s="143">
        <f t="shared" si="6"/>
        <v>2320104451.0385756</v>
      </c>
      <c r="R30" s="144">
        <f t="shared" si="7"/>
        <v>22096232.867034055</v>
      </c>
    </row>
    <row r="31" spans="1:18" x14ac:dyDescent="0.5">
      <c r="A31" s="140" t="s">
        <v>206</v>
      </c>
      <c r="B31" s="140">
        <v>2009</v>
      </c>
      <c r="C31" s="141">
        <v>2843.87</v>
      </c>
      <c r="D31" s="140">
        <v>592</v>
      </c>
      <c r="E31" s="142">
        <f t="shared" si="0"/>
        <v>4803.8344594594591</v>
      </c>
      <c r="F31" s="142">
        <f>(D31/SUM(D31,K31))*'Subsidy and recharge'!G3</f>
        <v>312.68842729970328</v>
      </c>
      <c r="G31" s="143">
        <f t="shared" si="4"/>
        <v>1502103442.1364985</v>
      </c>
      <c r="H31" s="143">
        <v>2705.0688176134713</v>
      </c>
      <c r="I31" s="143">
        <f t="shared" si="2"/>
        <v>656259.7278194743</v>
      </c>
      <c r="J31" s="141">
        <v>1799.27</v>
      </c>
      <c r="K31" s="140">
        <v>419</v>
      </c>
      <c r="L31" s="143">
        <f t="shared" si="1"/>
        <v>4294.2004773269691</v>
      </c>
      <c r="M31" s="142">
        <f>(K31/SUM(D31,K31))*'Subsidy and recharge'!G3</f>
        <v>221.31157270029675</v>
      </c>
      <c r="N31" s="143">
        <f t="shared" si="5"/>
        <v>950356261.1275965</v>
      </c>
      <c r="O31" s="143">
        <v>2723.8695457847252</v>
      </c>
      <c r="P31" s="143">
        <f t="shared" si="3"/>
        <v>347532.408119536</v>
      </c>
      <c r="Q31" s="143">
        <f t="shared" si="6"/>
        <v>2452459703.2640948</v>
      </c>
      <c r="R31" s="144">
        <f t="shared" si="7"/>
        <v>23356759.078705665</v>
      </c>
    </row>
    <row r="32" spans="1:18" x14ac:dyDescent="0.5">
      <c r="A32" s="140" t="s">
        <v>207</v>
      </c>
      <c r="B32" s="140">
        <v>2010</v>
      </c>
      <c r="C32" s="141">
        <v>3101.11</v>
      </c>
      <c r="D32" s="140">
        <v>592</v>
      </c>
      <c r="E32" s="142">
        <f t="shared" si="0"/>
        <v>5238.3614864864867</v>
      </c>
      <c r="F32" s="142">
        <f>(D32/SUM(D32,K32))*'Subsidy and recharge'!H3</f>
        <v>296.29277942631057</v>
      </c>
      <c r="G32" s="143">
        <f t="shared" si="4"/>
        <v>1552088684.4708209</v>
      </c>
      <c r="H32" s="143">
        <v>2768.0731027101665</v>
      </c>
      <c r="I32" s="143">
        <f t="shared" si="2"/>
        <v>731928.61121361447</v>
      </c>
      <c r="J32" s="141">
        <v>1839.07</v>
      </c>
      <c r="K32" s="140">
        <v>419</v>
      </c>
      <c r="L32" s="143">
        <f t="shared" si="1"/>
        <v>4389.1885441527447</v>
      </c>
      <c r="M32" s="142">
        <f>(K32/SUM(D32,K32))*'Subsidy and recharge'!H3</f>
        <v>209.70722057368943</v>
      </c>
      <c r="N32" s="143">
        <f t="shared" si="5"/>
        <v>920444530.16815042</v>
      </c>
      <c r="O32" s="143">
        <v>2786.3008659496236</v>
      </c>
      <c r="P32" s="143">
        <f t="shared" si="3"/>
        <v>336137.11988779082</v>
      </c>
      <c r="Q32" s="143">
        <f t="shared" si="6"/>
        <v>2472533214.6389713</v>
      </c>
      <c r="R32" s="144">
        <f t="shared" si="7"/>
        <v>23547935.377514012</v>
      </c>
    </row>
    <row r="33" spans="1:18" x14ac:dyDescent="0.5">
      <c r="A33" s="140" t="s">
        <v>208</v>
      </c>
      <c r="B33" s="140">
        <v>2011</v>
      </c>
      <c r="C33" s="141">
        <v>2897.41</v>
      </c>
      <c r="D33" s="140">
        <v>460</v>
      </c>
      <c r="E33" s="142">
        <f t="shared" si="0"/>
        <v>6298.717391304348</v>
      </c>
      <c r="F33" s="142">
        <f>(D33/SUM(D33,K33))*'Subsidy and recharge'!I3</f>
        <v>307.22627737226276</v>
      </c>
      <c r="G33" s="143">
        <f t="shared" si="4"/>
        <v>1935131496.3503649</v>
      </c>
      <c r="H33" s="143">
        <v>2765.4526781748918</v>
      </c>
      <c r="I33" s="143">
        <f t="shared" si="2"/>
        <v>1085511.7647855387</v>
      </c>
      <c r="J33" s="141">
        <v>1910.57</v>
      </c>
      <c r="K33" s="140">
        <v>362</v>
      </c>
      <c r="L33" s="143">
        <f t="shared" si="1"/>
        <v>5277.8176795580112</v>
      </c>
      <c r="M33" s="142">
        <f>(K33/SUM(D33,K33))*'Subsidy and recharge'!I3</f>
        <v>241.77372262773724</v>
      </c>
      <c r="N33" s="143">
        <f t="shared" si="5"/>
        <v>1276037627.7372265</v>
      </c>
      <c r="O33" s="143">
        <v>2806.3374439999998</v>
      </c>
      <c r="P33" s="143">
        <f t="shared" si="3"/>
        <v>597538.97695173731</v>
      </c>
      <c r="Q33" s="143">
        <f t="shared" si="6"/>
        <v>3211169124.0875912</v>
      </c>
      <c r="R33" s="144">
        <f t="shared" si="7"/>
        <v>30582563.086548489</v>
      </c>
    </row>
    <row r="34" spans="1:18" x14ac:dyDescent="0.5">
      <c r="A34" s="140" t="s">
        <v>209</v>
      </c>
      <c r="B34" s="140">
        <v>2012</v>
      </c>
      <c r="C34" s="141">
        <v>2642.23</v>
      </c>
      <c r="D34" s="140">
        <v>460</v>
      </c>
      <c r="E34" s="142">
        <f t="shared" si="0"/>
        <v>5743.978260869565</v>
      </c>
      <c r="F34" s="142">
        <f>(D34/SUM(D34,K34))*'Subsidy and recharge'!J3</f>
        <v>306.10705596107056</v>
      </c>
      <c r="G34" s="143">
        <f t="shared" si="4"/>
        <v>1758272274.9391727</v>
      </c>
      <c r="H34" s="143">
        <v>2770.2117235701739</v>
      </c>
      <c r="I34" s="143">
        <f t="shared" si="2"/>
        <v>910290.91984826373</v>
      </c>
      <c r="J34" s="141">
        <v>1787.77</v>
      </c>
      <c r="K34" s="140">
        <v>362</v>
      </c>
      <c r="L34" s="143">
        <f t="shared" si="1"/>
        <v>4938.5911602209944</v>
      </c>
      <c r="M34" s="142">
        <f>(K34/SUM(D34,K34))*'Subsidy and recharge'!J3</f>
        <v>240.89294403892944</v>
      </c>
      <c r="N34" s="143">
        <f t="shared" si="5"/>
        <v>1189671763.9902678</v>
      </c>
      <c r="O34" s="143">
        <v>2810.2926357351153</v>
      </c>
      <c r="P34" s="143">
        <f t="shared" si="3"/>
        <v>512692.09735711297</v>
      </c>
      <c r="Q34" s="143">
        <f t="shared" si="6"/>
        <v>2947944038.9294405</v>
      </c>
      <c r="R34" s="144">
        <f t="shared" si="7"/>
        <v>28075657.513613719</v>
      </c>
    </row>
    <row r="35" spans="1:18" x14ac:dyDescent="0.5">
      <c r="A35" s="140" t="s">
        <v>210</v>
      </c>
      <c r="B35" s="140">
        <v>2013</v>
      </c>
      <c r="C35" s="141">
        <v>2969.21</v>
      </c>
      <c r="D35" s="140">
        <v>460</v>
      </c>
      <c r="E35" s="142">
        <f t="shared" si="0"/>
        <v>6454.804347826087</v>
      </c>
      <c r="F35" s="142">
        <f>(D35/SUM(D35,K35))*'Subsidy and recharge'!K3</f>
        <v>294.91484184914839</v>
      </c>
      <c r="G35" s="143">
        <f t="shared" si="4"/>
        <v>1903617603.4063258</v>
      </c>
      <c r="H35" s="143">
        <v>2796.394195084672</v>
      </c>
      <c r="I35" s="143">
        <f t="shared" si="2"/>
        <v>1078919.4516150532</v>
      </c>
      <c r="J35" s="141">
        <v>1811.1</v>
      </c>
      <c r="K35" s="140">
        <v>362</v>
      </c>
      <c r="L35" s="143">
        <f t="shared" si="1"/>
        <v>5003.0386740331496</v>
      </c>
      <c r="M35" s="142">
        <f>(K35/SUM(D35,K35))*'Subsidy and recharge'!K3</f>
        <v>232.08515815085158</v>
      </c>
      <c r="N35" s="143">
        <f t="shared" si="5"/>
        <v>1161131021.8978102</v>
      </c>
      <c r="O35" s="143">
        <v>2843.5121313839963</v>
      </c>
      <c r="P35" s="143">
        <f t="shared" si="3"/>
        <v>501194.05918169045</v>
      </c>
      <c r="Q35" s="143">
        <f t="shared" si="6"/>
        <v>3064748625.3041363</v>
      </c>
      <c r="R35" s="144">
        <f t="shared" si="7"/>
        <v>29188082.145753678</v>
      </c>
    </row>
    <row r="36" spans="1:18" x14ac:dyDescent="0.5">
      <c r="A36" s="140" t="s">
        <v>211</v>
      </c>
      <c r="B36" s="140">
        <v>2014</v>
      </c>
      <c r="C36" s="141">
        <v>3140</v>
      </c>
      <c r="D36" s="140">
        <v>460</v>
      </c>
      <c r="E36" s="142">
        <f t="shared" si="0"/>
        <v>6826.086956521739</v>
      </c>
      <c r="F36" s="142">
        <f>(D36/SUM(D36,K36))*'Subsidy and recharge'!L3</f>
        <v>264.69586374695865</v>
      </c>
      <c r="G36" s="143">
        <f t="shared" si="4"/>
        <v>1806836982.96837</v>
      </c>
      <c r="H36" s="143">
        <v>2829.0277852202371</v>
      </c>
      <c r="I36" s="143">
        <f t="shared" si="2"/>
        <v>1058005.0297953538</v>
      </c>
      <c r="J36" s="141">
        <v>1891.79</v>
      </c>
      <c r="K36" s="140">
        <v>362</v>
      </c>
      <c r="L36" s="143">
        <f t="shared" si="1"/>
        <v>5225.9392265193374</v>
      </c>
      <c r="M36" s="142">
        <f>(K36/SUM(D36,K36))*'Subsidy and recharge'!L3</f>
        <v>208.30413625304138</v>
      </c>
      <c r="N36" s="143">
        <f t="shared" si="5"/>
        <v>1088584756.6909976</v>
      </c>
      <c r="O36" s="143">
        <v>2883.0172509358458</v>
      </c>
      <c r="P36" s="143">
        <f t="shared" si="3"/>
        <v>488040.3384321885</v>
      </c>
      <c r="Q36" s="143">
        <f t="shared" si="6"/>
        <v>2895421739.6593676</v>
      </c>
      <c r="R36" s="144">
        <f t="shared" si="7"/>
        <v>27575445.139613025</v>
      </c>
    </row>
    <row r="37" spans="1:18" x14ac:dyDescent="0.5">
      <c r="A37" s="140" t="s">
        <v>212</v>
      </c>
      <c r="B37" s="140">
        <v>2015</v>
      </c>
      <c r="C37" s="140">
        <v>3105.74</v>
      </c>
      <c r="D37" s="140">
        <v>460</v>
      </c>
      <c r="E37" s="142">
        <f t="shared" si="0"/>
        <v>6751.608695652174</v>
      </c>
      <c r="F37" s="142"/>
      <c r="G37" s="140"/>
      <c r="H37" s="140"/>
      <c r="I37" s="140"/>
      <c r="J37" s="141">
        <v>1845.15</v>
      </c>
      <c r="K37" s="140">
        <v>362</v>
      </c>
      <c r="L37" s="143">
        <f t="shared" si="1"/>
        <v>5097.0994475138123</v>
      </c>
      <c r="M37" s="142"/>
      <c r="N37" s="140"/>
      <c r="O37" s="140"/>
      <c r="P37" s="140"/>
      <c r="Q37" s="140"/>
      <c r="R37" s="140"/>
    </row>
    <row r="38" spans="1:18" x14ac:dyDescent="0.5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38" t="s">
        <v>33</v>
      </c>
      <c r="Q38" s="139">
        <f>AVERAGE(Q26:Q36)</f>
        <v>2428484031.1677723</v>
      </c>
      <c r="R38" s="140"/>
    </row>
    <row r="39" spans="1:18" x14ac:dyDescent="0.5">
      <c r="A39" s="140" t="s">
        <v>213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38" t="s">
        <v>250</v>
      </c>
      <c r="Q39" s="139">
        <f>MIN(Q26:Q36)</f>
        <v>1360434022.5435574</v>
      </c>
      <c r="R39" s="140"/>
    </row>
    <row r="40" spans="1:18" x14ac:dyDescent="0.5">
      <c r="A40" s="140" t="s">
        <v>214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38" t="s">
        <v>254</v>
      </c>
      <c r="Q40" s="139">
        <f>MAX(Q26:Q36)</f>
        <v>3211169124.0875912</v>
      </c>
      <c r="R40" s="140"/>
    </row>
    <row r="41" spans="1:18" x14ac:dyDescent="0.5">
      <c r="A41" t="s">
        <v>215</v>
      </c>
    </row>
    <row r="43" spans="1:18" x14ac:dyDescent="0.5">
      <c r="A43" s="51" t="s">
        <v>226</v>
      </c>
      <c r="B43" s="51"/>
      <c r="C43" s="51"/>
      <c r="D43" s="51"/>
      <c r="E43" s="75"/>
      <c r="F43" s="51"/>
    </row>
  </sheetData>
  <phoneticPr fontId="21"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83"/>
  <sheetViews>
    <sheetView workbookViewId="0"/>
  </sheetViews>
  <sheetFormatPr defaultColWidth="10.90625" defaultRowHeight="19.8" x14ac:dyDescent="0.5"/>
  <cols>
    <col min="1" max="1" width="34.453125" customWidth="1"/>
    <col min="2" max="2" width="28.1796875" customWidth="1"/>
    <col min="3" max="3" width="20.36328125" customWidth="1"/>
    <col min="4" max="4" width="17.453125" customWidth="1"/>
    <col min="5" max="5" width="19.81640625" customWidth="1"/>
    <col min="6" max="6" width="15.6328125" customWidth="1"/>
    <col min="7" max="7" width="16.36328125" customWidth="1"/>
    <col min="8" max="8" width="18.453125" bestFit="1" customWidth="1"/>
    <col min="9" max="9" width="14.81640625" bestFit="1" customWidth="1"/>
    <col min="10" max="10" width="16" customWidth="1"/>
    <col min="11" max="11" width="14.81640625" bestFit="1" customWidth="1"/>
    <col min="12" max="12" width="13.6328125" customWidth="1"/>
    <col min="13" max="13" width="14.81640625" bestFit="1" customWidth="1"/>
    <col min="14" max="14" width="12.1796875" customWidth="1"/>
    <col min="15" max="15" width="14.81640625" bestFit="1" customWidth="1"/>
    <col min="16" max="16" width="11.6328125" customWidth="1"/>
    <col min="17" max="17" width="14.81640625" bestFit="1" customWidth="1"/>
  </cols>
  <sheetData>
    <row r="1" spans="1:17" ht="22.2" x14ac:dyDescent="0.55000000000000004">
      <c r="A1" s="54" t="s">
        <v>217</v>
      </c>
    </row>
    <row r="2" spans="1:17" x14ac:dyDescent="0.5">
      <c r="A2" t="s">
        <v>158</v>
      </c>
      <c r="C2">
        <v>4.4000000000000003E-3</v>
      </c>
      <c r="D2" t="s">
        <v>160</v>
      </c>
    </row>
    <row r="3" spans="1:17" x14ac:dyDescent="0.5">
      <c r="A3" t="s">
        <v>159</v>
      </c>
      <c r="C3">
        <f>-C2</f>
        <v>-4.4000000000000003E-3</v>
      </c>
      <c r="D3" t="s">
        <v>160</v>
      </c>
    </row>
    <row r="4" spans="1:17" x14ac:dyDescent="0.5">
      <c r="A4" t="s">
        <v>162</v>
      </c>
      <c r="C4" s="43">
        <f>'Kumamoto pumping'!F43+'Mashiki pumping'!G41</f>
        <v>32911668</v>
      </c>
      <c r="D4" t="s">
        <v>161</v>
      </c>
      <c r="E4" t="s">
        <v>163</v>
      </c>
    </row>
    <row r="5" spans="1:17" x14ac:dyDescent="0.5">
      <c r="A5" t="s">
        <v>166</v>
      </c>
      <c r="C5" s="59">
        <f>'Kumamoto pumping'!K121</f>
        <v>13.512477309132334</v>
      </c>
      <c r="D5" t="s">
        <v>148</v>
      </c>
      <c r="E5" t="s">
        <v>164</v>
      </c>
    </row>
    <row r="6" spans="1:17" x14ac:dyDescent="0.5">
      <c r="A6" t="s">
        <v>332</v>
      </c>
      <c r="C6" s="59">
        <v>113.58</v>
      </c>
      <c r="D6" t="s">
        <v>265</v>
      </c>
    </row>
    <row r="8" spans="1:17" x14ac:dyDescent="0.5">
      <c r="A8" s="187" t="s">
        <v>236</v>
      </c>
      <c r="B8" s="188"/>
      <c r="C8" s="188"/>
      <c r="D8" s="188"/>
      <c r="E8" s="189"/>
      <c r="F8" s="187" t="s">
        <v>233</v>
      </c>
      <c r="G8" s="190"/>
      <c r="H8" s="190"/>
      <c r="I8" s="191"/>
      <c r="J8" s="187" t="s">
        <v>232</v>
      </c>
      <c r="K8" s="188"/>
      <c r="L8" s="188"/>
      <c r="M8" s="189"/>
      <c r="N8" s="187" t="s">
        <v>235</v>
      </c>
      <c r="O8" s="188"/>
      <c r="P8" s="188"/>
      <c r="Q8" s="189"/>
    </row>
    <row r="9" spans="1:17" x14ac:dyDescent="0.5">
      <c r="A9" s="69"/>
      <c r="B9" s="55"/>
      <c r="C9" s="55"/>
      <c r="D9" s="55"/>
      <c r="E9" s="73"/>
      <c r="F9" s="186" t="s">
        <v>230</v>
      </c>
      <c r="G9" s="192"/>
      <c r="H9" s="184" t="s">
        <v>231</v>
      </c>
      <c r="I9" s="193"/>
      <c r="J9" s="186" t="s">
        <v>237</v>
      </c>
      <c r="K9" s="184"/>
      <c r="L9" s="184" t="s">
        <v>238</v>
      </c>
      <c r="M9" s="194"/>
      <c r="N9" s="186" t="s">
        <v>246</v>
      </c>
      <c r="O9" s="184"/>
      <c r="P9" s="184" t="s">
        <v>247</v>
      </c>
      <c r="Q9" s="185"/>
    </row>
    <row r="10" spans="1:17" ht="39.6" x14ac:dyDescent="0.5">
      <c r="A10" s="79" t="s">
        <v>58</v>
      </c>
      <c r="B10" s="80" t="s">
        <v>165</v>
      </c>
      <c r="C10" s="80" t="s">
        <v>167</v>
      </c>
      <c r="D10" s="80" t="s">
        <v>168</v>
      </c>
      <c r="E10" s="81" t="s">
        <v>245</v>
      </c>
      <c r="F10" s="79" t="s">
        <v>167</v>
      </c>
      <c r="G10" s="83" t="s">
        <v>168</v>
      </c>
      <c r="H10" s="83" t="s">
        <v>167</v>
      </c>
      <c r="I10" s="84" t="s">
        <v>168</v>
      </c>
      <c r="J10" s="82" t="s">
        <v>173</v>
      </c>
      <c r="K10" s="83" t="s">
        <v>168</v>
      </c>
      <c r="L10" s="83" t="s">
        <v>173</v>
      </c>
      <c r="M10" s="84" t="s">
        <v>168</v>
      </c>
      <c r="N10" s="82" t="s">
        <v>234</v>
      </c>
      <c r="O10" s="83" t="s">
        <v>168</v>
      </c>
      <c r="P10" s="83" t="s">
        <v>234</v>
      </c>
      <c r="Q10" s="84" t="s">
        <v>168</v>
      </c>
    </row>
    <row r="11" spans="1:17" x14ac:dyDescent="0.5">
      <c r="A11" s="69">
        <v>1</v>
      </c>
      <c r="B11" s="55">
        <v>0.1</v>
      </c>
      <c r="C11" s="55">
        <f>B11</f>
        <v>0.1</v>
      </c>
      <c r="D11" s="68">
        <f>-C11*$C$3*$C$4*$C$5</f>
        <v>195675.99350450659</v>
      </c>
      <c r="E11" s="74">
        <f>D11/$C$6</f>
        <v>1722.8032532532716</v>
      </c>
      <c r="F11" s="69">
        <f>C11*2</f>
        <v>0.2</v>
      </c>
      <c r="G11" s="78">
        <f>-F11*$C$3*$C$4*$C$5</f>
        <v>391351.98700901319</v>
      </c>
      <c r="H11" s="72">
        <f>C11*3</f>
        <v>0.30000000000000004</v>
      </c>
      <c r="I11" s="85">
        <f>-H11*$C$3*$C$4*$C$5</f>
        <v>587027.98051351984</v>
      </c>
      <c r="J11" s="86">
        <f>C4</f>
        <v>32911668</v>
      </c>
      <c r="K11" s="78">
        <f>-C11*$C$3*J11*$C$5</f>
        <v>195675.99350450659</v>
      </c>
      <c r="L11" s="78">
        <f>C4</f>
        <v>32911668</v>
      </c>
      <c r="M11" s="85">
        <f>-C11*$C$3*L11*$C$5</f>
        <v>195675.99350450659</v>
      </c>
      <c r="N11" s="87">
        <f>C5</f>
        <v>13.512477309132334</v>
      </c>
      <c r="O11" s="78">
        <f>-C11*$C$3*$C$4*N11</f>
        <v>195675.99350450659</v>
      </c>
      <c r="P11" s="88">
        <f>C5</f>
        <v>13.512477309132334</v>
      </c>
      <c r="Q11" s="85">
        <f>-C11*$C$3*$C$4*P11</f>
        <v>195675.99350450659</v>
      </c>
    </row>
    <row r="12" spans="1:17" x14ac:dyDescent="0.5">
      <c r="A12" s="69">
        <v>2</v>
      </c>
      <c r="B12" s="55">
        <v>0.1</v>
      </c>
      <c r="C12" s="55">
        <f>B12+C11</f>
        <v>0.2</v>
      </c>
      <c r="D12" s="68">
        <f t="shared" ref="D12:D30" si="0">-C12*$C$3*$C$4*$C$5</f>
        <v>391351.98700901319</v>
      </c>
      <c r="E12" s="74">
        <f t="shared" ref="E12:E30" si="1">D12/$C$6</f>
        <v>3445.6065065065432</v>
      </c>
      <c r="F12" s="69">
        <f t="shared" ref="F12:F30" si="2">C12*2</f>
        <v>0.4</v>
      </c>
      <c r="G12" s="78">
        <f t="shared" ref="G12:G30" si="3">-F12*$C$3*$C$4*$C$5</f>
        <v>782703.97401802638</v>
      </c>
      <c r="H12" s="72">
        <f t="shared" ref="H12:H30" si="4">C12*3</f>
        <v>0.60000000000000009</v>
      </c>
      <c r="I12" s="85">
        <f t="shared" ref="I12:I30" si="5">-H12*$C$3*$C$4*$C$5</f>
        <v>1174055.9610270397</v>
      </c>
      <c r="J12" s="86">
        <f>J11+1000000</f>
        <v>33911668</v>
      </c>
      <c r="K12" s="78">
        <f t="shared" ref="K12:K30" si="6">-C12*$C$3*J12*$C$5</f>
        <v>403242.96704104968</v>
      </c>
      <c r="L12" s="78">
        <f>L11-1000000</f>
        <v>31911668</v>
      </c>
      <c r="M12" s="85">
        <f t="shared" ref="M12:M30" si="7">-C12*$C$3*L12*$C$5</f>
        <v>379461.00697697676</v>
      </c>
      <c r="N12" s="87">
        <f>N11+0.5</f>
        <v>14.012477309132334</v>
      </c>
      <c r="O12" s="78">
        <f t="shared" ref="O12:O30" si="8">-C12*$C$3*$C$4*N12</f>
        <v>405833.12092901318</v>
      </c>
      <c r="P12" s="88">
        <f>P11-0.5</f>
        <v>13.012477309132334</v>
      </c>
      <c r="Q12" s="85">
        <f t="shared" ref="Q12:Q30" si="9">-C12*$C$3*$C$4*P12</f>
        <v>376870.8530890132</v>
      </c>
    </row>
    <row r="13" spans="1:17" x14ac:dyDescent="0.5">
      <c r="A13" s="69">
        <v>3</v>
      </c>
      <c r="B13" s="55">
        <v>0.1</v>
      </c>
      <c r="C13" s="55">
        <f t="shared" ref="C13:C30" si="10">B13+C12</f>
        <v>0.30000000000000004</v>
      </c>
      <c r="D13" s="68">
        <f t="shared" si="0"/>
        <v>587027.98051351984</v>
      </c>
      <c r="E13" s="74">
        <f t="shared" si="1"/>
        <v>5168.4097597598156</v>
      </c>
      <c r="F13" s="69">
        <f t="shared" si="2"/>
        <v>0.60000000000000009</v>
      </c>
      <c r="G13" s="78">
        <f t="shared" si="3"/>
        <v>1174055.9610270397</v>
      </c>
      <c r="H13" s="72">
        <f t="shared" si="4"/>
        <v>0.90000000000000013</v>
      </c>
      <c r="I13" s="85">
        <f t="shared" si="5"/>
        <v>1761083.9415405595</v>
      </c>
      <c r="J13" s="86">
        <f t="shared" ref="J13:J30" si="11">J12+1000000</f>
        <v>34911668</v>
      </c>
      <c r="K13" s="78">
        <f t="shared" si="6"/>
        <v>622700.92060962925</v>
      </c>
      <c r="L13" s="78">
        <f t="shared" ref="L13:L30" si="12">L12-1000000</f>
        <v>30911668</v>
      </c>
      <c r="M13" s="85">
        <f t="shared" si="7"/>
        <v>551355.04041741043</v>
      </c>
      <c r="N13" s="87">
        <f t="shared" ref="N13:N30" si="13">N12+0.5</f>
        <v>14.512477309132334</v>
      </c>
      <c r="O13" s="78">
        <f t="shared" si="8"/>
        <v>630471.38227351988</v>
      </c>
      <c r="P13" s="88">
        <f t="shared" ref="P13:P30" si="14">P12-0.5</f>
        <v>12.512477309132334</v>
      </c>
      <c r="Q13" s="85">
        <f t="shared" si="9"/>
        <v>543584.5787535198</v>
      </c>
    </row>
    <row r="14" spans="1:17" x14ac:dyDescent="0.5">
      <c r="A14" s="69">
        <v>4</v>
      </c>
      <c r="B14" s="55">
        <v>0.1</v>
      </c>
      <c r="C14" s="55">
        <f t="shared" si="10"/>
        <v>0.4</v>
      </c>
      <c r="D14" s="68">
        <f t="shared" si="0"/>
        <v>782703.97401802638</v>
      </c>
      <c r="E14" s="74">
        <f t="shared" si="1"/>
        <v>6891.2130130130863</v>
      </c>
      <c r="F14" s="69">
        <f t="shared" si="2"/>
        <v>0.8</v>
      </c>
      <c r="G14" s="78">
        <f t="shared" si="3"/>
        <v>1565407.9480360528</v>
      </c>
      <c r="H14" s="72">
        <f t="shared" si="4"/>
        <v>1.2000000000000002</v>
      </c>
      <c r="I14" s="85">
        <f t="shared" si="5"/>
        <v>2348111.9220540794</v>
      </c>
      <c r="J14" s="86">
        <f t="shared" si="11"/>
        <v>35911668</v>
      </c>
      <c r="K14" s="78">
        <f t="shared" si="6"/>
        <v>854049.85421024519</v>
      </c>
      <c r="L14" s="78">
        <f t="shared" si="12"/>
        <v>29911668</v>
      </c>
      <c r="M14" s="85">
        <f t="shared" si="7"/>
        <v>711358.09382580768</v>
      </c>
      <c r="N14" s="87">
        <f t="shared" si="13"/>
        <v>15.012477309132334</v>
      </c>
      <c r="O14" s="78">
        <f t="shared" si="8"/>
        <v>869590.77753802645</v>
      </c>
      <c r="P14" s="88">
        <f t="shared" si="14"/>
        <v>12.012477309132334</v>
      </c>
      <c r="Q14" s="85">
        <f t="shared" si="9"/>
        <v>695817.17049802642</v>
      </c>
    </row>
    <row r="15" spans="1:17" x14ac:dyDescent="0.5">
      <c r="A15" s="69">
        <v>5</v>
      </c>
      <c r="B15" s="55">
        <v>0.1</v>
      </c>
      <c r="C15" s="55">
        <f t="shared" si="10"/>
        <v>0.5</v>
      </c>
      <c r="D15" s="68">
        <f t="shared" si="0"/>
        <v>978379.96752253303</v>
      </c>
      <c r="E15" s="74">
        <f t="shared" si="1"/>
        <v>8614.0162662663588</v>
      </c>
      <c r="F15" s="69">
        <f t="shared" si="2"/>
        <v>1</v>
      </c>
      <c r="G15" s="78">
        <f t="shared" si="3"/>
        <v>1956759.9350450661</v>
      </c>
      <c r="H15" s="72">
        <f t="shared" si="4"/>
        <v>1.5</v>
      </c>
      <c r="I15" s="85">
        <f t="shared" si="5"/>
        <v>2935139.902567599</v>
      </c>
      <c r="J15" s="86">
        <f t="shared" si="11"/>
        <v>36911668</v>
      </c>
      <c r="K15" s="78">
        <f t="shared" si="6"/>
        <v>1097289.7678428974</v>
      </c>
      <c r="L15" s="78">
        <f t="shared" si="12"/>
        <v>28911668</v>
      </c>
      <c r="M15" s="85">
        <f t="shared" si="7"/>
        <v>859470.16720216838</v>
      </c>
      <c r="N15" s="87">
        <f t="shared" si="13"/>
        <v>15.512477309132334</v>
      </c>
      <c r="O15" s="78">
        <f t="shared" si="8"/>
        <v>1123191.306722533</v>
      </c>
      <c r="P15" s="88">
        <f t="shared" si="14"/>
        <v>11.512477309132334</v>
      </c>
      <c r="Q15" s="85">
        <f t="shared" si="9"/>
        <v>833568.62832253298</v>
      </c>
    </row>
    <row r="16" spans="1:17" x14ac:dyDescent="0.5">
      <c r="A16" s="69">
        <v>6</v>
      </c>
      <c r="B16" s="55">
        <v>0.1</v>
      </c>
      <c r="C16" s="55">
        <f t="shared" si="10"/>
        <v>0.6</v>
      </c>
      <c r="D16" s="68">
        <f t="shared" si="0"/>
        <v>1174055.9610270394</v>
      </c>
      <c r="E16" s="74">
        <f t="shared" si="1"/>
        <v>10336.819519519629</v>
      </c>
      <c r="F16" s="69">
        <f t="shared" si="2"/>
        <v>1.2</v>
      </c>
      <c r="G16" s="78">
        <f t="shared" si="3"/>
        <v>2348111.9220540789</v>
      </c>
      <c r="H16" s="72">
        <f t="shared" si="4"/>
        <v>1.7999999999999998</v>
      </c>
      <c r="I16" s="85">
        <f t="shared" si="5"/>
        <v>3522167.8830811181</v>
      </c>
      <c r="J16" s="86">
        <f t="shared" si="11"/>
        <v>37911668</v>
      </c>
      <c r="K16" s="78">
        <f t="shared" si="6"/>
        <v>1352420.6615075863</v>
      </c>
      <c r="L16" s="78">
        <f t="shared" si="12"/>
        <v>27911668</v>
      </c>
      <c r="M16" s="85">
        <f t="shared" si="7"/>
        <v>995691.26054649265</v>
      </c>
      <c r="N16" s="87">
        <f t="shared" si="13"/>
        <v>16.012477309132336</v>
      </c>
      <c r="O16" s="78">
        <f t="shared" si="8"/>
        <v>1391272.9698270396</v>
      </c>
      <c r="P16" s="88">
        <f t="shared" si="14"/>
        <v>11.012477309132334</v>
      </c>
      <c r="Q16" s="85">
        <f t="shared" si="9"/>
        <v>956838.9522270395</v>
      </c>
    </row>
    <row r="17" spans="1:18" x14ac:dyDescent="0.5">
      <c r="A17" s="69">
        <v>7</v>
      </c>
      <c r="B17" s="55">
        <v>0.1</v>
      </c>
      <c r="C17" s="55">
        <f t="shared" si="10"/>
        <v>0.7</v>
      </c>
      <c r="D17" s="68">
        <f t="shared" si="0"/>
        <v>1369731.954531546</v>
      </c>
      <c r="E17" s="74">
        <f t="shared" si="1"/>
        <v>12059.6227727729</v>
      </c>
      <c r="F17" s="69">
        <f t="shared" si="2"/>
        <v>1.4</v>
      </c>
      <c r="G17" s="78">
        <f t="shared" si="3"/>
        <v>2739463.909063092</v>
      </c>
      <c r="H17" s="72">
        <f t="shared" si="4"/>
        <v>2.0999999999999996</v>
      </c>
      <c r="I17" s="85">
        <f t="shared" si="5"/>
        <v>4109195.8635946377</v>
      </c>
      <c r="J17" s="86">
        <f t="shared" si="11"/>
        <v>38911668</v>
      </c>
      <c r="K17" s="78">
        <f t="shared" si="6"/>
        <v>1619442.5352043116</v>
      </c>
      <c r="L17" s="78">
        <f t="shared" si="12"/>
        <v>26911668</v>
      </c>
      <c r="M17" s="85">
        <f t="shared" si="7"/>
        <v>1120021.3738587804</v>
      </c>
      <c r="N17" s="87">
        <f t="shared" si="13"/>
        <v>16.512477309132336</v>
      </c>
      <c r="O17" s="78">
        <f t="shared" si="8"/>
        <v>1673835.766851546</v>
      </c>
      <c r="P17" s="88">
        <f t="shared" si="14"/>
        <v>10.512477309132334</v>
      </c>
      <c r="Q17" s="85">
        <f t="shared" si="9"/>
        <v>1065628.142211546</v>
      </c>
    </row>
    <row r="18" spans="1:18" x14ac:dyDescent="0.5">
      <c r="A18" s="69">
        <v>8</v>
      </c>
      <c r="B18" s="55">
        <v>0.1</v>
      </c>
      <c r="C18" s="55">
        <f t="shared" si="10"/>
        <v>0.79999999999999993</v>
      </c>
      <c r="D18" s="68">
        <f t="shared" si="0"/>
        <v>1565407.9480360525</v>
      </c>
      <c r="E18" s="74">
        <f t="shared" si="1"/>
        <v>13782.426026026171</v>
      </c>
      <c r="F18" s="69">
        <f t="shared" si="2"/>
        <v>1.5999999999999999</v>
      </c>
      <c r="G18" s="78">
        <f t="shared" si="3"/>
        <v>3130815.896072105</v>
      </c>
      <c r="H18" s="72">
        <f t="shared" si="4"/>
        <v>2.4</v>
      </c>
      <c r="I18" s="85">
        <f t="shared" si="5"/>
        <v>4696223.8441081578</v>
      </c>
      <c r="J18" s="86">
        <f t="shared" si="11"/>
        <v>39911668</v>
      </c>
      <c r="K18" s="78">
        <f t="shared" si="6"/>
        <v>1898355.3889330733</v>
      </c>
      <c r="L18" s="78">
        <f t="shared" si="12"/>
        <v>25911668</v>
      </c>
      <c r="M18" s="85">
        <f t="shared" si="7"/>
        <v>1232460.507139032</v>
      </c>
      <c r="N18" s="87">
        <f t="shared" si="13"/>
        <v>17.012477309132336</v>
      </c>
      <c r="O18" s="78">
        <f t="shared" si="8"/>
        <v>1970879.6977960528</v>
      </c>
      <c r="P18" s="88">
        <f t="shared" si="14"/>
        <v>10.012477309132334</v>
      </c>
      <c r="Q18" s="85">
        <f t="shared" si="9"/>
        <v>1159936.1982760527</v>
      </c>
    </row>
    <row r="19" spans="1:18" x14ac:dyDescent="0.5">
      <c r="A19" s="69">
        <v>9</v>
      </c>
      <c r="B19" s="55">
        <v>0.1</v>
      </c>
      <c r="C19" s="55">
        <f t="shared" si="10"/>
        <v>0.89999999999999991</v>
      </c>
      <c r="D19" s="68">
        <f t="shared" si="0"/>
        <v>1761083.9415405591</v>
      </c>
      <c r="E19" s="74">
        <f t="shared" si="1"/>
        <v>15505.229279279443</v>
      </c>
      <c r="F19" s="69">
        <f t="shared" si="2"/>
        <v>1.7999999999999998</v>
      </c>
      <c r="G19" s="78">
        <f t="shared" si="3"/>
        <v>3522167.8830811181</v>
      </c>
      <c r="H19" s="72">
        <f t="shared" si="4"/>
        <v>2.6999999999999997</v>
      </c>
      <c r="I19" s="85">
        <f t="shared" si="5"/>
        <v>5283251.8246216774</v>
      </c>
      <c r="J19" s="86">
        <f t="shared" si="11"/>
        <v>40911668</v>
      </c>
      <c r="K19" s="78">
        <f t="shared" si="6"/>
        <v>2189159.2226938712</v>
      </c>
      <c r="L19" s="78">
        <f t="shared" si="12"/>
        <v>24911668</v>
      </c>
      <c r="M19" s="85">
        <f t="shared" si="7"/>
        <v>1333008.6603872466</v>
      </c>
      <c r="N19" s="87">
        <f t="shared" si="13"/>
        <v>17.512477309132336</v>
      </c>
      <c r="O19" s="78">
        <f t="shared" si="8"/>
        <v>2282404.7626605593</v>
      </c>
      <c r="P19" s="88">
        <f t="shared" si="14"/>
        <v>9.5124773091323345</v>
      </c>
      <c r="Q19" s="85">
        <f t="shared" si="9"/>
        <v>1239763.1204205591</v>
      </c>
    </row>
    <row r="20" spans="1:18" x14ac:dyDescent="0.5">
      <c r="A20" s="69">
        <v>10</v>
      </c>
      <c r="B20" s="55">
        <v>0.1</v>
      </c>
      <c r="C20" s="55">
        <f t="shared" si="10"/>
        <v>0.99999999999999989</v>
      </c>
      <c r="D20" s="68">
        <f t="shared" si="0"/>
        <v>1956759.9350450656</v>
      </c>
      <c r="E20" s="74">
        <f t="shared" si="1"/>
        <v>17228.032532532714</v>
      </c>
      <c r="F20" s="69">
        <f t="shared" si="2"/>
        <v>1.9999999999999998</v>
      </c>
      <c r="G20" s="78">
        <f t="shared" si="3"/>
        <v>3913519.8700901312</v>
      </c>
      <c r="H20" s="72">
        <f t="shared" si="4"/>
        <v>2.9999999999999996</v>
      </c>
      <c r="I20" s="85">
        <f t="shared" si="5"/>
        <v>5870279.805135197</v>
      </c>
      <c r="J20" s="86">
        <f t="shared" si="11"/>
        <v>41911668</v>
      </c>
      <c r="K20" s="78">
        <f t="shared" si="6"/>
        <v>2491854.0364867062</v>
      </c>
      <c r="L20" s="78">
        <f t="shared" si="12"/>
        <v>23911668</v>
      </c>
      <c r="M20" s="85">
        <f t="shared" si="7"/>
        <v>1421665.8336034252</v>
      </c>
      <c r="N20" s="87">
        <f t="shared" si="13"/>
        <v>18.012477309132336</v>
      </c>
      <c r="O20" s="78">
        <f t="shared" si="8"/>
        <v>2608410.9614450657</v>
      </c>
      <c r="P20" s="88">
        <f t="shared" si="14"/>
        <v>9.0124773091323345</v>
      </c>
      <c r="Q20" s="85">
        <f t="shared" si="9"/>
        <v>1305108.9086450657</v>
      </c>
    </row>
    <row r="21" spans="1:18" x14ac:dyDescent="0.5">
      <c r="A21" s="69">
        <v>11</v>
      </c>
      <c r="B21" s="55">
        <v>0.1</v>
      </c>
      <c r="C21" s="55">
        <f t="shared" si="10"/>
        <v>1.0999999999999999</v>
      </c>
      <c r="D21" s="68">
        <f t="shared" si="0"/>
        <v>2152435.9285495719</v>
      </c>
      <c r="E21" s="74">
        <f t="shared" si="1"/>
        <v>18950.835785785981</v>
      </c>
      <c r="F21" s="69">
        <f t="shared" si="2"/>
        <v>2.1999999999999997</v>
      </c>
      <c r="G21" s="78">
        <f t="shared" si="3"/>
        <v>4304871.8570991438</v>
      </c>
      <c r="H21" s="72">
        <f t="shared" si="4"/>
        <v>3.3</v>
      </c>
      <c r="I21" s="85">
        <f t="shared" si="5"/>
        <v>6457307.7856487166</v>
      </c>
      <c r="J21" s="86">
        <f t="shared" si="11"/>
        <v>42911668</v>
      </c>
      <c r="K21" s="78">
        <f t="shared" si="6"/>
        <v>2806439.8303115768</v>
      </c>
      <c r="L21" s="78">
        <f t="shared" si="12"/>
        <v>22911668</v>
      </c>
      <c r="M21" s="85">
        <f t="shared" si="7"/>
        <v>1498432.0267875672</v>
      </c>
      <c r="N21" s="87">
        <f t="shared" si="13"/>
        <v>18.512477309132336</v>
      </c>
      <c r="O21" s="78">
        <f t="shared" si="8"/>
        <v>2948898.294149572</v>
      </c>
      <c r="P21" s="88">
        <f t="shared" si="14"/>
        <v>8.5124773091323345</v>
      </c>
      <c r="Q21" s="85">
        <f t="shared" si="9"/>
        <v>1355973.5629495722</v>
      </c>
    </row>
    <row r="22" spans="1:18" x14ac:dyDescent="0.5">
      <c r="A22" s="69">
        <v>12</v>
      </c>
      <c r="B22" s="55">
        <v>0.1</v>
      </c>
      <c r="C22" s="55">
        <f t="shared" si="10"/>
        <v>1.2</v>
      </c>
      <c r="D22" s="68">
        <f t="shared" si="0"/>
        <v>2348111.9220540789</v>
      </c>
      <c r="E22" s="74">
        <f t="shared" si="1"/>
        <v>20673.639039039259</v>
      </c>
      <c r="F22" s="69">
        <f t="shared" si="2"/>
        <v>2.4</v>
      </c>
      <c r="G22" s="78">
        <f t="shared" si="3"/>
        <v>4696223.8441081578</v>
      </c>
      <c r="H22" s="72">
        <f t="shared" si="4"/>
        <v>3.5999999999999996</v>
      </c>
      <c r="I22" s="85">
        <f t="shared" si="5"/>
        <v>7044335.7661622362</v>
      </c>
      <c r="J22" s="86">
        <f t="shared" si="11"/>
        <v>43911668</v>
      </c>
      <c r="K22" s="78">
        <f t="shared" si="6"/>
        <v>3132916.6041684849</v>
      </c>
      <c r="L22" s="78">
        <f t="shared" si="12"/>
        <v>21911668</v>
      </c>
      <c r="M22" s="85">
        <f t="shared" si="7"/>
        <v>1563307.2399396729</v>
      </c>
      <c r="N22" s="87">
        <f t="shared" si="13"/>
        <v>19.012477309132336</v>
      </c>
      <c r="O22" s="78">
        <f t="shared" si="8"/>
        <v>3303866.7607740792</v>
      </c>
      <c r="P22" s="88">
        <f t="shared" si="14"/>
        <v>8.0124773091323345</v>
      </c>
      <c r="Q22" s="85">
        <f t="shared" si="9"/>
        <v>1392357.083334079</v>
      </c>
    </row>
    <row r="23" spans="1:18" x14ac:dyDescent="0.5">
      <c r="A23" s="69">
        <v>13</v>
      </c>
      <c r="B23" s="55">
        <v>0.1</v>
      </c>
      <c r="C23" s="55">
        <f t="shared" si="10"/>
        <v>1.3</v>
      </c>
      <c r="D23" s="68">
        <f t="shared" si="0"/>
        <v>2543787.9155585854</v>
      </c>
      <c r="E23" s="74">
        <f t="shared" si="1"/>
        <v>22396.44229229253</v>
      </c>
      <c r="F23" s="69">
        <f t="shared" si="2"/>
        <v>2.6</v>
      </c>
      <c r="G23" s="78">
        <f t="shared" si="3"/>
        <v>5087575.8311171709</v>
      </c>
      <c r="H23" s="72">
        <f t="shared" si="4"/>
        <v>3.9000000000000004</v>
      </c>
      <c r="I23" s="85">
        <f t="shared" si="5"/>
        <v>7631363.7466757568</v>
      </c>
      <c r="J23" s="86">
        <f t="shared" si="11"/>
        <v>44911668</v>
      </c>
      <c r="K23" s="78">
        <f t="shared" si="6"/>
        <v>3471284.3580574291</v>
      </c>
      <c r="L23" s="78">
        <f t="shared" si="12"/>
        <v>20911668</v>
      </c>
      <c r="M23" s="85">
        <f t="shared" si="7"/>
        <v>1616291.4730597422</v>
      </c>
      <c r="N23" s="87">
        <f t="shared" si="13"/>
        <v>19.512477309132336</v>
      </c>
      <c r="O23" s="78">
        <f t="shared" si="8"/>
        <v>3673316.3613185859</v>
      </c>
      <c r="P23" s="88">
        <f t="shared" si="14"/>
        <v>7.5124773091323345</v>
      </c>
      <c r="Q23" s="85">
        <f t="shared" si="9"/>
        <v>1414259.4697985854</v>
      </c>
    </row>
    <row r="24" spans="1:18" x14ac:dyDescent="0.5">
      <c r="A24" s="69">
        <v>14</v>
      </c>
      <c r="B24" s="55">
        <v>0.1</v>
      </c>
      <c r="C24" s="55">
        <f t="shared" si="10"/>
        <v>1.4000000000000001</v>
      </c>
      <c r="D24" s="68">
        <f t="shared" si="0"/>
        <v>2739463.9090630924</v>
      </c>
      <c r="E24" s="74">
        <f t="shared" si="1"/>
        <v>24119.245545545804</v>
      </c>
      <c r="F24" s="69">
        <f t="shared" si="2"/>
        <v>2.8000000000000003</v>
      </c>
      <c r="G24" s="78">
        <f t="shared" si="3"/>
        <v>5478927.8181261849</v>
      </c>
      <c r="H24" s="72">
        <f t="shared" si="4"/>
        <v>4.2</v>
      </c>
      <c r="I24" s="85">
        <f t="shared" si="5"/>
        <v>8218391.7271892773</v>
      </c>
      <c r="J24" s="86">
        <f t="shared" si="11"/>
        <v>45911668</v>
      </c>
      <c r="K24" s="78">
        <f t="shared" si="6"/>
        <v>3821543.0919784098</v>
      </c>
      <c r="L24" s="78">
        <f t="shared" si="12"/>
        <v>19911668</v>
      </c>
      <c r="M24" s="85">
        <f t="shared" si="7"/>
        <v>1657384.7261477748</v>
      </c>
      <c r="N24" s="87">
        <f t="shared" si="13"/>
        <v>20.012477309132336</v>
      </c>
      <c r="O24" s="78">
        <f t="shared" si="8"/>
        <v>4057247.0957830925</v>
      </c>
      <c r="P24" s="88">
        <f t="shared" si="14"/>
        <v>7.0124773091323345</v>
      </c>
      <c r="Q24" s="85">
        <f t="shared" si="9"/>
        <v>1421680.7223430921</v>
      </c>
    </row>
    <row r="25" spans="1:18" x14ac:dyDescent="0.5">
      <c r="A25" s="69">
        <v>15</v>
      </c>
      <c r="B25" s="55">
        <v>0.1</v>
      </c>
      <c r="C25" s="55">
        <f t="shared" si="10"/>
        <v>1.5000000000000002</v>
      </c>
      <c r="D25" s="68">
        <f t="shared" si="0"/>
        <v>2935139.9025675994</v>
      </c>
      <c r="E25" s="74">
        <f t="shared" si="1"/>
        <v>25842.048798799078</v>
      </c>
      <c r="F25" s="69">
        <f t="shared" si="2"/>
        <v>3.0000000000000004</v>
      </c>
      <c r="G25" s="78">
        <f t="shared" si="3"/>
        <v>5870279.8051351989</v>
      </c>
      <c r="H25" s="72">
        <f t="shared" si="4"/>
        <v>4.5000000000000009</v>
      </c>
      <c r="I25" s="85">
        <f t="shared" si="5"/>
        <v>8805419.7077027988</v>
      </c>
      <c r="J25" s="86">
        <f t="shared" si="11"/>
        <v>46911668</v>
      </c>
      <c r="K25" s="78">
        <f t="shared" si="6"/>
        <v>4183692.8059314271</v>
      </c>
      <c r="L25" s="78">
        <f t="shared" si="12"/>
        <v>18911668</v>
      </c>
      <c r="M25" s="85">
        <f t="shared" si="7"/>
        <v>1686586.9992037714</v>
      </c>
      <c r="N25" s="87">
        <f t="shared" si="13"/>
        <v>20.512477309132336</v>
      </c>
      <c r="O25" s="78">
        <f t="shared" si="8"/>
        <v>4455658.9641676005</v>
      </c>
      <c r="P25" s="88">
        <f t="shared" si="14"/>
        <v>6.5124773091323345</v>
      </c>
      <c r="Q25" s="85">
        <f t="shared" si="9"/>
        <v>1414620.8409675991</v>
      </c>
    </row>
    <row r="26" spans="1:18" x14ac:dyDescent="0.5">
      <c r="A26" s="69">
        <v>16</v>
      </c>
      <c r="B26" s="55">
        <v>0.1</v>
      </c>
      <c r="C26" s="55">
        <f t="shared" si="10"/>
        <v>1.6000000000000003</v>
      </c>
      <c r="D26" s="68">
        <f t="shared" si="0"/>
        <v>3130815.896072106</v>
      </c>
      <c r="E26" s="74">
        <f t="shared" si="1"/>
        <v>27564.852052052353</v>
      </c>
      <c r="F26" s="69">
        <f t="shared" si="2"/>
        <v>3.2000000000000006</v>
      </c>
      <c r="G26" s="78">
        <f t="shared" si="3"/>
        <v>6261631.7921442119</v>
      </c>
      <c r="H26" s="72">
        <f t="shared" si="4"/>
        <v>4.8000000000000007</v>
      </c>
      <c r="I26" s="85">
        <f t="shared" si="5"/>
        <v>9392447.6882163174</v>
      </c>
      <c r="J26" s="86">
        <f t="shared" si="11"/>
        <v>47911668</v>
      </c>
      <c r="K26" s="78">
        <f t="shared" si="6"/>
        <v>4557733.4999164818</v>
      </c>
      <c r="L26" s="78">
        <f t="shared" si="12"/>
        <v>17911668</v>
      </c>
      <c r="M26" s="85">
        <f t="shared" si="7"/>
        <v>1703898.2922277311</v>
      </c>
      <c r="N26" s="87">
        <f t="shared" si="13"/>
        <v>21.012477309132336</v>
      </c>
      <c r="O26" s="78">
        <f t="shared" si="8"/>
        <v>4868551.966472107</v>
      </c>
      <c r="P26" s="88">
        <f t="shared" si="14"/>
        <v>6.0124773091323345</v>
      </c>
      <c r="Q26" s="85">
        <f t="shared" si="9"/>
        <v>1393079.8256721057</v>
      </c>
    </row>
    <row r="27" spans="1:18" x14ac:dyDescent="0.5">
      <c r="A27" s="69">
        <v>17</v>
      </c>
      <c r="B27" s="55">
        <v>0.1</v>
      </c>
      <c r="C27" s="55">
        <f t="shared" si="10"/>
        <v>1.7000000000000004</v>
      </c>
      <c r="D27" s="68">
        <f t="shared" si="0"/>
        <v>3326491.889576613</v>
      </c>
      <c r="E27" s="74">
        <f t="shared" si="1"/>
        <v>29287.655305305627</v>
      </c>
      <c r="F27" s="69">
        <f t="shared" si="2"/>
        <v>3.4000000000000008</v>
      </c>
      <c r="G27" s="78">
        <f t="shared" si="3"/>
        <v>6652983.7791532259</v>
      </c>
      <c r="H27" s="72">
        <f t="shared" si="4"/>
        <v>5.1000000000000014</v>
      </c>
      <c r="I27" s="85">
        <f t="shared" si="5"/>
        <v>9979475.6687298398</v>
      </c>
      <c r="J27" s="86">
        <f t="shared" si="11"/>
        <v>48911668</v>
      </c>
      <c r="K27" s="78">
        <f t="shared" si="6"/>
        <v>4943665.1739335712</v>
      </c>
      <c r="L27" s="78">
        <f t="shared" si="12"/>
        <v>16911668</v>
      </c>
      <c r="M27" s="85">
        <f t="shared" si="7"/>
        <v>1709318.6052196545</v>
      </c>
      <c r="N27" s="87">
        <f t="shared" si="13"/>
        <v>21.512477309132336</v>
      </c>
      <c r="O27" s="78">
        <f t="shared" si="8"/>
        <v>5295926.1026966143</v>
      </c>
      <c r="P27" s="88">
        <f t="shared" si="14"/>
        <v>5.5124773091323345</v>
      </c>
      <c r="Q27" s="85">
        <f t="shared" si="9"/>
        <v>1357057.6764566123</v>
      </c>
    </row>
    <row r="28" spans="1:18" x14ac:dyDescent="0.5">
      <c r="A28" s="69">
        <v>18</v>
      </c>
      <c r="B28" s="55">
        <v>0.1</v>
      </c>
      <c r="C28" s="55">
        <f t="shared" si="10"/>
        <v>1.8000000000000005</v>
      </c>
      <c r="D28" s="68">
        <f t="shared" si="0"/>
        <v>3522167.88308112</v>
      </c>
      <c r="E28" s="74">
        <f t="shared" si="1"/>
        <v>31010.458558558901</v>
      </c>
      <c r="F28" s="69">
        <f t="shared" si="2"/>
        <v>3.600000000000001</v>
      </c>
      <c r="G28" s="78">
        <f t="shared" si="3"/>
        <v>7044335.7661622399</v>
      </c>
      <c r="H28" s="72">
        <f t="shared" si="4"/>
        <v>5.4000000000000012</v>
      </c>
      <c r="I28" s="85">
        <f t="shared" si="5"/>
        <v>10566503.649243359</v>
      </c>
      <c r="J28" s="86">
        <f t="shared" si="11"/>
        <v>49911668</v>
      </c>
      <c r="K28" s="78">
        <f t="shared" si="6"/>
        <v>5341487.8279826976</v>
      </c>
      <c r="L28" s="78">
        <f t="shared" si="12"/>
        <v>15911668</v>
      </c>
      <c r="M28" s="85">
        <f t="shared" si="7"/>
        <v>1702847.9381795414</v>
      </c>
      <c r="N28" s="87">
        <f t="shared" si="13"/>
        <v>22.012477309132336</v>
      </c>
      <c r="O28" s="78">
        <f t="shared" si="8"/>
        <v>5737781.3728411207</v>
      </c>
      <c r="P28" s="88">
        <f t="shared" si="14"/>
        <v>5.0124773091323345</v>
      </c>
      <c r="Q28" s="85">
        <f t="shared" si="9"/>
        <v>1306554.3933211188</v>
      </c>
    </row>
    <row r="29" spans="1:18" x14ac:dyDescent="0.5">
      <c r="A29" s="69">
        <v>19</v>
      </c>
      <c r="B29" s="55">
        <v>0.1</v>
      </c>
      <c r="C29" s="72">
        <f t="shared" si="10"/>
        <v>1.9000000000000006</v>
      </c>
      <c r="D29" s="78">
        <f t="shared" si="0"/>
        <v>3717843.876585626</v>
      </c>
      <c r="E29" s="145">
        <f t="shared" si="1"/>
        <v>32733.261811812168</v>
      </c>
      <c r="F29" s="146">
        <f t="shared" si="2"/>
        <v>3.8000000000000012</v>
      </c>
      <c r="G29" s="78">
        <f t="shared" si="3"/>
        <v>7435687.7531712521</v>
      </c>
      <c r="H29" s="72">
        <f t="shared" si="4"/>
        <v>5.700000000000002</v>
      </c>
      <c r="I29" s="85">
        <f t="shared" si="5"/>
        <v>11153531.629756877</v>
      </c>
      <c r="J29" s="86">
        <f t="shared" si="11"/>
        <v>50911668</v>
      </c>
      <c r="K29" s="78">
        <f t="shared" si="6"/>
        <v>5751201.4620638611</v>
      </c>
      <c r="L29" s="78">
        <f t="shared" si="12"/>
        <v>14911668</v>
      </c>
      <c r="M29" s="85">
        <f t="shared" si="7"/>
        <v>1684486.2911073917</v>
      </c>
      <c r="N29" s="87">
        <f t="shared" si="13"/>
        <v>22.512477309132336</v>
      </c>
      <c r="O29" s="78">
        <f t="shared" si="8"/>
        <v>6194117.7769056279</v>
      </c>
      <c r="P29" s="88">
        <f t="shared" si="14"/>
        <v>4.5124773091323345</v>
      </c>
      <c r="Q29" s="85">
        <f t="shared" si="9"/>
        <v>1241569.9762656253</v>
      </c>
      <c r="R29" s="51"/>
    </row>
    <row r="30" spans="1:18" x14ac:dyDescent="0.5">
      <c r="A30" s="69">
        <v>20</v>
      </c>
      <c r="B30" s="55">
        <v>0.1</v>
      </c>
      <c r="C30" s="72">
        <f t="shared" si="10"/>
        <v>2.0000000000000004</v>
      </c>
      <c r="D30" s="78">
        <f t="shared" si="0"/>
        <v>3913519.8700901326</v>
      </c>
      <c r="E30" s="145">
        <f t="shared" si="1"/>
        <v>34456.065065065442</v>
      </c>
      <c r="F30" s="146">
        <f t="shared" si="2"/>
        <v>4.0000000000000009</v>
      </c>
      <c r="G30" s="78">
        <f t="shared" si="3"/>
        <v>7827039.7401802652</v>
      </c>
      <c r="H30" s="72">
        <f t="shared" si="4"/>
        <v>6.0000000000000018</v>
      </c>
      <c r="I30" s="85">
        <f t="shared" si="5"/>
        <v>11740559.6102704</v>
      </c>
      <c r="J30" s="86">
        <f t="shared" si="11"/>
        <v>51911668</v>
      </c>
      <c r="K30" s="78">
        <f t="shared" si="6"/>
        <v>6172806.0761770587</v>
      </c>
      <c r="L30" s="78">
        <f t="shared" si="12"/>
        <v>13911668</v>
      </c>
      <c r="M30" s="85">
        <f t="shared" si="7"/>
        <v>1654233.6640032057</v>
      </c>
      <c r="N30" s="87">
        <f t="shared" si="13"/>
        <v>23.012477309132336</v>
      </c>
      <c r="O30" s="78">
        <f t="shared" si="8"/>
        <v>6664935.3148901341</v>
      </c>
      <c r="P30" s="88">
        <f t="shared" si="14"/>
        <v>4.0124773091323345</v>
      </c>
      <c r="Q30" s="85">
        <f t="shared" si="9"/>
        <v>1162104.4252901319</v>
      </c>
      <c r="R30" s="51"/>
    </row>
    <row r="31" spans="1:18" x14ac:dyDescent="0.5">
      <c r="A31" s="70"/>
      <c r="B31" s="71"/>
      <c r="C31" s="147" t="s">
        <v>169</v>
      </c>
      <c r="D31" s="148">
        <f>SUM(D11:D30)</f>
        <v>41091958.635946386</v>
      </c>
      <c r="E31" s="149">
        <f t="shared" ref="E31" si="15">D31/105</f>
        <v>391351.98700901319</v>
      </c>
      <c r="F31" s="150"/>
      <c r="G31" s="148">
        <f>SUM(G11:G30)</f>
        <v>82183917.271892771</v>
      </c>
      <c r="H31" s="151"/>
      <c r="I31" s="152">
        <f>SUM(I11:I30)</f>
        <v>123275875.90783916</v>
      </c>
      <c r="J31" s="153"/>
      <c r="K31" s="148">
        <f>SUM(K11:K30)</f>
        <v>56906962.078554884</v>
      </c>
      <c r="L31" s="151"/>
      <c r="M31" s="152">
        <f>SUM(M11:M30)</f>
        <v>25276955.193337899</v>
      </c>
      <c r="N31" s="153"/>
      <c r="O31" s="148">
        <f>SUM(O11:O30)</f>
        <v>60351866.749546386</v>
      </c>
      <c r="P31" s="151"/>
      <c r="Q31" s="152">
        <f>SUM(Q11:Q30)</f>
        <v>21832050.522346385</v>
      </c>
      <c r="R31" s="51"/>
    </row>
    <row r="32" spans="1:18" x14ac:dyDescent="0.5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1:18" x14ac:dyDescent="0.5">
      <c r="C33" s="51"/>
      <c r="D33" s="51"/>
      <c r="E33" s="51"/>
      <c r="F33" s="51"/>
      <c r="G33" s="51"/>
      <c r="H33" s="51"/>
      <c r="I33" s="77"/>
      <c r="J33" s="51"/>
      <c r="K33" s="51"/>
      <c r="L33" s="51"/>
      <c r="M33" s="77"/>
      <c r="N33" s="51"/>
      <c r="O33" s="51"/>
      <c r="P33" s="51"/>
      <c r="Q33" s="77"/>
      <c r="R33" s="51"/>
    </row>
    <row r="34" spans="1:18" ht="22.2" x14ac:dyDescent="0.55000000000000004">
      <c r="A34" s="54" t="s">
        <v>218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8" s="89" customFormat="1" x14ac:dyDescent="0.5">
      <c r="A35" s="89" t="s">
        <v>256</v>
      </c>
      <c r="C35" s="154">
        <f>'Farmer Income'!Q38</f>
        <v>2428484031.1677723</v>
      </c>
      <c r="D35" s="155" t="s">
        <v>240</v>
      </c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</row>
    <row r="36" spans="1:18" s="89" customFormat="1" x14ac:dyDescent="0.5">
      <c r="A36" s="89" t="s">
        <v>257</v>
      </c>
      <c r="C36" s="154">
        <f>'Farmer Income'!Q39</f>
        <v>1360434022.5435574</v>
      </c>
      <c r="D36" s="155" t="s">
        <v>240</v>
      </c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</row>
    <row r="37" spans="1:18" s="89" customFormat="1" x14ac:dyDescent="0.5">
      <c r="A37" s="89" t="s">
        <v>258</v>
      </c>
      <c r="C37" s="90">
        <f>'Farmer Income'!Q40</f>
        <v>3211169124.0875912</v>
      </c>
      <c r="D37" s="89" t="s">
        <v>240</v>
      </c>
    </row>
    <row r="38" spans="1:18" s="89" customFormat="1" x14ac:dyDescent="0.5">
      <c r="A38" s="62"/>
    </row>
    <row r="39" spans="1:18" x14ac:dyDescent="0.5">
      <c r="A39" s="187" t="s">
        <v>251</v>
      </c>
      <c r="B39" s="197"/>
      <c r="C39" s="198"/>
      <c r="D39" s="187" t="s">
        <v>252</v>
      </c>
      <c r="E39" s="191"/>
      <c r="F39" s="187" t="s">
        <v>253</v>
      </c>
      <c r="G39" s="189"/>
      <c r="H39" s="187" t="s">
        <v>327</v>
      </c>
      <c r="I39" s="189"/>
      <c r="J39" s="187" t="s">
        <v>328</v>
      </c>
      <c r="K39" s="189"/>
    </row>
    <row r="40" spans="1:18" ht="39.6" x14ac:dyDescent="0.5">
      <c r="A40" s="91" t="s">
        <v>58</v>
      </c>
      <c r="B40" s="56" t="s">
        <v>249</v>
      </c>
      <c r="C40" s="92" t="s">
        <v>248</v>
      </c>
      <c r="D40" s="91" t="s">
        <v>249</v>
      </c>
      <c r="E40" s="93" t="s">
        <v>248</v>
      </c>
      <c r="F40" s="91" t="s">
        <v>249</v>
      </c>
      <c r="G40" s="93" t="s">
        <v>248</v>
      </c>
      <c r="H40" s="91" t="s">
        <v>249</v>
      </c>
      <c r="I40" s="93" t="s">
        <v>248</v>
      </c>
      <c r="J40" s="91" t="s">
        <v>249</v>
      </c>
      <c r="K40" s="93" t="s">
        <v>248</v>
      </c>
    </row>
    <row r="41" spans="1:18" x14ac:dyDescent="0.5">
      <c r="A41" s="69">
        <v>1</v>
      </c>
      <c r="B41" s="68">
        <f>C35</f>
        <v>2428484031.1677723</v>
      </c>
      <c r="C41" s="74">
        <f>B41/$C$6</f>
        <v>21381264.581508826</v>
      </c>
      <c r="D41" s="94">
        <f>C36</f>
        <v>1360434022.5435574</v>
      </c>
      <c r="E41" s="74">
        <f>D41/$C$6</f>
        <v>11977760.367525598</v>
      </c>
      <c r="F41" s="94">
        <f>C37</f>
        <v>3211169124.0875912</v>
      </c>
      <c r="G41" s="74">
        <f>F41/$C$6</f>
        <v>28272311.358404573</v>
      </c>
      <c r="H41" s="94">
        <f>0.5*B41</f>
        <v>1214242015.5838861</v>
      </c>
      <c r="I41" s="74">
        <f>H41/$C$6</f>
        <v>10690632.290754413</v>
      </c>
      <c r="J41" s="94">
        <f>0.25*B41</f>
        <v>607121007.79194307</v>
      </c>
      <c r="K41" s="74">
        <f>J41/$C$6</f>
        <v>5345316.1453772066</v>
      </c>
    </row>
    <row r="42" spans="1:18" x14ac:dyDescent="0.5">
      <c r="A42" s="69">
        <v>2</v>
      </c>
      <c r="B42" s="68">
        <f>B41</f>
        <v>2428484031.1677723</v>
      </c>
      <c r="C42" s="74">
        <f t="shared" ref="C42:C60" si="16">B42/$C$6</f>
        <v>21381264.581508826</v>
      </c>
      <c r="D42" s="94">
        <f>D41</f>
        <v>1360434022.5435574</v>
      </c>
      <c r="E42" s="74">
        <f t="shared" ref="E42:E60" si="17">D42/$C$6</f>
        <v>11977760.367525598</v>
      </c>
      <c r="F42" s="94">
        <f>F41</f>
        <v>3211169124.0875912</v>
      </c>
      <c r="G42" s="74">
        <f t="shared" ref="G42:G60" si="18">F42/$C$6</f>
        <v>28272311.358404573</v>
      </c>
      <c r="H42" s="94">
        <f>H41</f>
        <v>1214242015.5838861</v>
      </c>
      <c r="I42" s="74">
        <f t="shared" ref="I42:I60" si="19">H42/$C$6</f>
        <v>10690632.290754413</v>
      </c>
      <c r="J42" s="94">
        <f t="shared" ref="J42:J60" si="20">0.25*B42</f>
        <v>607121007.79194307</v>
      </c>
      <c r="K42" s="74">
        <f t="shared" ref="K42:K60" si="21">J42/$C$6</f>
        <v>5345316.1453772066</v>
      </c>
    </row>
    <row r="43" spans="1:18" x14ac:dyDescent="0.5">
      <c r="A43" s="69">
        <v>3</v>
      </c>
      <c r="B43" s="68">
        <f t="shared" ref="B43:B60" si="22">B42</f>
        <v>2428484031.1677723</v>
      </c>
      <c r="C43" s="74">
        <f t="shared" si="16"/>
        <v>21381264.581508826</v>
      </c>
      <c r="D43" s="94">
        <f t="shared" ref="D43:D60" si="23">D42</f>
        <v>1360434022.5435574</v>
      </c>
      <c r="E43" s="74">
        <f t="shared" si="17"/>
        <v>11977760.367525598</v>
      </c>
      <c r="F43" s="94">
        <f t="shared" ref="F43:H60" si="24">F42</f>
        <v>3211169124.0875912</v>
      </c>
      <c r="G43" s="74">
        <f t="shared" si="18"/>
        <v>28272311.358404573</v>
      </c>
      <c r="H43" s="94">
        <f t="shared" si="24"/>
        <v>1214242015.5838861</v>
      </c>
      <c r="I43" s="74">
        <f t="shared" si="19"/>
        <v>10690632.290754413</v>
      </c>
      <c r="J43" s="94">
        <f t="shared" si="20"/>
        <v>607121007.79194307</v>
      </c>
      <c r="K43" s="74">
        <f t="shared" si="21"/>
        <v>5345316.1453772066</v>
      </c>
    </row>
    <row r="44" spans="1:18" x14ac:dyDescent="0.5">
      <c r="A44" s="69">
        <v>4</v>
      </c>
      <c r="B44" s="68">
        <f t="shared" si="22"/>
        <v>2428484031.1677723</v>
      </c>
      <c r="C44" s="74">
        <f t="shared" si="16"/>
        <v>21381264.581508826</v>
      </c>
      <c r="D44" s="94">
        <f t="shared" si="23"/>
        <v>1360434022.5435574</v>
      </c>
      <c r="E44" s="74">
        <f t="shared" si="17"/>
        <v>11977760.367525598</v>
      </c>
      <c r="F44" s="94">
        <f t="shared" si="24"/>
        <v>3211169124.0875912</v>
      </c>
      <c r="G44" s="74">
        <f t="shared" si="18"/>
        <v>28272311.358404573</v>
      </c>
      <c r="H44" s="94">
        <f t="shared" si="24"/>
        <v>1214242015.5838861</v>
      </c>
      <c r="I44" s="74">
        <f t="shared" si="19"/>
        <v>10690632.290754413</v>
      </c>
      <c r="J44" s="94">
        <f t="shared" si="20"/>
        <v>607121007.79194307</v>
      </c>
      <c r="K44" s="74">
        <f t="shared" si="21"/>
        <v>5345316.1453772066</v>
      </c>
    </row>
    <row r="45" spans="1:18" x14ac:dyDescent="0.5">
      <c r="A45" s="69">
        <v>5</v>
      </c>
      <c r="B45" s="68">
        <f t="shared" si="22"/>
        <v>2428484031.1677723</v>
      </c>
      <c r="C45" s="74">
        <f t="shared" si="16"/>
        <v>21381264.581508826</v>
      </c>
      <c r="D45" s="94">
        <f t="shared" si="23"/>
        <v>1360434022.5435574</v>
      </c>
      <c r="E45" s="74">
        <f t="shared" si="17"/>
        <v>11977760.367525598</v>
      </c>
      <c r="F45" s="94">
        <f t="shared" si="24"/>
        <v>3211169124.0875912</v>
      </c>
      <c r="G45" s="74">
        <f t="shared" si="18"/>
        <v>28272311.358404573</v>
      </c>
      <c r="H45" s="94">
        <f t="shared" si="24"/>
        <v>1214242015.5838861</v>
      </c>
      <c r="I45" s="74">
        <f t="shared" si="19"/>
        <v>10690632.290754413</v>
      </c>
      <c r="J45" s="94">
        <f t="shared" si="20"/>
        <v>607121007.79194307</v>
      </c>
      <c r="K45" s="74">
        <f t="shared" si="21"/>
        <v>5345316.1453772066</v>
      </c>
    </row>
    <row r="46" spans="1:18" x14ac:dyDescent="0.5">
      <c r="A46" s="69">
        <v>6</v>
      </c>
      <c r="B46" s="68">
        <f t="shared" si="22"/>
        <v>2428484031.1677723</v>
      </c>
      <c r="C46" s="74">
        <f t="shared" si="16"/>
        <v>21381264.581508826</v>
      </c>
      <c r="D46" s="94">
        <f t="shared" si="23"/>
        <v>1360434022.5435574</v>
      </c>
      <c r="E46" s="74">
        <f t="shared" si="17"/>
        <v>11977760.367525598</v>
      </c>
      <c r="F46" s="94">
        <f t="shared" si="24"/>
        <v>3211169124.0875912</v>
      </c>
      <c r="G46" s="74">
        <f t="shared" si="18"/>
        <v>28272311.358404573</v>
      </c>
      <c r="H46" s="94">
        <f t="shared" si="24"/>
        <v>1214242015.5838861</v>
      </c>
      <c r="I46" s="74">
        <f t="shared" si="19"/>
        <v>10690632.290754413</v>
      </c>
      <c r="J46" s="94">
        <f t="shared" si="20"/>
        <v>607121007.79194307</v>
      </c>
      <c r="K46" s="74">
        <f t="shared" si="21"/>
        <v>5345316.1453772066</v>
      </c>
    </row>
    <row r="47" spans="1:18" x14ac:dyDescent="0.5">
      <c r="A47" s="69">
        <v>7</v>
      </c>
      <c r="B47" s="68">
        <f t="shared" si="22"/>
        <v>2428484031.1677723</v>
      </c>
      <c r="C47" s="74">
        <f t="shared" si="16"/>
        <v>21381264.581508826</v>
      </c>
      <c r="D47" s="94">
        <f t="shared" si="23"/>
        <v>1360434022.5435574</v>
      </c>
      <c r="E47" s="74">
        <f t="shared" si="17"/>
        <v>11977760.367525598</v>
      </c>
      <c r="F47" s="94">
        <f t="shared" si="24"/>
        <v>3211169124.0875912</v>
      </c>
      <c r="G47" s="74">
        <f t="shared" si="18"/>
        <v>28272311.358404573</v>
      </c>
      <c r="H47" s="94">
        <f t="shared" si="24"/>
        <v>1214242015.5838861</v>
      </c>
      <c r="I47" s="74">
        <f t="shared" si="19"/>
        <v>10690632.290754413</v>
      </c>
      <c r="J47" s="94">
        <f t="shared" si="20"/>
        <v>607121007.79194307</v>
      </c>
      <c r="K47" s="74">
        <f t="shared" si="21"/>
        <v>5345316.1453772066</v>
      </c>
    </row>
    <row r="48" spans="1:18" x14ac:dyDescent="0.5">
      <c r="A48" s="69">
        <v>8</v>
      </c>
      <c r="B48" s="68">
        <f t="shared" si="22"/>
        <v>2428484031.1677723</v>
      </c>
      <c r="C48" s="74">
        <f t="shared" si="16"/>
        <v>21381264.581508826</v>
      </c>
      <c r="D48" s="94">
        <f t="shared" si="23"/>
        <v>1360434022.5435574</v>
      </c>
      <c r="E48" s="74">
        <f t="shared" si="17"/>
        <v>11977760.367525598</v>
      </c>
      <c r="F48" s="94">
        <f t="shared" si="24"/>
        <v>3211169124.0875912</v>
      </c>
      <c r="G48" s="74">
        <f t="shared" si="18"/>
        <v>28272311.358404573</v>
      </c>
      <c r="H48" s="94">
        <f t="shared" si="24"/>
        <v>1214242015.5838861</v>
      </c>
      <c r="I48" s="74">
        <f t="shared" si="19"/>
        <v>10690632.290754413</v>
      </c>
      <c r="J48" s="94">
        <f t="shared" si="20"/>
        <v>607121007.79194307</v>
      </c>
      <c r="K48" s="74">
        <f t="shared" si="21"/>
        <v>5345316.1453772066</v>
      </c>
    </row>
    <row r="49" spans="1:13" x14ac:dyDescent="0.5">
      <c r="A49" s="69">
        <v>9</v>
      </c>
      <c r="B49" s="68">
        <f t="shared" si="22"/>
        <v>2428484031.1677723</v>
      </c>
      <c r="C49" s="74">
        <f t="shared" si="16"/>
        <v>21381264.581508826</v>
      </c>
      <c r="D49" s="94">
        <f t="shared" si="23"/>
        <v>1360434022.5435574</v>
      </c>
      <c r="E49" s="74">
        <f t="shared" si="17"/>
        <v>11977760.367525598</v>
      </c>
      <c r="F49" s="94">
        <f t="shared" si="24"/>
        <v>3211169124.0875912</v>
      </c>
      <c r="G49" s="74">
        <f t="shared" si="18"/>
        <v>28272311.358404573</v>
      </c>
      <c r="H49" s="94">
        <f t="shared" si="24"/>
        <v>1214242015.5838861</v>
      </c>
      <c r="I49" s="74">
        <f t="shared" si="19"/>
        <v>10690632.290754413</v>
      </c>
      <c r="J49" s="94">
        <f t="shared" si="20"/>
        <v>607121007.79194307</v>
      </c>
      <c r="K49" s="74">
        <f t="shared" si="21"/>
        <v>5345316.1453772066</v>
      </c>
    </row>
    <row r="50" spans="1:13" x14ac:dyDescent="0.5">
      <c r="A50" s="69">
        <v>10</v>
      </c>
      <c r="B50" s="68">
        <f t="shared" si="22"/>
        <v>2428484031.1677723</v>
      </c>
      <c r="C50" s="74">
        <f t="shared" si="16"/>
        <v>21381264.581508826</v>
      </c>
      <c r="D50" s="94">
        <f t="shared" si="23"/>
        <v>1360434022.5435574</v>
      </c>
      <c r="E50" s="74">
        <f t="shared" si="17"/>
        <v>11977760.367525598</v>
      </c>
      <c r="F50" s="94">
        <f t="shared" si="24"/>
        <v>3211169124.0875912</v>
      </c>
      <c r="G50" s="74">
        <f t="shared" si="18"/>
        <v>28272311.358404573</v>
      </c>
      <c r="H50" s="94">
        <f t="shared" si="24"/>
        <v>1214242015.5838861</v>
      </c>
      <c r="I50" s="74">
        <f t="shared" si="19"/>
        <v>10690632.290754413</v>
      </c>
      <c r="J50" s="94">
        <f t="shared" si="20"/>
        <v>607121007.79194307</v>
      </c>
      <c r="K50" s="74">
        <f t="shared" si="21"/>
        <v>5345316.1453772066</v>
      </c>
    </row>
    <row r="51" spans="1:13" x14ac:dyDescent="0.5">
      <c r="A51" s="69">
        <v>11</v>
      </c>
      <c r="B51" s="68">
        <f t="shared" si="22"/>
        <v>2428484031.1677723</v>
      </c>
      <c r="C51" s="74">
        <f t="shared" si="16"/>
        <v>21381264.581508826</v>
      </c>
      <c r="D51" s="94">
        <f t="shared" si="23"/>
        <v>1360434022.5435574</v>
      </c>
      <c r="E51" s="74">
        <f t="shared" si="17"/>
        <v>11977760.367525598</v>
      </c>
      <c r="F51" s="94">
        <f t="shared" si="24"/>
        <v>3211169124.0875912</v>
      </c>
      <c r="G51" s="74">
        <f t="shared" si="18"/>
        <v>28272311.358404573</v>
      </c>
      <c r="H51" s="94">
        <f t="shared" si="24"/>
        <v>1214242015.5838861</v>
      </c>
      <c r="I51" s="74">
        <f t="shared" si="19"/>
        <v>10690632.290754413</v>
      </c>
      <c r="J51" s="94">
        <f t="shared" si="20"/>
        <v>607121007.79194307</v>
      </c>
      <c r="K51" s="74">
        <f t="shared" si="21"/>
        <v>5345316.1453772066</v>
      </c>
    </row>
    <row r="52" spans="1:13" x14ac:dyDescent="0.5">
      <c r="A52" s="69">
        <v>12</v>
      </c>
      <c r="B52" s="68">
        <f t="shared" si="22"/>
        <v>2428484031.1677723</v>
      </c>
      <c r="C52" s="74">
        <f t="shared" si="16"/>
        <v>21381264.581508826</v>
      </c>
      <c r="D52" s="94">
        <f t="shared" si="23"/>
        <v>1360434022.5435574</v>
      </c>
      <c r="E52" s="74">
        <f t="shared" si="17"/>
        <v>11977760.367525598</v>
      </c>
      <c r="F52" s="94">
        <f t="shared" si="24"/>
        <v>3211169124.0875912</v>
      </c>
      <c r="G52" s="74">
        <f t="shared" si="18"/>
        <v>28272311.358404573</v>
      </c>
      <c r="H52" s="94">
        <f t="shared" si="24"/>
        <v>1214242015.5838861</v>
      </c>
      <c r="I52" s="74">
        <f t="shared" si="19"/>
        <v>10690632.290754413</v>
      </c>
      <c r="J52" s="94">
        <f t="shared" si="20"/>
        <v>607121007.79194307</v>
      </c>
      <c r="K52" s="74">
        <f t="shared" si="21"/>
        <v>5345316.1453772066</v>
      </c>
    </row>
    <row r="53" spans="1:13" x14ac:dyDescent="0.5">
      <c r="A53" s="69">
        <v>13</v>
      </c>
      <c r="B53" s="68">
        <f t="shared" si="22"/>
        <v>2428484031.1677723</v>
      </c>
      <c r="C53" s="74">
        <f t="shared" si="16"/>
        <v>21381264.581508826</v>
      </c>
      <c r="D53" s="94">
        <f t="shared" si="23"/>
        <v>1360434022.5435574</v>
      </c>
      <c r="E53" s="74">
        <f t="shared" si="17"/>
        <v>11977760.367525598</v>
      </c>
      <c r="F53" s="94">
        <f t="shared" si="24"/>
        <v>3211169124.0875912</v>
      </c>
      <c r="G53" s="74">
        <f t="shared" si="18"/>
        <v>28272311.358404573</v>
      </c>
      <c r="H53" s="94">
        <f t="shared" si="24"/>
        <v>1214242015.5838861</v>
      </c>
      <c r="I53" s="74">
        <f t="shared" si="19"/>
        <v>10690632.290754413</v>
      </c>
      <c r="J53" s="94">
        <f t="shared" si="20"/>
        <v>607121007.79194307</v>
      </c>
      <c r="K53" s="74">
        <f t="shared" si="21"/>
        <v>5345316.1453772066</v>
      </c>
    </row>
    <row r="54" spans="1:13" x14ac:dyDescent="0.5">
      <c r="A54" s="69">
        <v>14</v>
      </c>
      <c r="B54" s="68">
        <f t="shared" si="22"/>
        <v>2428484031.1677723</v>
      </c>
      <c r="C54" s="74">
        <f t="shared" si="16"/>
        <v>21381264.581508826</v>
      </c>
      <c r="D54" s="94">
        <f t="shared" si="23"/>
        <v>1360434022.5435574</v>
      </c>
      <c r="E54" s="74">
        <f t="shared" si="17"/>
        <v>11977760.367525598</v>
      </c>
      <c r="F54" s="94">
        <f t="shared" si="24"/>
        <v>3211169124.0875912</v>
      </c>
      <c r="G54" s="74">
        <f t="shared" si="18"/>
        <v>28272311.358404573</v>
      </c>
      <c r="H54" s="94">
        <f t="shared" si="24"/>
        <v>1214242015.5838861</v>
      </c>
      <c r="I54" s="74">
        <f t="shared" si="19"/>
        <v>10690632.290754413</v>
      </c>
      <c r="J54" s="94">
        <f t="shared" si="20"/>
        <v>607121007.79194307</v>
      </c>
      <c r="K54" s="74">
        <f t="shared" si="21"/>
        <v>5345316.1453772066</v>
      </c>
      <c r="M54" s="121"/>
    </row>
    <row r="55" spans="1:13" x14ac:dyDescent="0.5">
      <c r="A55" s="69">
        <v>15</v>
      </c>
      <c r="B55" s="68">
        <f t="shared" si="22"/>
        <v>2428484031.1677723</v>
      </c>
      <c r="C55" s="74">
        <f t="shared" si="16"/>
        <v>21381264.581508826</v>
      </c>
      <c r="D55" s="94">
        <f t="shared" si="23"/>
        <v>1360434022.5435574</v>
      </c>
      <c r="E55" s="74">
        <f t="shared" si="17"/>
        <v>11977760.367525598</v>
      </c>
      <c r="F55" s="94">
        <f t="shared" si="24"/>
        <v>3211169124.0875912</v>
      </c>
      <c r="G55" s="74">
        <f t="shared" si="18"/>
        <v>28272311.358404573</v>
      </c>
      <c r="H55" s="94">
        <f t="shared" si="24"/>
        <v>1214242015.5838861</v>
      </c>
      <c r="I55" s="74">
        <f t="shared" si="19"/>
        <v>10690632.290754413</v>
      </c>
      <c r="J55" s="94">
        <f t="shared" si="20"/>
        <v>607121007.79194307</v>
      </c>
      <c r="K55" s="74">
        <f t="shared" si="21"/>
        <v>5345316.1453772066</v>
      </c>
    </row>
    <row r="56" spans="1:13" x14ac:dyDescent="0.5">
      <c r="A56" s="69">
        <v>16</v>
      </c>
      <c r="B56" s="68">
        <f t="shared" si="22"/>
        <v>2428484031.1677723</v>
      </c>
      <c r="C56" s="74">
        <f t="shared" si="16"/>
        <v>21381264.581508826</v>
      </c>
      <c r="D56" s="94">
        <f t="shared" si="23"/>
        <v>1360434022.5435574</v>
      </c>
      <c r="E56" s="74">
        <f t="shared" si="17"/>
        <v>11977760.367525598</v>
      </c>
      <c r="F56" s="94">
        <f t="shared" si="24"/>
        <v>3211169124.0875912</v>
      </c>
      <c r="G56" s="74">
        <f t="shared" si="18"/>
        <v>28272311.358404573</v>
      </c>
      <c r="H56" s="94">
        <f t="shared" si="24"/>
        <v>1214242015.5838861</v>
      </c>
      <c r="I56" s="74">
        <f t="shared" si="19"/>
        <v>10690632.290754413</v>
      </c>
      <c r="J56" s="94">
        <f t="shared" si="20"/>
        <v>607121007.79194307</v>
      </c>
      <c r="K56" s="74">
        <f t="shared" si="21"/>
        <v>5345316.1453772066</v>
      </c>
    </row>
    <row r="57" spans="1:13" x14ac:dyDescent="0.5">
      <c r="A57" s="69">
        <v>17</v>
      </c>
      <c r="B57" s="68">
        <f t="shared" si="22"/>
        <v>2428484031.1677723</v>
      </c>
      <c r="C57" s="74">
        <f t="shared" si="16"/>
        <v>21381264.581508826</v>
      </c>
      <c r="D57" s="94">
        <f t="shared" si="23"/>
        <v>1360434022.5435574</v>
      </c>
      <c r="E57" s="74">
        <f t="shared" si="17"/>
        <v>11977760.367525598</v>
      </c>
      <c r="F57" s="94">
        <f t="shared" si="24"/>
        <v>3211169124.0875912</v>
      </c>
      <c r="G57" s="74">
        <f t="shared" si="18"/>
        <v>28272311.358404573</v>
      </c>
      <c r="H57" s="94">
        <f t="shared" si="24"/>
        <v>1214242015.5838861</v>
      </c>
      <c r="I57" s="74">
        <f t="shared" si="19"/>
        <v>10690632.290754413</v>
      </c>
      <c r="J57" s="94">
        <f t="shared" si="20"/>
        <v>607121007.79194307</v>
      </c>
      <c r="K57" s="74">
        <f t="shared" si="21"/>
        <v>5345316.1453772066</v>
      </c>
    </row>
    <row r="58" spans="1:13" x14ac:dyDescent="0.5">
      <c r="A58" s="69">
        <v>18</v>
      </c>
      <c r="B58" s="68">
        <f t="shared" si="22"/>
        <v>2428484031.1677723</v>
      </c>
      <c r="C58" s="74">
        <f t="shared" si="16"/>
        <v>21381264.581508826</v>
      </c>
      <c r="D58" s="94">
        <f t="shared" si="23"/>
        <v>1360434022.5435574</v>
      </c>
      <c r="E58" s="74">
        <f t="shared" si="17"/>
        <v>11977760.367525598</v>
      </c>
      <c r="F58" s="94">
        <f t="shared" si="24"/>
        <v>3211169124.0875912</v>
      </c>
      <c r="G58" s="74">
        <f t="shared" si="18"/>
        <v>28272311.358404573</v>
      </c>
      <c r="H58" s="94">
        <f t="shared" si="24"/>
        <v>1214242015.5838861</v>
      </c>
      <c r="I58" s="74">
        <f t="shared" si="19"/>
        <v>10690632.290754413</v>
      </c>
      <c r="J58" s="94">
        <f t="shared" si="20"/>
        <v>607121007.79194307</v>
      </c>
      <c r="K58" s="74">
        <f t="shared" si="21"/>
        <v>5345316.1453772066</v>
      </c>
    </row>
    <row r="59" spans="1:13" x14ac:dyDescent="0.5">
      <c r="A59" s="69">
        <v>19</v>
      </c>
      <c r="B59" s="68">
        <f t="shared" si="22"/>
        <v>2428484031.1677723</v>
      </c>
      <c r="C59" s="74">
        <f t="shared" si="16"/>
        <v>21381264.581508826</v>
      </c>
      <c r="D59" s="94">
        <f t="shared" si="23"/>
        <v>1360434022.5435574</v>
      </c>
      <c r="E59" s="74">
        <f t="shared" si="17"/>
        <v>11977760.367525598</v>
      </c>
      <c r="F59" s="94">
        <f t="shared" si="24"/>
        <v>3211169124.0875912</v>
      </c>
      <c r="G59" s="74">
        <f t="shared" si="18"/>
        <v>28272311.358404573</v>
      </c>
      <c r="H59" s="94">
        <f t="shared" si="24"/>
        <v>1214242015.5838861</v>
      </c>
      <c r="I59" s="74">
        <f t="shared" si="19"/>
        <v>10690632.290754413</v>
      </c>
      <c r="J59" s="94">
        <f t="shared" si="20"/>
        <v>607121007.79194307</v>
      </c>
      <c r="K59" s="74">
        <f t="shared" si="21"/>
        <v>5345316.1453772066</v>
      </c>
    </row>
    <row r="60" spans="1:13" x14ac:dyDescent="0.5">
      <c r="A60" s="146">
        <v>20</v>
      </c>
      <c r="B60" s="78">
        <f t="shared" si="22"/>
        <v>2428484031.1677723</v>
      </c>
      <c r="C60" s="145">
        <f t="shared" si="16"/>
        <v>21381264.581508826</v>
      </c>
      <c r="D60" s="86">
        <f t="shared" si="23"/>
        <v>1360434022.5435574</v>
      </c>
      <c r="E60" s="145">
        <f t="shared" si="17"/>
        <v>11977760.367525598</v>
      </c>
      <c r="F60" s="86">
        <f t="shared" si="24"/>
        <v>3211169124.0875912</v>
      </c>
      <c r="G60" s="145">
        <f t="shared" si="18"/>
        <v>28272311.358404573</v>
      </c>
      <c r="H60" s="86">
        <f t="shared" si="24"/>
        <v>1214242015.5838861</v>
      </c>
      <c r="I60" s="145">
        <f t="shared" si="19"/>
        <v>10690632.290754413</v>
      </c>
      <c r="J60" s="86">
        <f t="shared" si="20"/>
        <v>607121007.79194307</v>
      </c>
      <c r="K60" s="145">
        <f t="shared" si="21"/>
        <v>5345316.1453772066</v>
      </c>
      <c r="L60" s="51"/>
    </row>
    <row r="61" spans="1:13" x14ac:dyDescent="0.5">
      <c r="A61" s="156" t="s">
        <v>169</v>
      </c>
      <c r="B61" s="148">
        <f>SUM(B41:B60)</f>
        <v>48569680623.355423</v>
      </c>
      <c r="C61" s="149">
        <f t="shared" ref="C61:E61" si="25">SUM(C41:C60)</f>
        <v>427625291.63017642</v>
      </c>
      <c r="D61" s="157">
        <f t="shared" si="25"/>
        <v>27208680450.871143</v>
      </c>
      <c r="E61" s="149">
        <f t="shared" si="25"/>
        <v>239555207.350512</v>
      </c>
      <c r="F61" s="157">
        <f t="shared" ref="F61:K61" si="26">SUM(F41:F60)</f>
        <v>64223382481.751846</v>
      </c>
      <c r="G61" s="149">
        <f t="shared" si="26"/>
        <v>565446227.16809142</v>
      </c>
      <c r="H61" s="157">
        <f t="shared" si="26"/>
        <v>24284840311.677711</v>
      </c>
      <c r="I61" s="149">
        <f t="shared" si="26"/>
        <v>213812645.81508821</v>
      </c>
      <c r="J61" s="157">
        <f t="shared" si="26"/>
        <v>12142420155.838856</v>
      </c>
      <c r="K61" s="149">
        <f t="shared" si="26"/>
        <v>106906322.90754411</v>
      </c>
      <c r="L61" s="51"/>
    </row>
    <row r="62" spans="1:13" x14ac:dyDescent="0.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3" x14ac:dyDescent="0.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</row>
    <row r="64" spans="1:13" ht="22.2" x14ac:dyDescent="0.55000000000000004">
      <c r="A64" s="158" t="s">
        <v>264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</row>
    <row r="65" spans="1:12" s="89" customFormat="1" x14ac:dyDescent="0.5">
      <c r="A65" s="155" t="s">
        <v>255</v>
      </c>
      <c r="B65" s="155"/>
      <c r="C65" s="154">
        <f>'Subsidy and recharge'!P4</f>
        <v>48603225.857142858</v>
      </c>
      <c r="D65" s="155"/>
      <c r="E65" s="155"/>
      <c r="F65" s="155"/>
      <c r="G65" s="155"/>
      <c r="H65" s="155"/>
      <c r="I65" s="155"/>
      <c r="J65" s="155"/>
      <c r="K65" s="155"/>
      <c r="L65" s="155"/>
    </row>
    <row r="66" spans="1:12" s="89" customFormat="1" x14ac:dyDescent="0.5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</row>
    <row r="67" spans="1:12" s="89" customFormat="1" x14ac:dyDescent="0.5">
      <c r="A67" s="155"/>
      <c r="B67" s="195" t="s">
        <v>259</v>
      </c>
      <c r="C67" s="196"/>
      <c r="D67" s="195" t="s">
        <v>329</v>
      </c>
      <c r="E67" s="196"/>
      <c r="F67" s="195" t="s">
        <v>330</v>
      </c>
      <c r="G67" s="196"/>
      <c r="H67" s="155"/>
      <c r="I67" s="155"/>
      <c r="J67" s="155"/>
      <c r="K67" s="155"/>
      <c r="L67" s="155"/>
    </row>
    <row r="68" spans="1:12" s="89" customFormat="1" x14ac:dyDescent="0.5">
      <c r="A68" s="138" t="s">
        <v>260</v>
      </c>
      <c r="B68" s="117">
        <f>D31+B61-C65*20</f>
        <v>47638708064.848511</v>
      </c>
      <c r="C68" s="118">
        <f>B68/$C$6</f>
        <v>419428667.58979142</v>
      </c>
      <c r="D68" s="117">
        <f>D31+H61-C65*20</f>
        <v>23353867753.170803</v>
      </c>
      <c r="E68" s="118">
        <f>D68/$C$6</f>
        <v>205616021.77470332</v>
      </c>
      <c r="F68" s="117">
        <f>D31+J61-C65*20</f>
        <v>11211447597.331945</v>
      </c>
      <c r="G68" s="118">
        <f>F68/$C$6</f>
        <v>98709698.867159232</v>
      </c>
      <c r="H68" s="155"/>
      <c r="I68" s="155"/>
      <c r="J68" s="155"/>
      <c r="K68" s="155"/>
      <c r="L68" s="155"/>
    </row>
    <row r="69" spans="1:12" s="89" customFormat="1" x14ac:dyDescent="0.5">
      <c r="A69" s="138" t="s">
        <v>230</v>
      </c>
      <c r="B69" s="117">
        <f>G31+B61-C65*20</f>
        <v>47679800023.484459</v>
      </c>
      <c r="C69" s="118">
        <f t="shared" ref="C69:C74" si="27">B69/$C$6</f>
        <v>419790456.27297467</v>
      </c>
      <c r="D69" s="117">
        <f>G31+H61-C65*20</f>
        <v>23394959711.806747</v>
      </c>
      <c r="E69" s="118">
        <f t="shared" ref="E69:E74" si="28">D69/$C$6</f>
        <v>205977810.45788649</v>
      </c>
      <c r="F69" s="117">
        <f>G31+J61-C65*20</f>
        <v>11252539555.967892</v>
      </c>
      <c r="G69" s="118">
        <f t="shared" ref="G69:G74" si="29">F69/$C$6</f>
        <v>99071487.550342411</v>
      </c>
      <c r="H69" s="155"/>
      <c r="I69" s="155"/>
      <c r="J69" s="155"/>
      <c r="K69" s="155"/>
      <c r="L69" s="155"/>
    </row>
    <row r="70" spans="1:12" s="89" customFormat="1" x14ac:dyDescent="0.5">
      <c r="A70" s="138" t="s">
        <v>231</v>
      </c>
      <c r="B70" s="117">
        <f>I31+B61-C65*20</f>
        <v>47720891982.120399</v>
      </c>
      <c r="C70" s="118">
        <f t="shared" si="27"/>
        <v>420152244.9561578</v>
      </c>
      <c r="D70" s="117">
        <f>I31+H61-C65*20</f>
        <v>23436051670.442696</v>
      </c>
      <c r="E70" s="118">
        <f t="shared" si="28"/>
        <v>206339599.14106968</v>
      </c>
      <c r="F70" s="117">
        <f>I31+J61-C65*20</f>
        <v>11293631514.603838</v>
      </c>
      <c r="G70" s="118">
        <f t="shared" si="29"/>
        <v>99433276.233525604</v>
      </c>
      <c r="H70" s="155"/>
      <c r="I70" s="155"/>
      <c r="J70" s="155"/>
      <c r="K70" s="155"/>
      <c r="L70" s="155"/>
    </row>
    <row r="71" spans="1:12" s="89" customFormat="1" x14ac:dyDescent="0.5">
      <c r="A71" s="138" t="s">
        <v>237</v>
      </c>
      <c r="B71" s="117">
        <f>K31+B61-C65*20</f>
        <v>47654523068.291115</v>
      </c>
      <c r="C71" s="118">
        <f t="shared" si="27"/>
        <v>419567908.68366891</v>
      </c>
      <c r="D71" s="117">
        <f>K31+H61-C65*20</f>
        <v>23369682756.613411</v>
      </c>
      <c r="E71" s="118">
        <f t="shared" si="28"/>
        <v>205755262.86858085</v>
      </c>
      <c r="F71" s="117">
        <f>K31+J61-C65*20</f>
        <v>11227262600.774553</v>
      </c>
      <c r="G71" s="118">
        <f t="shared" si="29"/>
        <v>98848939.961036742</v>
      </c>
      <c r="H71" s="155"/>
      <c r="I71" s="155"/>
      <c r="J71" s="155"/>
      <c r="K71" s="155"/>
      <c r="L71" s="155"/>
    </row>
    <row r="72" spans="1:12" s="89" customFormat="1" x14ac:dyDescent="0.5">
      <c r="A72" s="138" t="s">
        <v>261</v>
      </c>
      <c r="B72" s="117">
        <f>M31+B61-C65*20</f>
        <v>47622893061.405899</v>
      </c>
      <c r="C72" s="118">
        <f t="shared" si="27"/>
        <v>419289426.49591386</v>
      </c>
      <c r="D72" s="117">
        <f>M31+H61-C65*20</f>
        <v>23338052749.728191</v>
      </c>
      <c r="E72" s="118">
        <f t="shared" si="28"/>
        <v>205476780.68082577</v>
      </c>
      <c r="F72" s="117">
        <f>M31+J61-C65*20</f>
        <v>11195632593.889338</v>
      </c>
      <c r="G72" s="118">
        <f t="shared" si="29"/>
        <v>98570457.773281723</v>
      </c>
      <c r="H72" s="155"/>
      <c r="I72" s="155"/>
      <c r="J72" s="155"/>
      <c r="K72" s="155"/>
      <c r="L72" s="155"/>
    </row>
    <row r="73" spans="1:12" s="89" customFormat="1" x14ac:dyDescent="0.5">
      <c r="A73" s="138" t="s">
        <v>262</v>
      </c>
      <c r="B73" s="117">
        <f>O31+B61-C65*20</f>
        <v>47657967972.962112</v>
      </c>
      <c r="C73" s="118">
        <f t="shared" si="27"/>
        <v>419598238.88855535</v>
      </c>
      <c r="D73" s="117">
        <f>O31+H61-C65*20</f>
        <v>23373127661.284401</v>
      </c>
      <c r="E73" s="118">
        <f t="shared" si="28"/>
        <v>205785593.07346717</v>
      </c>
      <c r="F73" s="117">
        <f>O31+J61-C65*20</f>
        <v>11230707505.445545</v>
      </c>
      <c r="G73" s="118">
        <f t="shared" si="29"/>
        <v>98879270.165923104</v>
      </c>
      <c r="H73" s="155"/>
      <c r="I73" s="155"/>
      <c r="J73" s="155"/>
      <c r="K73" s="155"/>
      <c r="L73" s="155"/>
    </row>
    <row r="74" spans="1:12" s="89" customFormat="1" x14ac:dyDescent="0.5">
      <c r="A74" s="138" t="s">
        <v>263</v>
      </c>
      <c r="B74" s="119">
        <f>Q31+B61-C65*20</f>
        <v>47619448156.734909</v>
      </c>
      <c r="C74" s="120">
        <f t="shared" si="27"/>
        <v>419259096.29102755</v>
      </c>
      <c r="D74" s="119">
        <f>Q31+H61-C65*20</f>
        <v>23334607845.057201</v>
      </c>
      <c r="E74" s="120">
        <f t="shared" si="28"/>
        <v>205446450.47593945</v>
      </c>
      <c r="F74" s="119">
        <f>Q31+J61-C65*20</f>
        <v>11192187689.218346</v>
      </c>
      <c r="G74" s="120">
        <f t="shared" si="29"/>
        <v>98540127.568395361</v>
      </c>
      <c r="H74" s="155"/>
      <c r="I74" s="155"/>
      <c r="J74" s="155"/>
      <c r="K74" s="155"/>
      <c r="L74" s="155"/>
    </row>
    <row r="75" spans="1:12" s="89" customFormat="1" x14ac:dyDescent="0.5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</row>
    <row r="76" spans="1:12" s="89" customFormat="1" x14ac:dyDescent="0.5">
      <c r="A76" s="155"/>
      <c r="B76" s="155"/>
      <c r="C76" s="155"/>
      <c r="D76" s="155"/>
      <c r="E76" s="159"/>
      <c r="F76" s="155"/>
      <c r="G76" s="155"/>
      <c r="H76" s="155"/>
      <c r="I76" s="155"/>
      <c r="J76" s="155"/>
      <c r="K76" s="155"/>
      <c r="L76" s="155"/>
    </row>
    <row r="77" spans="1:12" s="89" customFormat="1" x14ac:dyDescent="0.5">
      <c r="E77" s="95"/>
    </row>
    <row r="78" spans="1:12" s="89" customFormat="1" x14ac:dyDescent="0.5"/>
    <row r="79" spans="1:12" s="89" customFormat="1" x14ac:dyDescent="0.5"/>
    <row r="80" spans="1:12" s="89" customFormat="1" x14ac:dyDescent="0.5"/>
    <row r="81" s="89" customFormat="1" x14ac:dyDescent="0.5"/>
    <row r="82" s="89" customFormat="1" x14ac:dyDescent="0.5"/>
    <row r="83" s="89" customFormat="1" x14ac:dyDescent="0.5"/>
  </sheetData>
  <mergeCells count="18">
    <mergeCell ref="H39:I39"/>
    <mergeCell ref="J39:K39"/>
    <mergeCell ref="D67:E67"/>
    <mergeCell ref="F67:G67"/>
    <mergeCell ref="A8:E8"/>
    <mergeCell ref="A39:C39"/>
    <mergeCell ref="D39:E39"/>
    <mergeCell ref="F39:G39"/>
    <mergeCell ref="B67:C67"/>
    <mergeCell ref="P9:Q9"/>
    <mergeCell ref="N9:O9"/>
    <mergeCell ref="N8:Q8"/>
    <mergeCell ref="F8:I8"/>
    <mergeCell ref="F9:G9"/>
    <mergeCell ref="H9:I9"/>
    <mergeCell ref="J9:K9"/>
    <mergeCell ref="L9:M9"/>
    <mergeCell ref="J8:M8"/>
  </mergeCells>
  <phoneticPr fontId="21"/>
  <pageMargins left="0.7" right="0.7" top="0.75" bottom="0.75" header="0.3" footer="0.3"/>
  <pageSetup orientation="portrait" horizontalDpi="4294967292" verticalDpi="4294967292"/>
  <ignoredErrors>
    <ignoredError sqref="H11 H12:H30 D41:D60 F41:F60 H41 J41 J42:J60 D68:D70 H42:H60 F68:F74 D71:D74 C42:C60 E42:E60 G42:G60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6BDF-EE9B-294F-B932-63465AB1748D}">
  <dimension ref="A1:O158"/>
  <sheetViews>
    <sheetView workbookViewId="0"/>
  </sheetViews>
  <sheetFormatPr defaultColWidth="10.90625" defaultRowHeight="19.8" x14ac:dyDescent="0.5"/>
  <cols>
    <col min="2" max="2" width="21.81640625" customWidth="1"/>
    <col min="3" max="3" width="20" bestFit="1" customWidth="1"/>
    <col min="4" max="4" width="17.453125" bestFit="1" customWidth="1"/>
    <col min="5" max="5" width="25.1796875" bestFit="1" customWidth="1"/>
    <col min="6" max="6" width="16.1796875" bestFit="1" customWidth="1"/>
    <col min="7" max="7" width="17.453125" bestFit="1" customWidth="1"/>
    <col min="8" max="8" width="25.1796875" bestFit="1" customWidth="1"/>
    <col min="9" max="9" width="16.1796875" bestFit="1" customWidth="1"/>
    <col min="10" max="10" width="17.453125" bestFit="1" customWidth="1"/>
    <col min="11" max="11" width="25.1796875" bestFit="1" customWidth="1"/>
    <col min="12" max="12" width="16.1796875" bestFit="1" customWidth="1"/>
    <col min="13" max="13" width="17.453125" bestFit="1" customWidth="1"/>
    <col min="14" max="14" width="25.1796875" bestFit="1" customWidth="1"/>
    <col min="15" max="15" width="16.1796875" bestFit="1" customWidth="1"/>
  </cols>
  <sheetData>
    <row r="1" spans="1:9" x14ac:dyDescent="0.5">
      <c r="A1" t="s">
        <v>158</v>
      </c>
      <c r="D1">
        <v>4.4000000000000003E-3</v>
      </c>
      <c r="E1" t="s">
        <v>160</v>
      </c>
    </row>
    <row r="2" spans="1:9" x14ac:dyDescent="0.5">
      <c r="A2" t="s">
        <v>159</v>
      </c>
      <c r="D2">
        <f>-D1</f>
        <v>-4.4000000000000003E-3</v>
      </c>
      <c r="E2" t="s">
        <v>160</v>
      </c>
    </row>
    <row r="3" spans="1:9" x14ac:dyDescent="0.5">
      <c r="A3" t="s">
        <v>331</v>
      </c>
      <c r="D3">
        <v>113.58</v>
      </c>
      <c r="E3" t="s">
        <v>265</v>
      </c>
    </row>
    <row r="5" spans="1:9" x14ac:dyDescent="0.5">
      <c r="B5" s="187" t="s">
        <v>176</v>
      </c>
      <c r="C5" s="189"/>
      <c r="D5" s="187" t="s">
        <v>266</v>
      </c>
      <c r="E5" s="188"/>
      <c r="F5" s="189"/>
      <c r="G5" s="187" t="s">
        <v>267</v>
      </c>
      <c r="H5" s="190"/>
      <c r="I5" s="191"/>
    </row>
    <row r="6" spans="1:9" x14ac:dyDescent="0.5">
      <c r="A6" t="s">
        <v>58</v>
      </c>
      <c r="B6" s="96" t="s">
        <v>175</v>
      </c>
      <c r="C6" s="97" t="s">
        <v>268</v>
      </c>
      <c r="D6" s="96" t="s">
        <v>269</v>
      </c>
      <c r="E6" s="98" t="s">
        <v>270</v>
      </c>
      <c r="F6" s="97" t="s">
        <v>271</v>
      </c>
      <c r="G6" s="96" t="s">
        <v>269</v>
      </c>
      <c r="H6" s="98" t="s">
        <v>270</v>
      </c>
      <c r="I6" s="97" t="s">
        <v>271</v>
      </c>
    </row>
    <row r="7" spans="1:9" x14ac:dyDescent="0.5">
      <c r="A7">
        <v>1982</v>
      </c>
      <c r="B7" s="87">
        <f>Trends!C45</f>
        <v>7.5322973967326341</v>
      </c>
      <c r="C7" s="73"/>
      <c r="D7" s="94">
        <f>'Kumamoto pumping'!C8</f>
        <v>27924118</v>
      </c>
      <c r="E7" s="99">
        <f>'Kumamoto pumping'!I86</f>
        <v>18.982183369067659</v>
      </c>
      <c r="F7" s="100"/>
      <c r="G7" s="94"/>
      <c r="H7" s="68"/>
      <c r="I7" s="100"/>
    </row>
    <row r="8" spans="1:9" x14ac:dyDescent="0.5">
      <c r="A8">
        <v>1983</v>
      </c>
      <c r="B8" s="87">
        <f>Trends!C46</f>
        <v>7.3822002795698891</v>
      </c>
      <c r="C8" s="102">
        <f>B8-$B$7</f>
        <v>-0.15009711716274499</v>
      </c>
      <c r="D8" s="94">
        <f>'Kumamoto pumping'!C9</f>
        <v>30505150</v>
      </c>
      <c r="E8" s="99">
        <f>'Kumamoto pumping'!I87</f>
        <v>19.164312779409119</v>
      </c>
      <c r="F8" s="100">
        <f>C8*$D$2*D8*E8</f>
        <v>386092.56877333624</v>
      </c>
      <c r="G8" s="94">
        <f>'Kumamoto pumping'!D9</f>
        <v>736920</v>
      </c>
      <c r="H8" s="99">
        <f>'Kumamoto pumping'!J87</f>
        <v>30.588200974887549</v>
      </c>
      <c r="I8" s="100">
        <f t="shared" ref="I8:I41" si="0">C8*$D$2*G8*H8</f>
        <v>14886.729804624898</v>
      </c>
    </row>
    <row r="9" spans="1:9" x14ac:dyDescent="0.5">
      <c r="A9">
        <v>1984</v>
      </c>
      <c r="B9" s="87">
        <f>Trends!C47</f>
        <v>7.1836422898550696</v>
      </c>
      <c r="C9" s="102">
        <f t="shared" ref="C9:C41" si="1">B9-$B$7</f>
        <v>-0.34865510687756451</v>
      </c>
      <c r="D9" s="94">
        <f>'Kumamoto pumping'!C10</f>
        <v>28848320</v>
      </c>
      <c r="E9" s="99">
        <f>'Kumamoto pumping'!I88</f>
        <v>18.956788083979159</v>
      </c>
      <c r="F9" s="100">
        <f t="shared" ref="F9:F41" si="2">C9*$D$2*D9*E9</f>
        <v>838945.96448263782</v>
      </c>
      <c r="G9" s="94">
        <f>'Kumamoto pumping'!D10</f>
        <v>7778740</v>
      </c>
      <c r="H9" s="99">
        <f>'Kumamoto pumping'!J88</f>
        <v>20.000161836707917</v>
      </c>
      <c r="I9" s="100">
        <f t="shared" si="0"/>
        <v>238666.50472884873</v>
      </c>
    </row>
    <row r="10" spans="1:9" x14ac:dyDescent="0.5">
      <c r="A10">
        <v>1985</v>
      </c>
      <c r="B10" s="87">
        <f>Trends!C48</f>
        <v>7.1864056042472209</v>
      </c>
      <c r="C10" s="102">
        <f t="shared" si="1"/>
        <v>-0.34589179248541324</v>
      </c>
      <c r="D10" s="94">
        <f>'Kumamoto pumping'!C11</f>
        <v>25582120</v>
      </c>
      <c r="E10" s="99">
        <f>'Kumamoto pumping'!I89</f>
        <v>19.354797528696906</v>
      </c>
      <c r="F10" s="100">
        <f t="shared" si="2"/>
        <v>753560.45162179146</v>
      </c>
      <c r="G10" s="94">
        <f>'Kumamoto pumping'!D11</f>
        <v>12028700</v>
      </c>
      <c r="H10" s="99">
        <f>'Kumamoto pumping'!J89</f>
        <v>19.146570004771245</v>
      </c>
      <c r="I10" s="100">
        <f t="shared" si="0"/>
        <v>350511.77407618088</v>
      </c>
    </row>
    <row r="11" spans="1:9" x14ac:dyDescent="0.5">
      <c r="A11">
        <v>1986</v>
      </c>
      <c r="B11" s="87">
        <f>Trends!C49</f>
        <v>7.1629148990237939</v>
      </c>
      <c r="C11" s="102">
        <f t="shared" si="1"/>
        <v>-0.36938249770884024</v>
      </c>
      <c r="D11" s="94">
        <f>'Kumamoto pumping'!C12</f>
        <v>26191760</v>
      </c>
      <c r="E11" s="99">
        <f>'Kumamoto pumping'!I90</f>
        <v>18.63839150133424</v>
      </c>
      <c r="F11" s="100">
        <f t="shared" si="2"/>
        <v>793418.09794017544</v>
      </c>
      <c r="G11" s="94">
        <f>'Kumamoto pumping'!D12</f>
        <v>11223790</v>
      </c>
      <c r="H11" s="99">
        <f>'Kumamoto pumping'!J90</f>
        <v>16.588482362806634</v>
      </c>
      <c r="I11" s="100">
        <f t="shared" si="0"/>
        <v>302604.35765548312</v>
      </c>
    </row>
    <row r="12" spans="1:9" x14ac:dyDescent="0.5">
      <c r="A12">
        <v>1987</v>
      </c>
      <c r="B12" s="87">
        <f>Trends!C50</f>
        <v>7.3507308677675347</v>
      </c>
      <c r="C12" s="102">
        <f t="shared" si="1"/>
        <v>-0.18156652896509939</v>
      </c>
      <c r="D12" s="94">
        <f>'Kumamoto pumping'!C13</f>
        <v>26260487</v>
      </c>
      <c r="E12" s="99">
        <f>'Kumamoto pumping'!I91</f>
        <v>17.506719933588343</v>
      </c>
      <c r="F12" s="100">
        <f t="shared" si="2"/>
        <v>367278.94104521017</v>
      </c>
      <c r="G12" s="94">
        <f>'Kumamoto pumping'!D13</f>
        <v>10023281</v>
      </c>
      <c r="H12" s="99">
        <f>'Kumamoto pumping'!J91</f>
        <v>14.084119594652785</v>
      </c>
      <c r="I12" s="100">
        <f t="shared" si="0"/>
        <v>112778.95801092418</v>
      </c>
    </row>
    <row r="13" spans="1:9" x14ac:dyDescent="0.5">
      <c r="A13">
        <v>1988</v>
      </c>
      <c r="B13" s="87">
        <f>Trends!C51</f>
        <v>7.3729769221357033</v>
      </c>
      <c r="C13" s="102">
        <f t="shared" si="1"/>
        <v>-0.15932047459693077</v>
      </c>
      <c r="D13" s="94">
        <f>'Kumamoto pumping'!C14</f>
        <v>27430690</v>
      </c>
      <c r="E13" s="99">
        <f>'Kumamoto pumping'!I92</f>
        <v>15.37265192065764</v>
      </c>
      <c r="F13" s="100">
        <f t="shared" si="2"/>
        <v>295603.65099679626</v>
      </c>
      <c r="G13" s="94">
        <f>'Kumamoto pumping'!D14</f>
        <v>10588473</v>
      </c>
      <c r="H13" s="99">
        <f>'Kumamoto pumping'!J92</f>
        <v>15.287087772234615</v>
      </c>
      <c r="I13" s="100">
        <f t="shared" si="0"/>
        <v>113470.34115369238</v>
      </c>
    </row>
    <row r="14" spans="1:9" x14ac:dyDescent="0.5">
      <c r="A14">
        <v>1989</v>
      </c>
      <c r="B14" s="87">
        <f>Trends!C52</f>
        <v>7.2315701177872276</v>
      </c>
      <c r="C14" s="102">
        <f t="shared" si="1"/>
        <v>-0.30072727894540652</v>
      </c>
      <c r="D14" s="94">
        <f>'Kumamoto pumping'!C15</f>
        <v>29781760</v>
      </c>
      <c r="E14" s="99">
        <f>'Kumamoto pumping'!I93</f>
        <v>15.319766245162269</v>
      </c>
      <c r="F14" s="100">
        <f t="shared" si="2"/>
        <v>603709.48527968663</v>
      </c>
      <c r="G14" s="94">
        <f>'Kumamoto pumping'!D15</f>
        <v>10284950</v>
      </c>
      <c r="H14" s="99">
        <f>'Kumamoto pumping'!J93</f>
        <v>13.287151349320281</v>
      </c>
      <c r="I14" s="100">
        <f t="shared" si="0"/>
        <v>180825.45553484303</v>
      </c>
    </row>
    <row r="15" spans="1:9" x14ac:dyDescent="0.5">
      <c r="A15">
        <v>1990</v>
      </c>
      <c r="B15" s="87">
        <f>Trends!C53</f>
        <v>7.1429290852534537</v>
      </c>
      <c r="C15" s="102">
        <f t="shared" si="1"/>
        <v>-0.38936831147918038</v>
      </c>
      <c r="D15" s="94">
        <f>'Kumamoto pumping'!C16</f>
        <v>28510460</v>
      </c>
      <c r="E15" s="99">
        <f>'Kumamoto pumping'!I94</f>
        <v>15.257445205339785</v>
      </c>
      <c r="F15" s="100">
        <f t="shared" si="2"/>
        <v>745245.43370651675</v>
      </c>
      <c r="G15" s="94">
        <f>'Kumamoto pumping'!D16</f>
        <v>12114760</v>
      </c>
      <c r="H15" s="99">
        <f>'Kumamoto pumping'!J94</f>
        <v>13.821639338607241</v>
      </c>
      <c r="I15" s="100">
        <f t="shared" si="0"/>
        <v>286871.66334836028</v>
      </c>
    </row>
    <row r="16" spans="1:9" x14ac:dyDescent="0.5">
      <c r="A16">
        <v>1991</v>
      </c>
      <c r="B16" s="87">
        <f>Trends!C54</f>
        <v>7.1344057493599555</v>
      </c>
      <c r="C16" s="102">
        <f t="shared" si="1"/>
        <v>-0.39789164737267857</v>
      </c>
      <c r="D16" s="94">
        <f>'Kumamoto pumping'!C17</f>
        <v>28507280</v>
      </c>
      <c r="E16" s="99">
        <f>'Kumamoto pumping'!I95</f>
        <v>15.24146620114136</v>
      </c>
      <c r="F16" s="100">
        <f t="shared" si="2"/>
        <v>760676.54926096275</v>
      </c>
      <c r="G16" s="94">
        <f>'Kumamoto pumping'!D17</f>
        <v>12692991</v>
      </c>
      <c r="H16" s="99">
        <f>'Kumamoto pumping'!J95</f>
        <v>12.948175182862759</v>
      </c>
      <c r="I16" s="100">
        <f t="shared" si="0"/>
        <v>287733.2410150987</v>
      </c>
    </row>
    <row r="17" spans="1:9" x14ac:dyDescent="0.5">
      <c r="A17">
        <v>1992</v>
      </c>
      <c r="B17" s="87">
        <f>Trends!C55</f>
        <v>7.0406642753676891</v>
      </c>
      <c r="C17" s="102">
        <f t="shared" si="1"/>
        <v>-0.49163312136494497</v>
      </c>
      <c r="D17" s="94">
        <f>'Kumamoto pumping'!C18</f>
        <v>26063099</v>
      </c>
      <c r="E17" s="99">
        <f>'Kumamoto pumping'!I96</f>
        <v>16.128747783329711</v>
      </c>
      <c r="F17" s="100">
        <f t="shared" si="2"/>
        <v>909327.8960354788</v>
      </c>
      <c r="G17" s="94">
        <f>'Kumamoto pumping'!D18</f>
        <v>11338454</v>
      </c>
      <c r="H17" s="99">
        <f>'Kumamoto pumping'!J96</f>
        <v>12.571292912805959</v>
      </c>
      <c r="I17" s="100">
        <f t="shared" si="0"/>
        <v>308338.38847432245</v>
      </c>
    </row>
    <row r="18" spans="1:9" x14ac:dyDescent="0.5">
      <c r="A18">
        <v>1993</v>
      </c>
      <c r="B18" s="87">
        <f>Trends!C56</f>
        <v>7.3825442478238577</v>
      </c>
      <c r="C18" s="102">
        <f t="shared" si="1"/>
        <v>-0.14975314890877645</v>
      </c>
      <c r="D18" s="94">
        <f>'Kumamoto pumping'!C19</f>
        <v>25787830</v>
      </c>
      <c r="E18" s="99">
        <f>'Kumamoto pumping'!I97</f>
        <v>16.168669813926829</v>
      </c>
      <c r="F18" s="100">
        <f t="shared" si="2"/>
        <v>274737.36619560135</v>
      </c>
      <c r="G18" s="94">
        <f>'Kumamoto pumping'!D19</f>
        <v>11132749</v>
      </c>
      <c r="H18" s="99">
        <f>'Kumamoto pumping'!J97</f>
        <v>12.485770415368798</v>
      </c>
      <c r="I18" s="100">
        <f t="shared" si="0"/>
        <v>91589.650592738879</v>
      </c>
    </row>
    <row r="19" spans="1:9" x14ac:dyDescent="0.5">
      <c r="A19">
        <v>1994</v>
      </c>
      <c r="B19" s="87">
        <f>Trends!C57</f>
        <v>7.1743427949308725</v>
      </c>
      <c r="C19" s="102">
        <f t="shared" si="1"/>
        <v>-0.35795460180176164</v>
      </c>
      <c r="D19" s="94">
        <f>'Kumamoto pumping'!C20</f>
        <v>26048820</v>
      </c>
      <c r="E19" s="99">
        <f>'Kumamoto pumping'!I98</f>
        <v>15.584641082644696</v>
      </c>
      <c r="F19" s="100">
        <f t="shared" si="2"/>
        <v>639389.4794132309</v>
      </c>
      <c r="G19" s="94">
        <f>'Kumamoto pumping'!D20</f>
        <v>11621500</v>
      </c>
      <c r="H19" s="99">
        <f>'Kumamoto pumping'!J98</f>
        <v>12.249465173078276</v>
      </c>
      <c r="I19" s="100">
        <f t="shared" si="0"/>
        <v>224212.56152085389</v>
      </c>
    </row>
    <row r="20" spans="1:9" x14ac:dyDescent="0.5">
      <c r="A20">
        <v>1995</v>
      </c>
      <c r="B20" s="87">
        <f>Trends!C58</f>
        <v>6.9409968527905734</v>
      </c>
      <c r="C20" s="102">
        <f t="shared" si="1"/>
        <v>-0.59130054394206066</v>
      </c>
      <c r="D20" s="94">
        <f>'Kumamoto pumping'!C21</f>
        <v>24567093</v>
      </c>
      <c r="E20" s="99">
        <f>'Kumamoto pumping'!I99</f>
        <v>15.396528662498257</v>
      </c>
      <c r="F20" s="100">
        <f t="shared" si="2"/>
        <v>984096.16572927509</v>
      </c>
      <c r="G20" s="94">
        <f>'Kumamoto pumping'!D21</f>
        <v>12348105</v>
      </c>
      <c r="H20" s="99">
        <f>'Kumamoto pumping'!J99</f>
        <v>12.027002411710274</v>
      </c>
      <c r="I20" s="100">
        <f t="shared" si="0"/>
        <v>386383.58422087628</v>
      </c>
    </row>
    <row r="21" spans="1:9" x14ac:dyDescent="0.5">
      <c r="A21">
        <v>1996</v>
      </c>
      <c r="B21" s="87">
        <f>Trends!C59</f>
        <v>6.9439240393029253</v>
      </c>
      <c r="C21" s="102">
        <f t="shared" si="1"/>
        <v>-0.58837335742970875</v>
      </c>
      <c r="D21" s="94">
        <f>'Kumamoto pumping'!C22</f>
        <v>24399496</v>
      </c>
      <c r="E21" s="99">
        <f>'Kumamoto pumping'!I100</f>
        <v>14.107871588396977</v>
      </c>
      <c r="F21" s="100">
        <f t="shared" si="2"/>
        <v>891144.29052900861</v>
      </c>
      <c r="G21" s="94">
        <f>'Kumamoto pumping'!D22</f>
        <v>13092129</v>
      </c>
      <c r="H21" s="99">
        <f>'Kumamoto pumping'!J100</f>
        <v>11.475716447865016</v>
      </c>
      <c r="I21" s="100">
        <f t="shared" si="0"/>
        <v>388951.7770300947</v>
      </c>
    </row>
    <row r="22" spans="1:9" x14ac:dyDescent="0.5">
      <c r="A22">
        <v>1997</v>
      </c>
      <c r="B22" s="87">
        <f>Trends!C60</f>
        <v>7.0802312719673139</v>
      </c>
      <c r="C22" s="102">
        <f t="shared" si="1"/>
        <v>-0.45206612476532015</v>
      </c>
      <c r="D22" s="94">
        <f>'Kumamoto pumping'!C23</f>
        <v>23937445</v>
      </c>
      <c r="E22" s="99">
        <f>'Kumamoto pumping'!I101</f>
        <v>14.728256207393688</v>
      </c>
      <c r="F22" s="100">
        <f t="shared" si="2"/>
        <v>701267.58544777229</v>
      </c>
      <c r="G22" s="94">
        <f>'Kumamoto pumping'!D23</f>
        <v>11271427</v>
      </c>
      <c r="H22" s="99">
        <f>'Kumamoto pumping'!J101</f>
        <v>11.847121785491687</v>
      </c>
      <c r="I22" s="100">
        <f t="shared" si="0"/>
        <v>265611.20785507717</v>
      </c>
    </row>
    <row r="23" spans="1:9" x14ac:dyDescent="0.5">
      <c r="A23">
        <v>1998</v>
      </c>
      <c r="B23" s="87">
        <f>Trends!C61</f>
        <v>7.2142588215565757</v>
      </c>
      <c r="C23" s="102">
        <f t="shared" si="1"/>
        <v>-0.31803857517605838</v>
      </c>
      <c r="D23" s="94">
        <f>'Kumamoto pumping'!C24</f>
        <v>23145411</v>
      </c>
      <c r="E23" s="99">
        <f>'Kumamoto pumping'!I102</f>
        <v>14.433619329798336</v>
      </c>
      <c r="F23" s="100">
        <f t="shared" si="2"/>
        <v>467490.31691484351</v>
      </c>
      <c r="G23" s="94">
        <f>'Kumamoto pumping'!D24</f>
        <v>11383103</v>
      </c>
      <c r="H23" s="99">
        <f>'Kumamoto pumping'!J102</f>
        <v>10.667833433083191</v>
      </c>
      <c r="I23" s="100">
        <f t="shared" si="0"/>
        <v>169929.72994557166</v>
      </c>
    </row>
    <row r="24" spans="1:9" x14ac:dyDescent="0.5">
      <c r="A24">
        <v>1999</v>
      </c>
      <c r="B24" s="87">
        <f>Trends!C62</f>
        <v>7.076411087301584</v>
      </c>
      <c r="C24" s="102">
        <f t="shared" si="1"/>
        <v>-0.45588630943105013</v>
      </c>
      <c r="D24" s="94">
        <f>'Kumamoto pumping'!C25</f>
        <v>25319289</v>
      </c>
      <c r="E24" s="99">
        <f>'Kumamoto pumping'!I103</f>
        <v>12.91011730215533</v>
      </c>
      <c r="F24" s="100">
        <f t="shared" si="2"/>
        <v>655678.46648043557</v>
      </c>
      <c r="G24" s="94">
        <f>'Kumamoto pumping'!D25</f>
        <v>10329292</v>
      </c>
      <c r="H24" s="99">
        <f>'Kumamoto pumping'!J103</f>
        <v>11.453816742117622</v>
      </c>
      <c r="I24" s="100">
        <f t="shared" si="0"/>
        <v>237317.63499445046</v>
      </c>
    </row>
    <row r="25" spans="1:9" x14ac:dyDescent="0.5">
      <c r="A25">
        <v>2000</v>
      </c>
      <c r="B25" s="87">
        <f>Trends!C63</f>
        <v>7.0021841236424764</v>
      </c>
      <c r="C25" s="102">
        <f t="shared" si="1"/>
        <v>-0.53011327309015766</v>
      </c>
      <c r="D25" s="94">
        <f>'Kumamoto pumping'!C26</f>
        <v>26534563</v>
      </c>
      <c r="E25" s="99">
        <f>'Kumamoto pumping'!I104</f>
        <v>11.566392369615</v>
      </c>
      <c r="F25" s="100">
        <f t="shared" si="2"/>
        <v>715865.14149615413</v>
      </c>
      <c r="G25" s="94">
        <f>'Kumamoto pumping'!D26</f>
        <v>9553430</v>
      </c>
      <c r="H25" s="99">
        <f>'Kumamoto pumping'!J104</f>
        <v>9.9151798440728669</v>
      </c>
      <c r="I25" s="100">
        <f t="shared" si="0"/>
        <v>220943.52396051033</v>
      </c>
    </row>
    <row r="26" spans="1:9" x14ac:dyDescent="0.5">
      <c r="A26">
        <v>2001</v>
      </c>
      <c r="B26" s="87">
        <f>Trends!C64</f>
        <v>6.9737946958525319</v>
      </c>
      <c r="C26" s="102">
        <f t="shared" si="1"/>
        <v>-0.55850270088010223</v>
      </c>
      <c r="D26" s="94">
        <f>'Kumamoto pumping'!C27</f>
        <v>26162153</v>
      </c>
      <c r="E26" s="99">
        <f>'Kumamoto pumping'!I105</f>
        <v>11.624138572283247</v>
      </c>
      <c r="F26" s="100">
        <f t="shared" si="2"/>
        <v>747329.6514356666</v>
      </c>
      <c r="G26" s="94">
        <f>'Kumamoto pumping'!D27</f>
        <v>9275992</v>
      </c>
      <c r="H26" s="99">
        <f>'Kumamoto pumping'!J105</f>
        <v>9.8856913205576653</v>
      </c>
      <c r="I26" s="100">
        <f t="shared" si="0"/>
        <v>225343.67106865117</v>
      </c>
    </row>
    <row r="27" spans="1:9" x14ac:dyDescent="0.5">
      <c r="A27">
        <v>2002</v>
      </c>
      <c r="B27" s="87">
        <f>Trends!C65</f>
        <v>6.9339694270353265</v>
      </c>
      <c r="C27" s="102">
        <f t="shared" si="1"/>
        <v>-0.59832796969730762</v>
      </c>
      <c r="D27" s="94">
        <f>'Kumamoto pumping'!C28</f>
        <v>26338558</v>
      </c>
      <c r="E27" s="99">
        <f>'Kumamoto pumping'!I106</f>
        <v>11.064152998118789</v>
      </c>
      <c r="F27" s="100">
        <f t="shared" si="2"/>
        <v>767188.61345974938</v>
      </c>
      <c r="G27" s="94">
        <f>'Kumamoto pumping'!D28</f>
        <v>8097121</v>
      </c>
      <c r="H27" s="99">
        <f>'Kumamoto pumping'!J106</f>
        <v>10.384150193679833</v>
      </c>
      <c r="I27" s="100">
        <f t="shared" si="0"/>
        <v>221357.15877216941</v>
      </c>
    </row>
    <row r="28" spans="1:9" x14ac:dyDescent="0.5">
      <c r="A28">
        <v>2003</v>
      </c>
      <c r="B28" s="87">
        <f>Trends!C66</f>
        <v>6.993834282386068</v>
      </c>
      <c r="C28" s="102">
        <f t="shared" si="1"/>
        <v>-0.53846311434656613</v>
      </c>
      <c r="D28" s="94">
        <f>'Kumamoto pumping'!C29</f>
        <v>26261859</v>
      </c>
      <c r="E28" s="99">
        <f>'Kumamoto pumping'!I107</f>
        <v>10.650401584039367</v>
      </c>
      <c r="F28" s="100">
        <f t="shared" si="2"/>
        <v>662674.23298697209</v>
      </c>
      <c r="G28" s="94">
        <f>'Kumamoto pumping'!D29</f>
        <v>7662292</v>
      </c>
      <c r="H28" s="99">
        <f>'Kumamoto pumping'!J107</f>
        <v>10.409731277166395</v>
      </c>
      <c r="I28" s="100">
        <f t="shared" si="0"/>
        <v>188976.08699982596</v>
      </c>
    </row>
    <row r="29" spans="1:9" x14ac:dyDescent="0.5">
      <c r="A29">
        <v>2004</v>
      </c>
      <c r="B29" s="87">
        <f>Trends!C67</f>
        <v>6.9996290961047229</v>
      </c>
      <c r="C29" s="102">
        <f t="shared" si="1"/>
        <v>-0.53266830062791115</v>
      </c>
      <c r="D29" s="94">
        <f>'Kumamoto pumping'!C30</f>
        <v>24673392</v>
      </c>
      <c r="E29" s="99">
        <f>'Kumamoto pumping'!I108</f>
        <v>10.730456412270614</v>
      </c>
      <c r="F29" s="100">
        <f t="shared" si="2"/>
        <v>620521.14099100558</v>
      </c>
      <c r="G29" s="94">
        <f>'Kumamoto pumping'!D30</f>
        <v>8746905</v>
      </c>
      <c r="H29" s="99">
        <f>'Kumamoto pumping'!J108</f>
        <v>9.4329613095238098</v>
      </c>
      <c r="I29" s="100">
        <f t="shared" si="0"/>
        <v>193380.19407905493</v>
      </c>
    </row>
    <row r="30" spans="1:9" x14ac:dyDescent="0.5">
      <c r="A30">
        <v>2005</v>
      </c>
      <c r="B30" s="87">
        <f>Trends!C68</f>
        <v>6.9281962015488956</v>
      </c>
      <c r="C30" s="102">
        <f t="shared" si="1"/>
        <v>-0.6041011951837385</v>
      </c>
      <c r="D30" s="94">
        <f>'Kumamoto pumping'!C31</f>
        <v>23394125</v>
      </c>
      <c r="E30" s="99">
        <f>'Kumamoto pumping'!I109</f>
        <v>10.182201935289473</v>
      </c>
      <c r="F30" s="100">
        <f t="shared" si="2"/>
        <v>633156.22830556519</v>
      </c>
      <c r="G30" s="94">
        <f>'Kumamoto pumping'!D31</f>
        <v>11725448</v>
      </c>
      <c r="H30" s="99">
        <f>'Kumamoto pumping'!J109</f>
        <v>7.8615683130493546</v>
      </c>
      <c r="I30" s="100">
        <f t="shared" si="0"/>
        <v>245019.70295990037</v>
      </c>
    </row>
    <row r="31" spans="1:9" x14ac:dyDescent="0.5">
      <c r="A31">
        <v>2006</v>
      </c>
      <c r="B31" s="87">
        <f>Trends!C69</f>
        <v>7.1477571648708382</v>
      </c>
      <c r="C31" s="102">
        <f t="shared" si="1"/>
        <v>-0.38454023186179587</v>
      </c>
      <c r="D31" s="94">
        <f>'Kumamoto pumping'!C32</f>
        <v>24080742</v>
      </c>
      <c r="E31" s="99">
        <f>'Kumamoto pumping'!I110</f>
        <v>9.8471712580889843</v>
      </c>
      <c r="F31" s="100">
        <f t="shared" si="2"/>
        <v>401213.75718165631</v>
      </c>
      <c r="G31" s="94">
        <f>'Kumamoto pumping'!D32</f>
        <v>10515917</v>
      </c>
      <c r="H31" s="99">
        <f>'Kumamoto pumping'!J110</f>
        <v>8.0178277460540048</v>
      </c>
      <c r="I31" s="100">
        <f t="shared" si="0"/>
        <v>142658.72283930043</v>
      </c>
    </row>
    <row r="32" spans="1:9" x14ac:dyDescent="0.5">
      <c r="A32">
        <v>2007</v>
      </c>
      <c r="B32" s="87">
        <f>Trends!C70</f>
        <v>7.1507345053336699</v>
      </c>
      <c r="C32" s="102">
        <f t="shared" si="1"/>
        <v>-0.38156289139896415</v>
      </c>
      <c r="D32" s="94">
        <f>'Kumamoto pumping'!C33</f>
        <v>24249082</v>
      </c>
      <c r="E32" s="99">
        <f>'Kumamoto pumping'!I111</f>
        <v>9.8874366833967411</v>
      </c>
      <c r="F32" s="100">
        <f t="shared" si="2"/>
        <v>402529.60316662776</v>
      </c>
      <c r="G32" s="94">
        <f>'Kumamoto pumping'!D33</f>
        <v>10077958</v>
      </c>
      <c r="H32" s="99">
        <f>'Kumamoto pumping'!J111</f>
        <v>7.9905930393027962</v>
      </c>
      <c r="I32" s="100">
        <f t="shared" si="0"/>
        <v>135198.03027045284</v>
      </c>
    </row>
    <row r="33" spans="1:9" x14ac:dyDescent="0.5">
      <c r="A33">
        <v>2008</v>
      </c>
      <c r="B33" s="87">
        <f>Trends!C71</f>
        <v>7.1016296085053314</v>
      </c>
      <c r="C33" s="102">
        <f t="shared" si="1"/>
        <v>-0.43066778822730267</v>
      </c>
      <c r="D33" s="94">
        <f>'Kumamoto pumping'!C34</f>
        <v>23948719</v>
      </c>
      <c r="E33" s="99">
        <f>'Kumamoto pumping'!I112</f>
        <v>10.958153766694902</v>
      </c>
      <c r="F33" s="100">
        <f t="shared" si="2"/>
        <v>497295.74686896737</v>
      </c>
      <c r="G33" s="94">
        <f>'Kumamoto pumping'!D34</f>
        <v>10475826</v>
      </c>
      <c r="H33" s="99">
        <f>'Kumamoto pumping'!J112</f>
        <v>8.3986125376505818</v>
      </c>
      <c r="I33" s="100">
        <f t="shared" si="0"/>
        <v>166721.223483048</v>
      </c>
    </row>
    <row r="34" spans="1:9" x14ac:dyDescent="0.5">
      <c r="A34">
        <v>2009</v>
      </c>
      <c r="B34" s="87">
        <f>Trends!C72</f>
        <v>7.0725829356332106</v>
      </c>
      <c r="C34" s="102">
        <f t="shared" si="1"/>
        <v>-0.45971446109942349</v>
      </c>
      <c r="D34" s="94">
        <f>'Kumamoto pumping'!C35</f>
        <v>21652624</v>
      </c>
      <c r="E34" s="99">
        <f>'Kumamoto pumping'!I113</f>
        <v>10.527766806674819</v>
      </c>
      <c r="F34" s="100">
        <f t="shared" si="2"/>
        <v>461092.0485277719</v>
      </c>
      <c r="G34" s="94">
        <f>'Kumamoto pumping'!D35</f>
        <v>9489222</v>
      </c>
      <c r="H34" s="99">
        <f>'Kumamoto pumping'!J113</f>
        <v>9.0333335069302798</v>
      </c>
      <c r="I34" s="100">
        <f t="shared" si="0"/>
        <v>173388.1821982883</v>
      </c>
    </row>
    <row r="35" spans="1:9" x14ac:dyDescent="0.5">
      <c r="A35">
        <v>2010</v>
      </c>
      <c r="B35" s="87">
        <f>Trends!C73</f>
        <v>7.1449894389827584</v>
      </c>
      <c r="C35" s="102">
        <f t="shared" si="1"/>
        <v>-0.3873079577498757</v>
      </c>
      <c r="D35" s="94">
        <f>'Kumamoto pumping'!C36</f>
        <v>22171524</v>
      </c>
      <c r="E35" s="99">
        <f>'Kumamoto pumping'!I114</f>
        <v>9.9770117472595956</v>
      </c>
      <c r="F35" s="100">
        <f t="shared" si="2"/>
        <v>376968.55638607708</v>
      </c>
      <c r="G35" s="94">
        <f>'Kumamoto pumping'!D36</f>
        <v>5120033</v>
      </c>
      <c r="H35" s="99">
        <f>'Kumamoto pumping'!J114</f>
        <v>11.233401221134914</v>
      </c>
      <c r="I35" s="100">
        <f t="shared" si="0"/>
        <v>98015.131657988008</v>
      </c>
    </row>
    <row r="36" spans="1:9" x14ac:dyDescent="0.5">
      <c r="A36">
        <v>2011</v>
      </c>
      <c r="B36" s="87">
        <f>Trends!C74</f>
        <v>7.1290938126191916</v>
      </c>
      <c r="C36" s="102">
        <f t="shared" si="1"/>
        <v>-0.40320358411344248</v>
      </c>
      <c r="D36" s="94">
        <f>'Kumamoto pumping'!C37</f>
        <v>21493431</v>
      </c>
      <c r="E36" s="99">
        <f>'Kumamoto pumping'!I115</f>
        <v>10.749053880347281</v>
      </c>
      <c r="F36" s="100">
        <f t="shared" si="2"/>
        <v>409876.52711501514</v>
      </c>
      <c r="G36" s="94">
        <f>'Kumamoto pumping'!D37</f>
        <v>3825518</v>
      </c>
      <c r="H36" s="99">
        <f>'Kumamoto pumping'!J115</f>
        <v>12.75917277536395</v>
      </c>
      <c r="I36" s="100">
        <f t="shared" si="0"/>
        <v>86594.40421919596</v>
      </c>
    </row>
    <row r="37" spans="1:9" x14ac:dyDescent="0.5">
      <c r="A37">
        <v>2012</v>
      </c>
      <c r="B37" s="87">
        <f>Trends!C75</f>
        <v>7.2455179847790383</v>
      </c>
      <c r="C37" s="102">
        <f t="shared" si="1"/>
        <v>-0.2867794119535958</v>
      </c>
      <c r="D37" s="94">
        <f>'Kumamoto pumping'!C38</f>
        <v>20783665</v>
      </c>
      <c r="E37" s="99">
        <f>'Kumamoto pumping'!I116</f>
        <v>11.315929615012719</v>
      </c>
      <c r="F37" s="100">
        <f t="shared" si="2"/>
        <v>296765.23088301317</v>
      </c>
      <c r="G37" s="94">
        <f>'Kumamoto pumping'!D38</f>
        <v>3812458</v>
      </c>
      <c r="H37" s="99">
        <f>'Kumamoto pumping'!J116</f>
        <v>13.301606716969554</v>
      </c>
      <c r="I37" s="100">
        <f t="shared" si="0"/>
        <v>63989.662182283828</v>
      </c>
    </row>
    <row r="38" spans="1:9" x14ac:dyDescent="0.5">
      <c r="A38">
        <v>2013</v>
      </c>
      <c r="B38" s="87">
        <f>Trends!C76</f>
        <v>7.1622038607057492</v>
      </c>
      <c r="C38" s="102">
        <f t="shared" si="1"/>
        <v>-0.37009353602688488</v>
      </c>
      <c r="D38" s="94">
        <f>'Kumamoto pumping'!C39</f>
        <v>22426438</v>
      </c>
      <c r="E38" s="99">
        <f>'Kumamoto pumping'!I117</f>
        <v>13.292166857365917</v>
      </c>
      <c r="F38" s="100">
        <f t="shared" si="2"/>
        <v>485422.90015526558</v>
      </c>
      <c r="G38" s="94">
        <f>'Kumamoto pumping'!D39</f>
        <v>7736448</v>
      </c>
      <c r="H38" s="99">
        <f>'Kumamoto pumping'!J117</f>
        <v>12.385173844812554</v>
      </c>
      <c r="I38" s="100">
        <f t="shared" si="0"/>
        <v>156029.92297680676</v>
      </c>
    </row>
    <row r="39" spans="1:9" x14ac:dyDescent="0.5">
      <c r="A39">
        <v>2014</v>
      </c>
      <c r="B39" s="87">
        <f>Trends!C77</f>
        <v>7.0685089282300702</v>
      </c>
      <c r="C39" s="102">
        <f t="shared" si="1"/>
        <v>-0.46378846850256394</v>
      </c>
      <c r="D39" s="94">
        <f>'Kumamoto pumping'!C40</f>
        <v>20998675</v>
      </c>
      <c r="E39" s="99">
        <f>'Kumamoto pumping'!I118</f>
        <v>14.808335013235425</v>
      </c>
      <c r="F39" s="100">
        <f t="shared" si="2"/>
        <v>634557.15549684083</v>
      </c>
      <c r="G39" s="94">
        <f>'Kumamoto pumping'!D40</f>
        <v>7589501</v>
      </c>
      <c r="H39" s="99">
        <f>'Kumamoto pumping'!J118</f>
        <v>13.48586159816039</v>
      </c>
      <c r="I39" s="100">
        <f t="shared" si="0"/>
        <v>208864.45812159634</v>
      </c>
    </row>
    <row r="40" spans="1:9" x14ac:dyDescent="0.5">
      <c r="A40">
        <v>2015</v>
      </c>
      <c r="B40" s="87">
        <f>Trends!C78</f>
        <v>7.1108518523994384</v>
      </c>
      <c r="C40" s="102">
        <f t="shared" si="1"/>
        <v>-0.4214455443331957</v>
      </c>
      <c r="D40" s="94">
        <f>'Kumamoto pumping'!C41</f>
        <v>21400492</v>
      </c>
      <c r="E40" s="99">
        <f>'Kumamoto pumping'!I119</f>
        <v>14.20402359045692</v>
      </c>
      <c r="F40" s="100">
        <f t="shared" si="2"/>
        <v>563675.66522433329</v>
      </c>
      <c r="G40" s="94">
        <f>'Kumamoto pumping'!D41</f>
        <v>7928191</v>
      </c>
      <c r="H40" s="99">
        <f>'Kumamoto pumping'!J119</f>
        <v>12.621980237398084</v>
      </c>
      <c r="I40" s="100">
        <f t="shared" si="0"/>
        <v>185564.8621463631</v>
      </c>
    </row>
    <row r="41" spans="1:9" x14ac:dyDescent="0.5">
      <c r="A41">
        <v>2016</v>
      </c>
      <c r="B41" s="116">
        <f>Trends!C79</f>
        <v>7.0516213190813843</v>
      </c>
      <c r="C41" s="103">
        <f t="shared" si="1"/>
        <v>-0.48067607765124976</v>
      </c>
      <c r="D41" s="104">
        <f>'Kumamoto pumping'!C42</f>
        <v>23568054</v>
      </c>
      <c r="E41" s="105">
        <f>'Kumamoto pumping'!I120</f>
        <v>14.121819619772376</v>
      </c>
      <c r="F41" s="106">
        <f t="shared" si="2"/>
        <v>703913.94602741429</v>
      </c>
      <c r="G41" s="104">
        <f>'Kumamoto pumping'!D42</f>
        <v>8990455</v>
      </c>
      <c r="H41" s="105">
        <f>'Kumamoto pumping'!J120</f>
        <v>11.480642813081571</v>
      </c>
      <c r="I41" s="106">
        <f t="shared" si="0"/>
        <v>218299.6613917354</v>
      </c>
    </row>
    <row r="43" spans="1:9" x14ac:dyDescent="0.5">
      <c r="B43" s="187" t="s">
        <v>177</v>
      </c>
      <c r="C43" s="191"/>
      <c r="D43" s="187" t="s">
        <v>272</v>
      </c>
      <c r="E43" s="190"/>
      <c r="F43" s="191"/>
    </row>
    <row r="44" spans="1:9" x14ac:dyDescent="0.5">
      <c r="A44" s="107" t="s">
        <v>58</v>
      </c>
      <c r="B44" s="96" t="s">
        <v>175</v>
      </c>
      <c r="C44" s="97" t="s">
        <v>268</v>
      </c>
      <c r="D44" s="96" t="s">
        <v>269</v>
      </c>
      <c r="E44" s="98" t="s">
        <v>270</v>
      </c>
      <c r="F44" s="97" t="s">
        <v>271</v>
      </c>
    </row>
    <row r="45" spans="1:9" x14ac:dyDescent="0.5">
      <c r="A45">
        <v>1982</v>
      </c>
      <c r="B45" s="87">
        <f>Trends!D45</f>
        <v>28.265594535052912</v>
      </c>
      <c r="C45" s="73"/>
      <c r="D45" s="94">
        <f>'Kumamoto pumping'!E8</f>
        <v>2729056</v>
      </c>
      <c r="E45" s="108">
        <f>'Kumamoto pumping'!K86</f>
        <v>20.155915817181903</v>
      </c>
      <c r="F45" s="73"/>
    </row>
    <row r="46" spans="1:9" x14ac:dyDescent="0.5">
      <c r="A46">
        <v>1983</v>
      </c>
      <c r="B46" s="87">
        <f>Trends!D46</f>
        <v>27.04792092831542</v>
      </c>
      <c r="C46" s="102">
        <f>B46-$B$45</f>
        <v>-1.2176736067374918</v>
      </c>
      <c r="D46" s="94">
        <f>'Kumamoto pumping'!E9</f>
        <v>2869602</v>
      </c>
      <c r="E46" s="108">
        <f>'Kumamoto pumping'!K87</f>
        <v>20.239393107064082</v>
      </c>
      <c r="F46" s="100">
        <f>C46*$D$2*D46*E46</f>
        <v>311173.58353059908</v>
      </c>
    </row>
    <row r="47" spans="1:9" x14ac:dyDescent="0.5">
      <c r="A47">
        <v>1984</v>
      </c>
      <c r="B47" s="87">
        <f>Trends!D47</f>
        <v>24.467798591768641</v>
      </c>
      <c r="C47" s="102">
        <f t="shared" ref="C47:C79" si="3">B47-$B$45</f>
        <v>-3.7977959432842709</v>
      </c>
      <c r="D47" s="94">
        <f>'Kumamoto pumping'!E10</f>
        <v>3308823</v>
      </c>
      <c r="E47" s="108">
        <f>'Kumamoto pumping'!K88</f>
        <v>19.864799448489638</v>
      </c>
      <c r="F47" s="100">
        <f t="shared" ref="F47:F79" si="4">C47*$D$2*D47*E47</f>
        <v>1098353.209734536</v>
      </c>
    </row>
    <row r="48" spans="1:9" x14ac:dyDescent="0.5">
      <c r="A48">
        <v>1985</v>
      </c>
      <c r="B48" s="87">
        <f>Trends!D48</f>
        <v>24.87321132130057</v>
      </c>
      <c r="C48" s="102">
        <f t="shared" si="3"/>
        <v>-3.3923832137523426</v>
      </c>
      <c r="D48" s="94">
        <f>'Kumamoto pumping'!E11</f>
        <v>3185387</v>
      </c>
      <c r="E48" s="108">
        <f>'Kumamoto pumping'!K89</f>
        <v>19.924881359352415</v>
      </c>
      <c r="F48" s="100">
        <f t="shared" si="4"/>
        <v>947361.05957160366</v>
      </c>
    </row>
    <row r="49" spans="1:6" x14ac:dyDescent="0.5">
      <c r="A49">
        <v>1986</v>
      </c>
      <c r="B49" s="87">
        <f>Trends!D49</f>
        <v>24.513259058755768</v>
      </c>
      <c r="C49" s="102">
        <f t="shared" si="3"/>
        <v>-3.7523354762971444</v>
      </c>
      <c r="D49" s="94">
        <f>'Kumamoto pumping'!E12</f>
        <v>3510726</v>
      </c>
      <c r="E49" s="108">
        <f>'Kumamoto pumping'!K90</f>
        <v>17.648214235758772</v>
      </c>
      <c r="F49" s="100">
        <f t="shared" si="4"/>
        <v>1022944.4222181571</v>
      </c>
    </row>
    <row r="50" spans="1:6" x14ac:dyDescent="0.5">
      <c r="A50">
        <v>1987</v>
      </c>
      <c r="B50" s="87">
        <f>Trends!D50</f>
        <v>27.07678518202766</v>
      </c>
      <c r="C50" s="102">
        <f t="shared" si="3"/>
        <v>-1.1888093530252526</v>
      </c>
      <c r="D50" s="94">
        <f>'Kumamoto pumping'!E13</f>
        <v>3694359</v>
      </c>
      <c r="E50" s="108">
        <f>'Kumamoto pumping'!K91</f>
        <v>16.428512391373161</v>
      </c>
      <c r="F50" s="100">
        <f t="shared" si="4"/>
        <v>317469.65879152151</v>
      </c>
    </row>
    <row r="51" spans="1:6" x14ac:dyDescent="0.5">
      <c r="A51">
        <v>1988</v>
      </c>
      <c r="B51" s="87">
        <f>Trends!D51</f>
        <v>27.800693294215804</v>
      </c>
      <c r="C51" s="102">
        <f t="shared" si="3"/>
        <v>-0.46490124083710782</v>
      </c>
      <c r="D51" s="94">
        <f>'Kumamoto pumping'!E14</f>
        <v>3637594</v>
      </c>
      <c r="E51" s="108">
        <f>'Kumamoto pumping'!K92</f>
        <v>15.499698990254513</v>
      </c>
      <c r="F51" s="100">
        <f t="shared" si="4"/>
        <v>115332.27816819736</v>
      </c>
    </row>
    <row r="52" spans="1:6" x14ac:dyDescent="0.5">
      <c r="A52">
        <v>1989</v>
      </c>
      <c r="B52" s="87">
        <f>Trends!D52</f>
        <v>25.406366684843842</v>
      </c>
      <c r="C52" s="102">
        <f t="shared" si="3"/>
        <v>-2.85922785020907</v>
      </c>
      <c r="D52" s="94">
        <f>'Kumamoto pumping'!E15</f>
        <v>3618181</v>
      </c>
      <c r="E52" s="108">
        <f>'Kumamoto pumping'!K93</f>
        <v>15.232463042698296</v>
      </c>
      <c r="F52" s="100">
        <f t="shared" si="4"/>
        <v>693364.91754759953</v>
      </c>
    </row>
    <row r="53" spans="1:6" x14ac:dyDescent="0.5">
      <c r="A53">
        <v>1990</v>
      </c>
      <c r="B53" s="87">
        <f>Trends!D53</f>
        <v>24.197013478238613</v>
      </c>
      <c r="C53" s="102">
        <f t="shared" si="3"/>
        <v>-4.068581056814299</v>
      </c>
      <c r="D53" s="94">
        <f>'Kumamoto pumping'!E16</f>
        <v>3531802</v>
      </c>
      <c r="E53" s="108">
        <f>'Kumamoto pumping'!K94</f>
        <v>15.267552233845555</v>
      </c>
      <c r="F53" s="100">
        <f t="shared" si="4"/>
        <v>965298.01214168349</v>
      </c>
    </row>
    <row r="54" spans="1:6" x14ac:dyDescent="0.5">
      <c r="A54">
        <v>1991</v>
      </c>
      <c r="B54" s="87">
        <f>Trends!D54</f>
        <v>21.363996385628205</v>
      </c>
      <c r="C54" s="102">
        <f t="shared" si="3"/>
        <v>-6.9015981494247072</v>
      </c>
      <c r="D54" s="94">
        <f>'Kumamoto pumping'!E17</f>
        <v>3505527</v>
      </c>
      <c r="E54" s="108">
        <f>'Kumamoto pumping'!K95</f>
        <v>15.290942758745254</v>
      </c>
      <c r="F54" s="100">
        <f t="shared" si="4"/>
        <v>1627758.3207965265</v>
      </c>
    </row>
    <row r="55" spans="1:6" x14ac:dyDescent="0.5">
      <c r="A55">
        <v>1992</v>
      </c>
      <c r="B55" s="87">
        <f>Trends!D55</f>
        <v>23.046140560117308</v>
      </c>
      <c r="C55" s="102">
        <f t="shared" si="3"/>
        <v>-5.2194539749356039</v>
      </c>
      <c r="D55" s="94">
        <f>'Kumamoto pumping'!E18</f>
        <v>3409565</v>
      </c>
      <c r="E55" s="108">
        <f>'Kumamoto pumping'!K96</f>
        <v>15.293521970014359</v>
      </c>
      <c r="F55" s="100">
        <f t="shared" si="4"/>
        <v>1197524.0230751482</v>
      </c>
    </row>
    <row r="56" spans="1:6" x14ac:dyDescent="0.5">
      <c r="A56">
        <v>1993</v>
      </c>
      <c r="B56" s="87">
        <f>Trends!D56</f>
        <v>27.428503429595498</v>
      </c>
      <c r="C56" s="102">
        <f t="shared" si="3"/>
        <v>-0.83709110545741439</v>
      </c>
      <c r="D56" s="94">
        <f>'Kumamoto pumping'!E19</f>
        <v>3477069</v>
      </c>
      <c r="E56" s="108">
        <f>'Kumamoto pumping'!K97</f>
        <v>15.093503652003353</v>
      </c>
      <c r="F56" s="100">
        <f t="shared" si="4"/>
        <v>193298.63046720342</v>
      </c>
    </row>
    <row r="57" spans="1:6" x14ac:dyDescent="0.5">
      <c r="A57">
        <v>1994</v>
      </c>
      <c r="B57" s="87">
        <f>Trends!D57</f>
        <v>25.954800184587825</v>
      </c>
      <c r="C57" s="102">
        <f t="shared" si="3"/>
        <v>-2.3107943504650876</v>
      </c>
      <c r="D57" s="94">
        <f>'Kumamoto pumping'!E20</f>
        <v>3417346</v>
      </c>
      <c r="E57" s="108">
        <f>'Kumamoto pumping'!K98</f>
        <v>14.945599636672359</v>
      </c>
      <c r="F57" s="100">
        <f t="shared" si="4"/>
        <v>519297.54600360658</v>
      </c>
    </row>
    <row r="58" spans="1:6" x14ac:dyDescent="0.5">
      <c r="A58">
        <v>1995</v>
      </c>
      <c r="B58" s="87">
        <f>Trends!D58</f>
        <v>21.952493252944205</v>
      </c>
      <c r="C58" s="102">
        <f t="shared" si="3"/>
        <v>-6.3131012821087076</v>
      </c>
      <c r="D58" s="94">
        <f>'Kumamoto pumping'!E21</f>
        <v>3350006</v>
      </c>
      <c r="E58" s="108">
        <f>'Kumamoto pumping'!K99</f>
        <v>14.938007958822036</v>
      </c>
      <c r="F58" s="100">
        <f t="shared" si="4"/>
        <v>1390060.5067397747</v>
      </c>
    </row>
    <row r="59" spans="1:6" x14ac:dyDescent="0.5">
      <c r="A59">
        <v>1996</v>
      </c>
      <c r="B59" s="87">
        <f>Trends!D59</f>
        <v>22.220342224611713</v>
      </c>
      <c r="C59" s="102">
        <f t="shared" si="3"/>
        <v>-6.0452523104411995</v>
      </c>
      <c r="D59" s="94">
        <f>'Kumamoto pumping'!E22</f>
        <v>3348861</v>
      </c>
      <c r="E59" s="108">
        <f>'Kumamoto pumping'!K100</f>
        <v>14.529239313683361</v>
      </c>
      <c r="F59" s="100">
        <f t="shared" si="4"/>
        <v>1294217.0209426691</v>
      </c>
    </row>
    <row r="60" spans="1:6" x14ac:dyDescent="0.5">
      <c r="A60">
        <v>1997</v>
      </c>
      <c r="B60" s="87">
        <f>Trends!D60</f>
        <v>23.700325869431651</v>
      </c>
      <c r="C60" s="102">
        <f t="shared" si="3"/>
        <v>-4.5652686656212609</v>
      </c>
      <c r="D60" s="94">
        <f>'Kumamoto pumping'!E23</f>
        <v>3337510</v>
      </c>
      <c r="E60" s="108">
        <f>'Kumamoto pumping'!K101</f>
        <v>14.943917280368964</v>
      </c>
      <c r="F60" s="100">
        <f t="shared" si="4"/>
        <v>1001857.7171874123</v>
      </c>
    </row>
    <row r="61" spans="1:6" x14ac:dyDescent="0.5">
      <c r="A61">
        <v>1998</v>
      </c>
      <c r="B61" s="87">
        <f>Trends!D61</f>
        <v>25.641066537634419</v>
      </c>
      <c r="C61" s="102">
        <f t="shared" si="3"/>
        <v>-2.6245279974184932</v>
      </c>
      <c r="D61" s="94">
        <f>'Kumamoto pumping'!E24</f>
        <v>3226596</v>
      </c>
      <c r="E61" s="108">
        <f>'Kumamoto pumping'!K102</f>
        <v>13.961912701827719</v>
      </c>
      <c r="F61" s="100">
        <f t="shared" si="4"/>
        <v>520227.6076456274</v>
      </c>
    </row>
    <row r="62" spans="1:6" x14ac:dyDescent="0.5">
      <c r="A62">
        <v>1999</v>
      </c>
      <c r="B62" s="87">
        <f>Trends!D62</f>
        <v>23.403106214355546</v>
      </c>
      <c r="C62" s="102">
        <f t="shared" si="3"/>
        <v>-4.8624883206973664</v>
      </c>
      <c r="D62" s="94">
        <f>'Kumamoto pumping'!E25</f>
        <v>3185338</v>
      </c>
      <c r="E62" s="108">
        <f>'Kumamoto pumping'!K103</f>
        <v>13.796789237724953</v>
      </c>
      <c r="F62" s="100">
        <f t="shared" si="4"/>
        <v>940253.15699298936</v>
      </c>
    </row>
    <row r="63" spans="1:6" x14ac:dyDescent="0.5">
      <c r="A63">
        <v>2000</v>
      </c>
      <c r="B63" s="87">
        <f>Trends!D63</f>
        <v>23.198478762416809</v>
      </c>
      <c r="C63" s="102">
        <f t="shared" si="3"/>
        <v>-5.0671157726361038</v>
      </c>
      <c r="D63" s="94">
        <f>'Kumamoto pumping'!E26</f>
        <v>3187413</v>
      </c>
      <c r="E63" s="108">
        <f>'Kumamoto pumping'!K104</f>
        <v>13.435600577949858</v>
      </c>
      <c r="F63" s="100">
        <f t="shared" si="4"/>
        <v>954792.34311139153</v>
      </c>
    </row>
    <row r="64" spans="1:6" x14ac:dyDescent="0.5">
      <c r="A64">
        <v>2001</v>
      </c>
      <c r="B64" s="87">
        <f>Trends!D64</f>
        <v>23.051740884792636</v>
      </c>
      <c r="C64" s="102">
        <f t="shared" si="3"/>
        <v>-5.2138536502602761</v>
      </c>
      <c r="D64" s="94">
        <f>'Kumamoto pumping'!E27</f>
        <v>3198750</v>
      </c>
      <c r="E64" s="108">
        <f>'Kumamoto pumping'!K105</f>
        <v>12.504315859817931</v>
      </c>
      <c r="F64" s="100">
        <f t="shared" si="4"/>
        <v>917596.4980863526</v>
      </c>
    </row>
    <row r="65" spans="1:6" x14ac:dyDescent="0.5">
      <c r="A65">
        <v>2002</v>
      </c>
      <c r="B65" s="87">
        <f>Trends!D65</f>
        <v>22.388391518433185</v>
      </c>
      <c r="C65" s="102">
        <f t="shared" si="3"/>
        <v>-5.8772030166197275</v>
      </c>
      <c r="D65" s="94">
        <f>'Kumamoto pumping'!E28</f>
        <v>3176562</v>
      </c>
      <c r="E65" s="108">
        <f>'Kumamoto pumping'!K106</f>
        <v>11.901584546298361</v>
      </c>
      <c r="F65" s="100">
        <f t="shared" si="4"/>
        <v>977654.69832583948</v>
      </c>
    </row>
    <row r="66" spans="1:6" x14ac:dyDescent="0.5">
      <c r="A66">
        <v>2003</v>
      </c>
      <c r="B66" s="87">
        <f>Trends!D66</f>
        <v>23.193433793138766</v>
      </c>
      <c r="C66" s="102">
        <f t="shared" si="3"/>
        <v>-5.0721607419141463</v>
      </c>
      <c r="D66" s="94">
        <f>'Kumamoto pumping'!E29</f>
        <v>3093758</v>
      </c>
      <c r="E66" s="108">
        <f>'Kumamoto pumping'!K107</f>
        <v>11.548460434944984</v>
      </c>
      <c r="F66" s="100">
        <f t="shared" si="4"/>
        <v>797363.0654667964</v>
      </c>
    </row>
    <row r="67" spans="1:6" x14ac:dyDescent="0.5">
      <c r="A67">
        <v>2004</v>
      </c>
      <c r="B67" s="87">
        <f>Trends!D67</f>
        <v>22.87704129026271</v>
      </c>
      <c r="C67" s="102">
        <f t="shared" si="3"/>
        <v>-5.3885532447902023</v>
      </c>
      <c r="D67" s="94">
        <f>'Kumamoto pumping'!E30</f>
        <v>2982040</v>
      </c>
      <c r="E67" s="108">
        <f>'Kumamoto pumping'!K108</f>
        <v>11.499963229331753</v>
      </c>
      <c r="F67" s="100">
        <f t="shared" si="4"/>
        <v>813082.79489614745</v>
      </c>
    </row>
    <row r="68" spans="1:6" x14ac:dyDescent="0.5">
      <c r="A68">
        <v>2005</v>
      </c>
      <c r="B68" s="87">
        <f>Trends!D68</f>
        <v>22.124073589641309</v>
      </c>
      <c r="C68" s="102">
        <f t="shared" si="3"/>
        <v>-6.1415209454116031</v>
      </c>
      <c r="D68" s="94">
        <f>'Kumamoto pumping'!E31</f>
        <v>2519604</v>
      </c>
      <c r="E68" s="108">
        <f>'Kumamoto pumping'!K109</f>
        <v>11.223970693339021</v>
      </c>
      <c r="F68" s="100">
        <f t="shared" si="4"/>
        <v>764200.69268491713</v>
      </c>
    </row>
    <row r="69" spans="1:6" x14ac:dyDescent="0.5">
      <c r="A69">
        <v>2006</v>
      </c>
      <c r="B69" s="87">
        <f>Trends!D69</f>
        <v>24.892460173528409</v>
      </c>
      <c r="C69" s="102">
        <f t="shared" si="3"/>
        <v>-3.3731343615245031</v>
      </c>
      <c r="D69" s="94">
        <f>'Kumamoto pumping'!E32</f>
        <v>2703221</v>
      </c>
      <c r="E69" s="108">
        <f>'Kumamoto pumping'!K110</f>
        <v>11.160512530430376</v>
      </c>
      <c r="F69" s="100">
        <f t="shared" si="4"/>
        <v>447766.92357731255</v>
      </c>
    </row>
    <row r="70" spans="1:6" x14ac:dyDescent="0.5">
      <c r="A70">
        <v>2007</v>
      </c>
      <c r="B70" s="87">
        <f>Trends!D70</f>
        <v>24.858539842592606</v>
      </c>
      <c r="C70" s="102">
        <f t="shared" si="3"/>
        <v>-3.4070546924603065</v>
      </c>
      <c r="D70" s="94">
        <f>'Kumamoto pumping'!E33</f>
        <v>2594457</v>
      </c>
      <c r="E70" s="108">
        <f>'Kumamoto pumping'!K111</f>
        <v>11.14515269972053</v>
      </c>
      <c r="F70" s="100">
        <f t="shared" si="4"/>
        <v>433475.22632107482</v>
      </c>
    </row>
    <row r="71" spans="1:6" x14ac:dyDescent="0.5">
      <c r="A71">
        <v>2008</v>
      </c>
      <c r="B71" s="87">
        <f>Trends!D71</f>
        <v>23.477364635321322</v>
      </c>
      <c r="C71" s="102">
        <f t="shared" si="3"/>
        <v>-4.78822989973159</v>
      </c>
      <c r="D71" s="94">
        <f>'Kumamoto pumping'!E34</f>
        <v>2691097</v>
      </c>
      <c r="E71" s="108">
        <f>'Kumamoto pumping'!K112</f>
        <v>12.332771653891184</v>
      </c>
      <c r="F71" s="100">
        <f t="shared" si="4"/>
        <v>699226.23271422798</v>
      </c>
    </row>
    <row r="72" spans="1:6" x14ac:dyDescent="0.5">
      <c r="A72">
        <v>2009</v>
      </c>
      <c r="B72" s="87">
        <f>Trends!D72</f>
        <v>23.479749723661353</v>
      </c>
      <c r="C72" s="102">
        <f t="shared" si="3"/>
        <v>-4.7858448113915593</v>
      </c>
      <c r="D72" s="94">
        <f>'Kumamoto pumping'!E35</f>
        <v>2548596</v>
      </c>
      <c r="E72" s="108">
        <f>'Kumamoto pumping'!K113</f>
        <v>11.373217586524138</v>
      </c>
      <c r="F72" s="100">
        <f t="shared" si="4"/>
        <v>610373.44851584733</v>
      </c>
    </row>
    <row r="73" spans="1:6" x14ac:dyDescent="0.5">
      <c r="A73">
        <v>2010</v>
      </c>
      <c r="B73" s="87">
        <f>Trends!D73</f>
        <v>24.089275310995912</v>
      </c>
      <c r="C73" s="102">
        <f t="shared" si="3"/>
        <v>-4.176319224057</v>
      </c>
      <c r="D73" s="94">
        <f>'Kumamoto pumping'!E36</f>
        <v>2511594</v>
      </c>
      <c r="E73" s="108">
        <f>'Kumamoto pumping'!K114</f>
        <v>11.420579511329422</v>
      </c>
      <c r="F73" s="100">
        <f t="shared" si="4"/>
        <v>527088.98733272345</v>
      </c>
    </row>
    <row r="74" spans="1:6" x14ac:dyDescent="0.5">
      <c r="A74">
        <v>2011</v>
      </c>
      <c r="B74" s="87">
        <f>Trends!D74</f>
        <v>23.827250670146174</v>
      </c>
      <c r="C74" s="102">
        <f t="shared" si="3"/>
        <v>-4.4383438649067379</v>
      </c>
      <c r="D74" s="94">
        <f>'Kumamoto pumping'!E37</f>
        <v>2509376</v>
      </c>
      <c r="E74" s="108">
        <f>'Kumamoto pumping'!K115</f>
        <v>12.095858284422162</v>
      </c>
      <c r="F74" s="100">
        <f t="shared" si="4"/>
        <v>592756.12880776299</v>
      </c>
    </row>
    <row r="75" spans="1:6" x14ac:dyDescent="0.5">
      <c r="A75">
        <v>2012</v>
      </c>
      <c r="B75" s="87">
        <f>Trends!D75</f>
        <v>24.82955836621316</v>
      </c>
      <c r="C75" s="102">
        <f t="shared" si="3"/>
        <v>-3.4360361688397525</v>
      </c>
      <c r="D75" s="94">
        <f>'Kumamoto pumping'!E38</f>
        <v>2455185</v>
      </c>
      <c r="E75" s="108">
        <f>'Kumamoto pumping'!K116</f>
        <v>12.596088349499578</v>
      </c>
      <c r="F75" s="100">
        <f t="shared" si="4"/>
        <v>467552.43532268651</v>
      </c>
    </row>
    <row r="76" spans="1:6" x14ac:dyDescent="0.5">
      <c r="A76">
        <v>2013</v>
      </c>
      <c r="B76" s="87">
        <f>Trends!D76</f>
        <v>24.0366101406333</v>
      </c>
      <c r="C76" s="102">
        <f t="shared" si="3"/>
        <v>-4.2289843944196122</v>
      </c>
      <c r="D76" s="94">
        <f>'Kumamoto pumping'!E39</f>
        <v>2186401</v>
      </c>
      <c r="E76" s="108">
        <f>'Kumamoto pumping'!K117</f>
        <v>15.075169265127849</v>
      </c>
      <c r="F76" s="100">
        <f t="shared" si="4"/>
        <v>613311.02747629874</v>
      </c>
    </row>
    <row r="77" spans="1:6" x14ac:dyDescent="0.5">
      <c r="A77">
        <v>2014</v>
      </c>
      <c r="B77" s="87">
        <f>Trends!D77</f>
        <v>22.703968722833071</v>
      </c>
      <c r="C77" s="102">
        <f t="shared" si="3"/>
        <v>-5.561625812219841</v>
      </c>
      <c r="D77" s="94">
        <f>'Kumamoto pumping'!E40</f>
        <v>2081060</v>
      </c>
      <c r="E77" s="108">
        <f>'Kumamoto pumping'!K118</f>
        <v>16.152400829783847</v>
      </c>
      <c r="F77" s="100">
        <f t="shared" si="4"/>
        <v>822576.17703879706</v>
      </c>
    </row>
    <row r="78" spans="1:6" x14ac:dyDescent="0.5">
      <c r="A78">
        <v>2015</v>
      </c>
      <c r="B78" s="87">
        <f>Trends!D78</f>
        <v>23.353230640359214</v>
      </c>
      <c r="C78" s="102">
        <f t="shared" si="3"/>
        <v>-4.9123638946936978</v>
      </c>
      <c r="D78" s="94">
        <f>'Kumamoto pumping'!E41</f>
        <v>2101404</v>
      </c>
      <c r="E78" s="108">
        <f>'Kumamoto pumping'!K119</f>
        <v>15.007573884413675</v>
      </c>
      <c r="F78" s="100">
        <f t="shared" si="4"/>
        <v>681652.84538361826</v>
      </c>
    </row>
    <row r="79" spans="1:6" x14ac:dyDescent="0.5">
      <c r="A79">
        <v>2016</v>
      </c>
      <c r="B79" s="116">
        <f>Trends!D79</f>
        <v>26.377997353043636</v>
      </c>
      <c r="C79" s="103">
        <f t="shared" si="3"/>
        <v>-1.8875971820092765</v>
      </c>
      <c r="D79" s="104">
        <f>'Kumamoto pumping'!E42</f>
        <v>1796925</v>
      </c>
      <c r="E79" s="109">
        <f>'Kumamoto pumping'!K120</f>
        <v>14.934969494543054</v>
      </c>
      <c r="F79" s="106">
        <f t="shared" si="4"/>
        <v>222892.92712218591</v>
      </c>
    </row>
    <row r="80" spans="1:6" x14ac:dyDescent="0.5">
      <c r="B80" s="51"/>
    </row>
    <row r="81" spans="1:15" x14ac:dyDescent="0.5">
      <c r="B81" s="187" t="s">
        <v>178</v>
      </c>
      <c r="C81" s="191"/>
      <c r="D81" s="187" t="s">
        <v>56</v>
      </c>
      <c r="E81" s="188"/>
      <c r="F81" s="189"/>
      <c r="G81" s="187" t="s">
        <v>59</v>
      </c>
      <c r="H81" s="188"/>
      <c r="I81" s="189"/>
      <c r="J81" s="187" t="s">
        <v>60</v>
      </c>
      <c r="K81" s="188"/>
      <c r="L81" s="189"/>
      <c r="M81" s="187" t="s">
        <v>61</v>
      </c>
      <c r="N81" s="188"/>
      <c r="O81" s="189"/>
    </row>
    <row r="82" spans="1:15" x14ac:dyDescent="0.5">
      <c r="A82" s="107" t="s">
        <v>58</v>
      </c>
      <c r="B82" s="96" t="s">
        <v>175</v>
      </c>
      <c r="C82" s="97" t="s">
        <v>268</v>
      </c>
      <c r="D82" s="96" t="s">
        <v>269</v>
      </c>
      <c r="E82" s="98" t="s">
        <v>273</v>
      </c>
      <c r="F82" s="97" t="s">
        <v>271</v>
      </c>
      <c r="G82" s="96" t="s">
        <v>269</v>
      </c>
      <c r="H82" s="98" t="s">
        <v>273</v>
      </c>
      <c r="I82" s="97" t="s">
        <v>271</v>
      </c>
      <c r="J82" s="96" t="s">
        <v>269</v>
      </c>
      <c r="K82" s="98" t="s">
        <v>273</v>
      </c>
      <c r="L82" s="97" t="s">
        <v>271</v>
      </c>
      <c r="M82" s="96" t="s">
        <v>269</v>
      </c>
      <c r="N82" s="98" t="s">
        <v>273</v>
      </c>
      <c r="O82" s="97" t="s">
        <v>271</v>
      </c>
    </row>
    <row r="83" spans="1:15" x14ac:dyDescent="0.5">
      <c r="A83">
        <v>1982</v>
      </c>
      <c r="B83" s="101"/>
      <c r="C83" s="73"/>
      <c r="D83" s="94">
        <f>'Mashiki pumping'!C6</f>
        <v>255692</v>
      </c>
      <c r="E83" s="99"/>
      <c r="F83" s="73"/>
      <c r="G83" s="94">
        <f>'Mashiki pumping'!D6</f>
        <v>255692</v>
      </c>
      <c r="H83" s="55"/>
      <c r="I83" s="73"/>
      <c r="J83" s="94"/>
      <c r="K83" s="55"/>
      <c r="L83" s="73"/>
      <c r="M83" s="94"/>
      <c r="N83" s="55"/>
      <c r="O83" s="73"/>
    </row>
    <row r="84" spans="1:15" x14ac:dyDescent="0.5">
      <c r="A84">
        <v>1983</v>
      </c>
      <c r="B84" s="101"/>
      <c r="C84" s="73"/>
      <c r="D84" s="94">
        <f>'Mashiki pumping'!C7</f>
        <v>261924</v>
      </c>
      <c r="E84" s="99">
        <f t="shared" ref="E84:E117" si="5">AVERAGE(E8,H8,E46)</f>
        <v>23.330635620453581</v>
      </c>
      <c r="F84" s="73"/>
      <c r="G84" s="94">
        <f>'Mashiki pumping'!D7</f>
        <v>261924</v>
      </c>
      <c r="H84" s="99">
        <f>E84</f>
        <v>23.330635620453581</v>
      </c>
      <c r="I84" s="73"/>
      <c r="J84" s="94"/>
      <c r="K84" s="99">
        <f>H84</f>
        <v>23.330635620453581</v>
      </c>
      <c r="L84" s="73"/>
      <c r="M84" s="94"/>
      <c r="N84" s="99">
        <f>K84</f>
        <v>23.330635620453581</v>
      </c>
      <c r="O84" s="73"/>
    </row>
    <row r="85" spans="1:15" x14ac:dyDescent="0.5">
      <c r="A85">
        <v>1984</v>
      </c>
      <c r="B85" s="101"/>
      <c r="C85" s="73"/>
      <c r="D85" s="94">
        <f>'Mashiki pumping'!C8</f>
        <v>290590</v>
      </c>
      <c r="E85" s="99">
        <f t="shared" si="5"/>
        <v>19.607249789725572</v>
      </c>
      <c r="F85" s="73"/>
      <c r="G85" s="94">
        <f>'Mashiki pumping'!D8</f>
        <v>290590</v>
      </c>
      <c r="H85" s="99">
        <f t="shared" ref="H85:H117" si="6">E85</f>
        <v>19.607249789725572</v>
      </c>
      <c r="I85" s="73"/>
      <c r="J85" s="94"/>
      <c r="K85" s="99">
        <f t="shared" ref="K85:K117" si="7">H85</f>
        <v>19.607249789725572</v>
      </c>
      <c r="L85" s="73"/>
      <c r="M85" s="94"/>
      <c r="N85" s="99">
        <f t="shared" ref="N85:N117" si="8">K85</f>
        <v>19.607249789725572</v>
      </c>
      <c r="O85" s="73"/>
    </row>
    <row r="86" spans="1:15" x14ac:dyDescent="0.5">
      <c r="A86">
        <v>1985</v>
      </c>
      <c r="B86" s="101"/>
      <c r="C86" s="73"/>
      <c r="D86" s="94">
        <f>'Mashiki pumping'!C9</f>
        <v>384308</v>
      </c>
      <c r="E86" s="99">
        <f t="shared" si="5"/>
        <v>19.475416297606856</v>
      </c>
      <c r="F86" s="73"/>
      <c r="G86" s="94">
        <f>'Mashiki pumping'!D9</f>
        <v>384308</v>
      </c>
      <c r="H86" s="99">
        <f t="shared" si="6"/>
        <v>19.475416297606856</v>
      </c>
      <c r="I86" s="73"/>
      <c r="J86" s="94"/>
      <c r="K86" s="99">
        <f t="shared" si="7"/>
        <v>19.475416297606856</v>
      </c>
      <c r="L86" s="73"/>
      <c r="M86" s="94"/>
      <c r="N86" s="99">
        <f t="shared" si="8"/>
        <v>19.475416297606856</v>
      </c>
      <c r="O86" s="73"/>
    </row>
    <row r="87" spans="1:15" x14ac:dyDescent="0.5">
      <c r="A87">
        <v>1986</v>
      </c>
      <c r="B87" s="101"/>
      <c r="C87" s="73"/>
      <c r="D87" s="94">
        <f>'Mashiki pumping'!C10</f>
        <v>361788</v>
      </c>
      <c r="E87" s="99">
        <f t="shared" si="5"/>
        <v>17.625029366633214</v>
      </c>
      <c r="F87" s="73"/>
      <c r="G87" s="94">
        <f>'Mashiki pumping'!D10</f>
        <v>361788</v>
      </c>
      <c r="H87" s="99">
        <f t="shared" si="6"/>
        <v>17.625029366633214</v>
      </c>
      <c r="I87" s="73"/>
      <c r="J87" s="94"/>
      <c r="K87" s="99">
        <f t="shared" si="7"/>
        <v>17.625029366633214</v>
      </c>
      <c r="L87" s="73"/>
      <c r="M87" s="94"/>
      <c r="N87" s="99">
        <f t="shared" si="8"/>
        <v>17.625029366633214</v>
      </c>
      <c r="O87" s="73"/>
    </row>
    <row r="88" spans="1:15" x14ac:dyDescent="0.5">
      <c r="A88">
        <v>1987</v>
      </c>
      <c r="B88" s="87">
        <f>Trends!E50</f>
        <v>17.682210976434721</v>
      </c>
      <c r="C88" s="73"/>
      <c r="D88" s="94">
        <f>'Mashiki pumping'!C11</f>
        <v>417797</v>
      </c>
      <c r="E88" s="99">
        <f t="shared" si="5"/>
        <v>16.006450639871428</v>
      </c>
      <c r="F88" s="73"/>
      <c r="G88" s="94">
        <f>'Mashiki pumping'!D11</f>
        <v>417797</v>
      </c>
      <c r="H88" s="99">
        <f t="shared" si="6"/>
        <v>16.006450639871428</v>
      </c>
      <c r="I88" s="73"/>
      <c r="J88" s="94"/>
      <c r="K88" s="99">
        <f t="shared" si="7"/>
        <v>16.006450639871428</v>
      </c>
      <c r="L88" s="73"/>
      <c r="M88" s="94"/>
      <c r="N88" s="99">
        <f t="shared" si="8"/>
        <v>16.006450639871428</v>
      </c>
      <c r="O88" s="73"/>
    </row>
    <row r="89" spans="1:15" x14ac:dyDescent="0.5">
      <c r="A89">
        <v>1988</v>
      </c>
      <c r="B89" s="87">
        <f>Trends!E51</f>
        <v>17.680484418118898</v>
      </c>
      <c r="C89" s="102">
        <f>B89-$B$88</f>
        <v>-1.7265583158234676E-3</v>
      </c>
      <c r="D89" s="94">
        <f>'Mashiki pumping'!C12</f>
        <v>321765</v>
      </c>
      <c r="E89" s="99">
        <f t="shared" si="5"/>
        <v>15.386479561048922</v>
      </c>
      <c r="F89" s="100">
        <f>C89*$D$2*D89*E89</f>
        <v>37.610750037034052</v>
      </c>
      <c r="G89" s="94">
        <f>'Mashiki pumping'!D12</f>
        <v>321765</v>
      </c>
      <c r="H89" s="99">
        <f t="shared" si="6"/>
        <v>15.386479561048922</v>
      </c>
      <c r="I89" s="100">
        <f>C89*$D$2*G89*H89</f>
        <v>37.610750037034052</v>
      </c>
      <c r="J89" s="94"/>
      <c r="K89" s="99">
        <f t="shared" si="7"/>
        <v>15.386479561048922</v>
      </c>
      <c r="L89" s="73"/>
      <c r="M89" s="94"/>
      <c r="N89" s="99">
        <f t="shared" si="8"/>
        <v>15.386479561048922</v>
      </c>
      <c r="O89" s="73"/>
    </row>
    <row r="90" spans="1:15" x14ac:dyDescent="0.5">
      <c r="A90">
        <v>1989</v>
      </c>
      <c r="B90" s="87">
        <f>Trends!E52</f>
        <v>16.461038237839222</v>
      </c>
      <c r="C90" s="102">
        <f t="shared" ref="C90:C117" si="9">B90-$B$88</f>
        <v>-1.2211727385954987</v>
      </c>
      <c r="D90" s="94">
        <f>'Mashiki pumping'!C13</f>
        <v>437905</v>
      </c>
      <c r="E90" s="99">
        <f t="shared" si="5"/>
        <v>14.613126879060282</v>
      </c>
      <c r="F90" s="100">
        <f t="shared" ref="F90:F117" si="10">C90*$D$2*D90*E90</f>
        <v>34383.717989082725</v>
      </c>
      <c r="G90" s="94">
        <f>'Mashiki pumping'!D13</f>
        <v>437905</v>
      </c>
      <c r="H90" s="99">
        <f t="shared" si="6"/>
        <v>14.613126879060282</v>
      </c>
      <c r="I90" s="100">
        <f t="shared" ref="I90:I105" si="11">C90*$D$2*G90*H90</f>
        <v>34383.717989082725</v>
      </c>
      <c r="J90" s="94"/>
      <c r="K90" s="99">
        <f t="shared" si="7"/>
        <v>14.613126879060282</v>
      </c>
      <c r="L90" s="73"/>
      <c r="M90" s="94"/>
      <c r="N90" s="99">
        <f t="shared" si="8"/>
        <v>14.613126879060282</v>
      </c>
      <c r="O90" s="73"/>
    </row>
    <row r="91" spans="1:15" x14ac:dyDescent="0.5">
      <c r="A91">
        <v>1990</v>
      </c>
      <c r="B91" s="87">
        <f>Trends!E53</f>
        <v>15.925954136456737</v>
      </c>
      <c r="C91" s="102">
        <f t="shared" si="9"/>
        <v>-1.7562568399779845</v>
      </c>
      <c r="D91" s="94">
        <f>'Mashiki pumping'!C14</f>
        <v>432262</v>
      </c>
      <c r="E91" s="99">
        <f t="shared" si="5"/>
        <v>14.782212259264194</v>
      </c>
      <c r="F91" s="100">
        <f t="shared" si="10"/>
        <v>49377.283988167459</v>
      </c>
      <c r="G91" s="94">
        <f>'Mashiki pumping'!D14</f>
        <v>432262</v>
      </c>
      <c r="H91" s="99">
        <f t="shared" si="6"/>
        <v>14.782212259264194</v>
      </c>
      <c r="I91" s="100">
        <f t="shared" si="11"/>
        <v>49377.283988167459</v>
      </c>
      <c r="J91" s="94"/>
      <c r="K91" s="99">
        <f t="shared" si="7"/>
        <v>14.782212259264194</v>
      </c>
      <c r="L91" s="73"/>
      <c r="M91" s="94"/>
      <c r="N91" s="99">
        <f t="shared" si="8"/>
        <v>14.782212259264194</v>
      </c>
      <c r="O91" s="73"/>
    </row>
    <row r="92" spans="1:15" x14ac:dyDescent="0.5">
      <c r="A92">
        <v>1991</v>
      </c>
      <c r="B92" s="87">
        <f>Trends!E54</f>
        <v>15.862324509401979</v>
      </c>
      <c r="C92" s="102">
        <f t="shared" si="9"/>
        <v>-1.8198864670327417</v>
      </c>
      <c r="D92" s="94">
        <f>'Mashiki pumping'!C15</f>
        <v>452658</v>
      </c>
      <c r="E92" s="99">
        <f t="shared" si="5"/>
        <v>14.493528047583125</v>
      </c>
      <c r="F92" s="100">
        <f t="shared" si="10"/>
        <v>52534.098922056502</v>
      </c>
      <c r="G92" s="94">
        <f>'Mashiki pumping'!D15</f>
        <v>452049</v>
      </c>
      <c r="H92" s="99">
        <f t="shared" si="6"/>
        <v>14.493528047583125</v>
      </c>
      <c r="I92" s="100">
        <f t="shared" si="11"/>
        <v>52463.42025020373</v>
      </c>
      <c r="J92" s="94"/>
      <c r="K92" s="99">
        <f t="shared" si="7"/>
        <v>14.493528047583125</v>
      </c>
      <c r="L92" s="73"/>
      <c r="M92" s="94"/>
      <c r="N92" s="99">
        <f t="shared" si="8"/>
        <v>14.493528047583125</v>
      </c>
      <c r="O92" s="73"/>
    </row>
    <row r="93" spans="1:15" x14ac:dyDescent="0.5">
      <c r="A93">
        <v>1992</v>
      </c>
      <c r="B93" s="87">
        <f>Trends!E55</f>
        <v>15.167365879001363</v>
      </c>
      <c r="C93" s="102">
        <f t="shared" si="9"/>
        <v>-2.5148450974333585</v>
      </c>
      <c r="D93" s="94">
        <f>'Mashiki pumping'!C16</f>
        <v>500754</v>
      </c>
      <c r="E93" s="99">
        <f t="shared" si="5"/>
        <v>14.664520888716675</v>
      </c>
      <c r="F93" s="100">
        <f t="shared" si="10"/>
        <v>81256.146384337568</v>
      </c>
      <c r="G93" s="94">
        <f>'Mashiki pumping'!D16</f>
        <v>501667</v>
      </c>
      <c r="H93" s="99">
        <f t="shared" si="6"/>
        <v>14.664520888716675</v>
      </c>
      <c r="I93" s="100">
        <f t="shared" si="11"/>
        <v>81404.296696963924</v>
      </c>
      <c r="J93" s="94"/>
      <c r="K93" s="99">
        <f t="shared" si="7"/>
        <v>14.664520888716675</v>
      </c>
      <c r="L93" s="73"/>
      <c r="M93" s="94"/>
      <c r="N93" s="99">
        <f t="shared" si="8"/>
        <v>14.664520888716675</v>
      </c>
      <c r="O93" s="73"/>
    </row>
    <row r="94" spans="1:15" x14ac:dyDescent="0.5">
      <c r="A94">
        <v>1993</v>
      </c>
      <c r="B94" s="87">
        <f>Trends!E56</f>
        <v>17.563238024121201</v>
      </c>
      <c r="C94" s="102">
        <f t="shared" si="9"/>
        <v>-0.1189729523135199</v>
      </c>
      <c r="D94" s="94">
        <f>'Mashiki pumping'!C17</f>
        <v>462703</v>
      </c>
      <c r="E94" s="99">
        <f t="shared" si="5"/>
        <v>14.582647960432993</v>
      </c>
      <c r="F94" s="100">
        <f t="shared" si="10"/>
        <v>3532.1539336326705</v>
      </c>
      <c r="G94" s="94">
        <f>'Mashiki pumping'!D17</f>
        <v>496188</v>
      </c>
      <c r="H94" s="99">
        <f t="shared" si="6"/>
        <v>14.582647960432993</v>
      </c>
      <c r="I94" s="100">
        <f t="shared" si="11"/>
        <v>3787.769683838937</v>
      </c>
      <c r="J94" s="94"/>
      <c r="K94" s="99">
        <f t="shared" si="7"/>
        <v>14.582647960432993</v>
      </c>
      <c r="L94" s="73"/>
      <c r="M94" s="94"/>
      <c r="N94" s="99">
        <f t="shared" si="8"/>
        <v>14.582647960432993</v>
      </c>
      <c r="O94" s="73"/>
    </row>
    <row r="95" spans="1:15" x14ac:dyDescent="0.5">
      <c r="A95">
        <v>1994</v>
      </c>
      <c r="B95" s="87">
        <f>Trends!E57</f>
        <v>16.731439691742803</v>
      </c>
      <c r="C95" s="102">
        <f t="shared" si="9"/>
        <v>-0.95077128469191763</v>
      </c>
      <c r="D95" s="94">
        <f>'Mashiki pumping'!C18</f>
        <v>547938</v>
      </c>
      <c r="E95" s="99">
        <f t="shared" si="5"/>
        <v>14.259901964131776</v>
      </c>
      <c r="F95" s="100">
        <f t="shared" si="10"/>
        <v>32687.122686947721</v>
      </c>
      <c r="G95" s="94">
        <f>'Mashiki pumping'!D18</f>
        <v>550982</v>
      </c>
      <c r="H95" s="99">
        <f t="shared" si="6"/>
        <v>14.259901964131776</v>
      </c>
      <c r="I95" s="100">
        <f t="shared" si="11"/>
        <v>32868.711847507984</v>
      </c>
      <c r="J95" s="94"/>
      <c r="K95" s="99">
        <f t="shared" si="7"/>
        <v>14.259901964131776</v>
      </c>
      <c r="L95" s="73"/>
      <c r="M95" s="94"/>
      <c r="N95" s="99">
        <f t="shared" si="8"/>
        <v>14.259901964131776</v>
      </c>
      <c r="O95" s="73"/>
    </row>
    <row r="96" spans="1:15" x14ac:dyDescent="0.5">
      <c r="A96">
        <v>1995</v>
      </c>
      <c r="B96" s="87">
        <f>Trends!E58</f>
        <v>14.710396532770099</v>
      </c>
      <c r="C96" s="102">
        <f t="shared" si="9"/>
        <v>-2.9718144436646217</v>
      </c>
      <c r="D96" s="94">
        <f>'Mashiki pumping'!C19</f>
        <v>457866</v>
      </c>
      <c r="E96" s="99">
        <f t="shared" si="5"/>
        <v>14.120513011010189</v>
      </c>
      <c r="F96" s="100">
        <f t="shared" si="10"/>
        <v>84540.193206975469</v>
      </c>
      <c r="G96" s="94">
        <f>'Mashiki pumping'!D19</f>
        <v>579963</v>
      </c>
      <c r="H96" s="99">
        <f t="shared" si="6"/>
        <v>14.120513011010189</v>
      </c>
      <c r="I96" s="100">
        <f t="shared" si="11"/>
        <v>107084.13394507807</v>
      </c>
      <c r="J96" s="94"/>
      <c r="K96" s="99">
        <f t="shared" si="7"/>
        <v>14.120513011010189</v>
      </c>
      <c r="L96" s="73"/>
      <c r="M96" s="94"/>
      <c r="N96" s="99">
        <f t="shared" si="8"/>
        <v>14.120513011010189</v>
      </c>
      <c r="O96" s="73"/>
    </row>
    <row r="97" spans="1:15" x14ac:dyDescent="0.5">
      <c r="A97">
        <v>1996</v>
      </c>
      <c r="B97" s="87">
        <f>Trends!E59</f>
        <v>14.858635898158449</v>
      </c>
      <c r="C97" s="102">
        <f t="shared" si="9"/>
        <v>-2.8235750782762725</v>
      </c>
      <c r="D97" s="94">
        <f>'Mashiki pumping'!C20</f>
        <v>548736</v>
      </c>
      <c r="E97" s="99">
        <f t="shared" si="5"/>
        <v>13.370942449981785</v>
      </c>
      <c r="F97" s="100">
        <f t="shared" si="10"/>
        <v>91154.369030020462</v>
      </c>
      <c r="G97" s="94">
        <f>'Mashiki pumping'!D20</f>
        <v>434416</v>
      </c>
      <c r="H97" s="99">
        <f t="shared" si="6"/>
        <v>13.370942449981785</v>
      </c>
      <c r="I97" s="100">
        <f t="shared" si="11"/>
        <v>72163.875482099538</v>
      </c>
      <c r="J97" s="94">
        <f>'Mashiki pumping'!E20</f>
        <v>823104</v>
      </c>
      <c r="K97" s="99">
        <f t="shared" si="7"/>
        <v>13.370942449981785</v>
      </c>
      <c r="L97" s="100">
        <f>C97*$D$2*J97*K97</f>
        <v>136731.55354503071</v>
      </c>
      <c r="M97" s="94"/>
      <c r="N97" s="99">
        <f t="shared" si="8"/>
        <v>13.370942449981785</v>
      </c>
      <c r="O97" s="73"/>
    </row>
    <row r="98" spans="1:15" x14ac:dyDescent="0.5">
      <c r="A98">
        <v>1997</v>
      </c>
      <c r="B98" s="87">
        <f>Trends!E60</f>
        <v>15.699576480286742</v>
      </c>
      <c r="C98" s="102">
        <f t="shared" si="9"/>
        <v>-1.9826344961479787</v>
      </c>
      <c r="D98" s="94">
        <f>'Mashiki pumping'!C21</f>
        <v>505250</v>
      </c>
      <c r="E98" s="99">
        <f t="shared" si="5"/>
        <v>13.83976509108478</v>
      </c>
      <c r="F98" s="100">
        <f t="shared" si="10"/>
        <v>61000.075934369088</v>
      </c>
      <c r="G98" s="94">
        <f>'Mashiki pumping'!D21</f>
        <v>353493</v>
      </c>
      <c r="H98" s="99">
        <f t="shared" si="6"/>
        <v>13.83976509108478</v>
      </c>
      <c r="I98" s="100">
        <f t="shared" si="11"/>
        <v>42678.079846151275</v>
      </c>
      <c r="J98" s="94">
        <f>'Mashiki pumping'!E21</f>
        <v>732536</v>
      </c>
      <c r="K98" s="99">
        <f t="shared" si="7"/>
        <v>13.83976509108478</v>
      </c>
      <c r="L98" s="100">
        <f t="shared" ref="L98:L117" si="12">C98*$D$2*J98*K98</f>
        <v>88440.874071566534</v>
      </c>
      <c r="M98" s="94"/>
      <c r="N98" s="99">
        <f t="shared" si="8"/>
        <v>13.83976509108478</v>
      </c>
      <c r="O98" s="73"/>
    </row>
    <row r="99" spans="1:15" x14ac:dyDescent="0.5">
      <c r="A99">
        <v>1998</v>
      </c>
      <c r="B99" s="87">
        <f>Trends!E61</f>
        <v>16.455036157706093</v>
      </c>
      <c r="C99" s="102">
        <f t="shared" si="9"/>
        <v>-1.2271748187286278</v>
      </c>
      <c r="D99" s="94">
        <f>'Mashiki pumping'!C22</f>
        <v>481197</v>
      </c>
      <c r="E99" s="99">
        <f t="shared" si="5"/>
        <v>13.02112182156975</v>
      </c>
      <c r="F99" s="100">
        <f t="shared" si="10"/>
        <v>33832.214429588763</v>
      </c>
      <c r="G99" s="94">
        <f>'Mashiki pumping'!D22</f>
        <v>365105</v>
      </c>
      <c r="H99" s="99">
        <f t="shared" si="6"/>
        <v>13.02112182156975</v>
      </c>
      <c r="I99" s="100">
        <f t="shared" si="11"/>
        <v>25669.966041590043</v>
      </c>
      <c r="J99" s="94">
        <f>'Mashiki pumping'!E22</f>
        <v>732544</v>
      </c>
      <c r="K99" s="99">
        <f t="shared" si="7"/>
        <v>13.02112182156975</v>
      </c>
      <c r="L99" s="100">
        <f t="shared" si="12"/>
        <v>51504.032001672225</v>
      </c>
      <c r="M99" s="94"/>
      <c r="N99" s="99">
        <f t="shared" si="8"/>
        <v>13.02112182156975</v>
      </c>
      <c r="O99" s="73"/>
    </row>
    <row r="100" spans="1:15" x14ac:dyDescent="0.5">
      <c r="A100">
        <v>1999</v>
      </c>
      <c r="B100" s="87">
        <f>Trends!E62</f>
        <v>15.550904757296466</v>
      </c>
      <c r="C100" s="102">
        <f t="shared" si="9"/>
        <v>-2.1313062191382546</v>
      </c>
      <c r="D100" s="94">
        <f>'Mashiki pumping'!C23</f>
        <v>491445</v>
      </c>
      <c r="E100" s="99">
        <f t="shared" si="5"/>
        <v>12.7202410939993</v>
      </c>
      <c r="F100" s="100">
        <f t="shared" si="10"/>
        <v>58623.10163644018</v>
      </c>
      <c r="G100" s="94">
        <f>'Mashiki pumping'!D23</f>
        <v>326807</v>
      </c>
      <c r="H100" s="99">
        <f t="shared" si="6"/>
        <v>12.7202410939993</v>
      </c>
      <c r="I100" s="100">
        <f t="shared" si="11"/>
        <v>38983.894385943713</v>
      </c>
      <c r="J100" s="94">
        <f>'Mashiki pumping'!E23</f>
        <v>762190</v>
      </c>
      <c r="K100" s="99">
        <f t="shared" si="7"/>
        <v>12.7202410939993</v>
      </c>
      <c r="L100" s="100">
        <f t="shared" si="12"/>
        <v>90919.516601610245</v>
      </c>
      <c r="M100" s="94"/>
      <c r="N100" s="99">
        <f t="shared" si="8"/>
        <v>12.7202410939993</v>
      </c>
      <c r="O100" s="73"/>
    </row>
    <row r="101" spans="1:15" x14ac:dyDescent="0.5">
      <c r="A101">
        <v>2000</v>
      </c>
      <c r="B101" s="87">
        <f>Trends!E63</f>
        <v>15.224814707947104</v>
      </c>
      <c r="C101" s="102">
        <f t="shared" si="9"/>
        <v>-2.4573962684876172</v>
      </c>
      <c r="D101" s="94">
        <f>'Mashiki pumping'!C24</f>
        <v>502060</v>
      </c>
      <c r="E101" s="99">
        <f t="shared" si="5"/>
        <v>11.639057597212576</v>
      </c>
      <c r="F101" s="100">
        <f t="shared" si="10"/>
        <v>63183.155261908039</v>
      </c>
      <c r="G101" s="94">
        <f>'Mashiki pumping'!D24</f>
        <v>327192</v>
      </c>
      <c r="H101" s="99">
        <f t="shared" si="6"/>
        <v>11.639057597212576</v>
      </c>
      <c r="I101" s="100">
        <f t="shared" si="11"/>
        <v>41176.399108581078</v>
      </c>
      <c r="J101" s="94">
        <f>'Mashiki pumping'!E24</f>
        <v>763014</v>
      </c>
      <c r="K101" s="99">
        <f t="shared" si="7"/>
        <v>11.639057597212576</v>
      </c>
      <c r="L101" s="100">
        <f t="shared" si="12"/>
        <v>96023.646633887372</v>
      </c>
      <c r="M101" s="94"/>
      <c r="N101" s="99">
        <f t="shared" si="8"/>
        <v>11.639057597212576</v>
      </c>
      <c r="O101" s="73"/>
    </row>
    <row r="102" spans="1:15" x14ac:dyDescent="0.5">
      <c r="A102">
        <v>2001</v>
      </c>
      <c r="B102" s="87">
        <f>Trends!E64</f>
        <v>15.048893633384537</v>
      </c>
      <c r="C102" s="102">
        <f t="shared" si="9"/>
        <v>-2.6333173430501837</v>
      </c>
      <c r="D102" s="94">
        <f>'Mashiki pumping'!C25</f>
        <v>582226</v>
      </c>
      <c r="E102" s="99">
        <f t="shared" si="5"/>
        <v>11.338048584219614</v>
      </c>
      <c r="F102" s="100">
        <f t="shared" si="10"/>
        <v>76486.675557861847</v>
      </c>
      <c r="G102" s="94">
        <f>'Mashiki pumping'!D25</f>
        <v>530445</v>
      </c>
      <c r="H102" s="99">
        <f t="shared" si="6"/>
        <v>11.338048584219614</v>
      </c>
      <c r="I102" s="100">
        <f t="shared" si="11"/>
        <v>69684.237076822465</v>
      </c>
      <c r="J102" s="94">
        <f>'Mashiki pumping'!E25</f>
        <v>868826</v>
      </c>
      <c r="K102" s="99">
        <f t="shared" si="7"/>
        <v>11.338048584219614</v>
      </c>
      <c r="L102" s="100">
        <f t="shared" si="12"/>
        <v>114137.14327122954</v>
      </c>
      <c r="M102" s="94"/>
      <c r="N102" s="99">
        <f t="shared" si="8"/>
        <v>11.338048584219614</v>
      </c>
      <c r="O102" s="73"/>
    </row>
    <row r="103" spans="1:15" x14ac:dyDescent="0.5">
      <c r="A103">
        <v>2002</v>
      </c>
      <c r="B103" s="87">
        <f>Trends!E65</f>
        <v>14.776661834113019</v>
      </c>
      <c r="C103" s="102">
        <f t="shared" si="9"/>
        <v>-2.9055491423217017</v>
      </c>
      <c r="D103" s="94">
        <f>'Mashiki pumping'!C26</f>
        <v>638096</v>
      </c>
      <c r="E103" s="99">
        <f t="shared" si="5"/>
        <v>11.116629246032327</v>
      </c>
      <c r="F103" s="100">
        <f t="shared" si="10"/>
        <v>90685.958053272814</v>
      </c>
      <c r="G103" s="94">
        <f>'Mashiki pumping'!D26</f>
        <v>569768</v>
      </c>
      <c r="H103" s="99">
        <f t="shared" si="6"/>
        <v>11.116629246032327</v>
      </c>
      <c r="I103" s="100">
        <f t="shared" si="11"/>
        <v>80975.208978111667</v>
      </c>
      <c r="J103" s="94">
        <f>'Mashiki pumping'!E26</f>
        <v>792161</v>
      </c>
      <c r="K103" s="99">
        <f t="shared" si="7"/>
        <v>11.116629246032327</v>
      </c>
      <c r="L103" s="100">
        <f t="shared" si="12"/>
        <v>112581.61658659301</v>
      </c>
      <c r="M103" s="94"/>
      <c r="N103" s="99">
        <f t="shared" si="8"/>
        <v>11.116629246032327</v>
      </c>
      <c r="O103" s="73"/>
    </row>
    <row r="104" spans="1:15" x14ac:dyDescent="0.5">
      <c r="A104">
        <v>2003</v>
      </c>
      <c r="B104" s="87">
        <f>Trends!E66</f>
        <v>15.051685799283154</v>
      </c>
      <c r="C104" s="102">
        <f t="shared" si="9"/>
        <v>-2.6305251771515668</v>
      </c>
      <c r="D104" s="94">
        <f>'Mashiki pumping'!C27</f>
        <v>458908</v>
      </c>
      <c r="E104" s="99">
        <f t="shared" si="5"/>
        <v>10.869531098716914</v>
      </c>
      <c r="F104" s="100">
        <f t="shared" si="10"/>
        <v>57733.990637857431</v>
      </c>
      <c r="G104" s="94">
        <f>'Mashiki pumping'!D27</f>
        <v>351108</v>
      </c>
      <c r="H104" s="99">
        <f t="shared" si="6"/>
        <v>10.869531098716914</v>
      </c>
      <c r="I104" s="100">
        <f t="shared" si="11"/>
        <v>44171.96035997814</v>
      </c>
      <c r="J104" s="94">
        <f>'Mashiki pumping'!E27</f>
        <v>804221</v>
      </c>
      <c r="K104" s="99">
        <f t="shared" si="7"/>
        <v>10.869531098716914</v>
      </c>
      <c r="L104" s="100">
        <f t="shared" si="12"/>
        <v>101176.89751490134</v>
      </c>
      <c r="M104" s="94">
        <f>'Mashiki pumping'!F27</f>
        <v>223530</v>
      </c>
      <c r="N104" s="99">
        <f t="shared" si="8"/>
        <v>10.869531098716914</v>
      </c>
      <c r="O104" s="100">
        <f>C104*$D$2*M104*N104</f>
        <v>28121.712690300174</v>
      </c>
    </row>
    <row r="105" spans="1:15" x14ac:dyDescent="0.5">
      <c r="A105">
        <v>2004</v>
      </c>
      <c r="B105" s="87">
        <f>Trends!E67</f>
        <v>15.230308351862154</v>
      </c>
      <c r="C105" s="102">
        <f t="shared" si="9"/>
        <v>-2.4519026245725666</v>
      </c>
      <c r="D105" s="94">
        <f>'Mashiki pumping'!C28</f>
        <v>485252</v>
      </c>
      <c r="E105" s="99">
        <f t="shared" si="5"/>
        <v>10.554460317042059</v>
      </c>
      <c r="F105" s="100">
        <f t="shared" si="10"/>
        <v>55253.432194939698</v>
      </c>
      <c r="G105" s="94">
        <f>'Mashiki pumping'!D28</f>
        <v>374576</v>
      </c>
      <c r="H105" s="99">
        <f t="shared" si="6"/>
        <v>10.554460317042059</v>
      </c>
      <c r="I105" s="100">
        <f t="shared" si="11"/>
        <v>42651.260824997597</v>
      </c>
      <c r="J105" s="94">
        <f>'Mashiki pumping'!E28</f>
        <v>812385</v>
      </c>
      <c r="K105" s="99">
        <f t="shared" si="7"/>
        <v>10.554460317042059</v>
      </c>
      <c r="L105" s="100">
        <f t="shared" si="12"/>
        <v>92502.574978951321</v>
      </c>
      <c r="M105" s="94">
        <f>'Mashiki pumping'!F28</f>
        <v>396493</v>
      </c>
      <c r="N105" s="99">
        <f t="shared" si="8"/>
        <v>10.554460317042059</v>
      </c>
      <c r="O105" s="100">
        <f t="shared" ref="O105:O117" si="13">C105*$D$2*M105*N105</f>
        <v>45146.849660111089</v>
      </c>
    </row>
    <row r="106" spans="1:15" x14ac:dyDescent="0.5">
      <c r="A106">
        <v>2005</v>
      </c>
      <c r="B106" s="87">
        <f>Trends!E68</f>
        <v>14.894827269670595</v>
      </c>
      <c r="C106" s="102">
        <f t="shared" si="9"/>
        <v>-2.7873837067641265</v>
      </c>
      <c r="D106" s="94"/>
      <c r="E106" s="99">
        <f t="shared" si="5"/>
        <v>9.7559136472259507</v>
      </c>
      <c r="F106" s="100"/>
      <c r="G106" s="94"/>
      <c r="H106" s="99">
        <f t="shared" si="6"/>
        <v>9.7559136472259507</v>
      </c>
      <c r="I106" s="100"/>
      <c r="J106" s="94"/>
      <c r="K106" s="99">
        <f t="shared" si="7"/>
        <v>9.7559136472259507</v>
      </c>
      <c r="L106" s="100"/>
      <c r="M106" s="94"/>
      <c r="N106" s="99">
        <f t="shared" si="8"/>
        <v>9.7559136472259507</v>
      </c>
      <c r="O106" s="100"/>
    </row>
    <row r="107" spans="1:15" x14ac:dyDescent="0.5">
      <c r="A107">
        <v>2006</v>
      </c>
      <c r="B107" s="87">
        <f>Trends!E69</f>
        <v>16.160461840949825</v>
      </c>
      <c r="C107" s="102">
        <f t="shared" si="9"/>
        <v>-1.521749135484896</v>
      </c>
      <c r="D107" s="94">
        <f>'Mashiki pumping'!C30</f>
        <v>464078</v>
      </c>
      <c r="E107" s="99">
        <f t="shared" si="5"/>
        <v>9.6751705115244544</v>
      </c>
      <c r="F107" s="100">
        <f t="shared" si="10"/>
        <v>30063.902105590874</v>
      </c>
      <c r="G107" s="94">
        <f>'Mashiki pumping'!D30</f>
        <v>363627</v>
      </c>
      <c r="H107" s="99">
        <f t="shared" si="6"/>
        <v>9.6751705115244544</v>
      </c>
      <c r="I107" s="100">
        <f t="shared" ref="I107:I117" si="14">C107*$D$2*G107*H107</f>
        <v>23556.485183416782</v>
      </c>
      <c r="J107" s="94">
        <f>'Mashiki pumping'!E30</f>
        <v>750560</v>
      </c>
      <c r="K107" s="99">
        <f t="shared" si="7"/>
        <v>9.6751705115244544</v>
      </c>
      <c r="L107" s="100">
        <f t="shared" si="12"/>
        <v>48622.779714557226</v>
      </c>
      <c r="M107" s="94">
        <f>'Mashiki pumping'!F30</f>
        <v>366111</v>
      </c>
      <c r="N107" s="99">
        <f t="shared" si="8"/>
        <v>9.6751705115244544</v>
      </c>
      <c r="O107" s="100">
        <f t="shared" si="13"/>
        <v>23717.40367735592</v>
      </c>
    </row>
    <row r="108" spans="1:15" x14ac:dyDescent="0.5">
      <c r="A108">
        <v>2007</v>
      </c>
      <c r="B108" s="87">
        <f>Trends!E70</f>
        <v>16.272489082693294</v>
      </c>
      <c r="C108" s="102">
        <f t="shared" si="9"/>
        <v>-1.4097218937414269</v>
      </c>
      <c r="D108" s="94">
        <f>'Mashiki pumping'!C31</f>
        <v>476714</v>
      </c>
      <c r="E108" s="99">
        <f t="shared" si="5"/>
        <v>9.6743941408066885</v>
      </c>
      <c r="F108" s="100">
        <f t="shared" si="10"/>
        <v>28606.702817120913</v>
      </c>
      <c r="G108" s="94">
        <f>'Mashiki pumping'!D31</f>
        <v>328839</v>
      </c>
      <c r="H108" s="99">
        <f t="shared" si="6"/>
        <v>9.6743941408066885</v>
      </c>
      <c r="I108" s="100">
        <f t="shared" si="14"/>
        <v>19733.004584885748</v>
      </c>
      <c r="J108" s="94">
        <f>'Mashiki pumping'!E31</f>
        <v>789763</v>
      </c>
      <c r="K108" s="99">
        <f t="shared" si="7"/>
        <v>9.6743941408066885</v>
      </c>
      <c r="L108" s="100">
        <f t="shared" si="12"/>
        <v>47392.179455518119</v>
      </c>
      <c r="M108" s="94">
        <f>'Mashiki pumping'!F31</f>
        <v>351349</v>
      </c>
      <c r="N108" s="99">
        <f t="shared" si="8"/>
        <v>9.6743941408066885</v>
      </c>
      <c r="O108" s="100">
        <f t="shared" si="13"/>
        <v>21083.786983584741</v>
      </c>
    </row>
    <row r="109" spans="1:15" x14ac:dyDescent="0.5">
      <c r="A109">
        <v>2008</v>
      </c>
      <c r="B109" s="87">
        <f>Trends!E71</f>
        <v>15.619662581613317</v>
      </c>
      <c r="C109" s="102">
        <f t="shared" si="9"/>
        <v>-2.0625483948214036</v>
      </c>
      <c r="D109" s="94">
        <f>'Mashiki pumping'!C32</f>
        <v>447043</v>
      </c>
      <c r="E109" s="99">
        <f t="shared" si="5"/>
        <v>10.563179319412223</v>
      </c>
      <c r="F109" s="100">
        <f t="shared" si="10"/>
        <v>42854.928536455998</v>
      </c>
      <c r="G109" s="94">
        <f>'Mashiki pumping'!D32</f>
        <v>373041</v>
      </c>
      <c r="H109" s="99">
        <f t="shared" si="6"/>
        <v>10.563179319412223</v>
      </c>
      <c r="I109" s="100">
        <f t="shared" si="14"/>
        <v>35760.867290547176</v>
      </c>
      <c r="J109" s="94">
        <f>'Mashiki pumping'!E32</f>
        <v>785242</v>
      </c>
      <c r="K109" s="99">
        <f t="shared" si="7"/>
        <v>10.563179319412223</v>
      </c>
      <c r="L109" s="100">
        <f t="shared" si="12"/>
        <v>75275.733640441264</v>
      </c>
      <c r="M109" s="94">
        <f>'Mashiki pumping'!F32</f>
        <v>418061</v>
      </c>
      <c r="N109" s="99">
        <f t="shared" si="8"/>
        <v>10.563179319412223</v>
      </c>
      <c r="O109" s="100">
        <f t="shared" si="13"/>
        <v>40076.62412537347</v>
      </c>
    </row>
    <row r="110" spans="1:15" x14ac:dyDescent="0.5">
      <c r="A110">
        <v>2009</v>
      </c>
      <c r="B110" s="87">
        <f>Trends!E72</f>
        <v>15.532213281041988</v>
      </c>
      <c r="C110" s="102">
        <f t="shared" si="9"/>
        <v>-2.1499976953927327</v>
      </c>
      <c r="D110" s="94">
        <f>'Mashiki pumping'!C33</f>
        <v>465729</v>
      </c>
      <c r="E110" s="99">
        <f t="shared" si="5"/>
        <v>10.311439300043078</v>
      </c>
      <c r="F110" s="100">
        <f t="shared" si="10"/>
        <v>45430.052831265624</v>
      </c>
      <c r="G110" s="94">
        <f>'Mashiki pumping'!D33</f>
        <v>397704</v>
      </c>
      <c r="H110" s="99">
        <f t="shared" si="6"/>
        <v>10.311439300043078</v>
      </c>
      <c r="I110" s="100">
        <f t="shared" si="14"/>
        <v>38794.478615687796</v>
      </c>
      <c r="J110" s="94">
        <f>'Mashiki pumping'!E33</f>
        <v>782238</v>
      </c>
      <c r="K110" s="99">
        <f t="shared" si="7"/>
        <v>10.311439300043078</v>
      </c>
      <c r="L110" s="100">
        <f t="shared" si="12"/>
        <v>76304.274946639693</v>
      </c>
      <c r="M110" s="94">
        <f>'Mashiki pumping'!F33</f>
        <v>438744</v>
      </c>
      <c r="N110" s="99">
        <f t="shared" si="8"/>
        <v>10.311439300043078</v>
      </c>
      <c r="O110" s="100">
        <f t="shared" si="13"/>
        <v>42797.771020058455</v>
      </c>
    </row>
    <row r="111" spans="1:15" x14ac:dyDescent="0.5">
      <c r="A111">
        <v>2010</v>
      </c>
      <c r="B111" s="87">
        <f>Trends!E73</f>
        <v>15.687445941265574</v>
      </c>
      <c r="C111" s="102">
        <f t="shared" si="9"/>
        <v>-1.9947650351691468</v>
      </c>
      <c r="D111" s="94">
        <f>'Mashiki pumping'!C34</f>
        <v>461637</v>
      </c>
      <c r="E111" s="99">
        <f t="shared" si="5"/>
        <v>10.87699749324131</v>
      </c>
      <c r="F111" s="100">
        <f t="shared" si="10"/>
        <v>44071.117419791226</v>
      </c>
      <c r="G111" s="94">
        <f>'Mashiki pumping'!D34</f>
        <v>377979</v>
      </c>
      <c r="H111" s="99">
        <f t="shared" si="6"/>
        <v>10.87699749324131</v>
      </c>
      <c r="I111" s="100">
        <f t="shared" si="14"/>
        <v>36084.535882555487</v>
      </c>
      <c r="J111" s="94">
        <f>'Mashiki pumping'!E34</f>
        <v>776234</v>
      </c>
      <c r="K111" s="99">
        <f t="shared" si="7"/>
        <v>10.87699749324131</v>
      </c>
      <c r="L111" s="100">
        <f t="shared" si="12"/>
        <v>74104.761445105614</v>
      </c>
      <c r="M111" s="94">
        <f>'Mashiki pumping'!F34</f>
        <v>437704</v>
      </c>
      <c r="N111" s="99">
        <f t="shared" si="8"/>
        <v>10.87699749324131</v>
      </c>
      <c r="O111" s="100">
        <f t="shared" si="13"/>
        <v>41786.304778673068</v>
      </c>
    </row>
    <row r="112" spans="1:15" x14ac:dyDescent="0.5">
      <c r="A112">
        <v>2011</v>
      </c>
      <c r="B112" s="87">
        <f>Trends!E74</f>
        <v>15.632374600699778</v>
      </c>
      <c r="C112" s="102">
        <f t="shared" si="9"/>
        <v>-2.0498363757349427</v>
      </c>
      <c r="D112" s="94">
        <f>'Mashiki pumping'!C35</f>
        <v>398587</v>
      </c>
      <c r="E112" s="99">
        <f t="shared" si="5"/>
        <v>11.868028313377799</v>
      </c>
      <c r="F112" s="100">
        <f t="shared" si="10"/>
        <v>42665.17938184792</v>
      </c>
      <c r="G112" s="94">
        <f>'Mashiki pumping'!D35</f>
        <v>334041</v>
      </c>
      <c r="H112" s="99">
        <f t="shared" si="6"/>
        <v>11.868028313377799</v>
      </c>
      <c r="I112" s="100">
        <f t="shared" si="14"/>
        <v>35756.10641062518</v>
      </c>
      <c r="J112" s="94">
        <f>'Mashiki pumping'!E35</f>
        <v>776875</v>
      </c>
      <c r="K112" s="99">
        <f t="shared" si="7"/>
        <v>11.868028313377799</v>
      </c>
      <c r="L112" s="100">
        <f t="shared" si="12"/>
        <v>83157.532062694227</v>
      </c>
      <c r="M112" s="94">
        <f>'Mashiki pumping'!F35</f>
        <v>382043</v>
      </c>
      <c r="N112" s="99">
        <f t="shared" si="8"/>
        <v>11.868028313377799</v>
      </c>
      <c r="O112" s="100">
        <f t="shared" si="13"/>
        <v>40894.291902594225</v>
      </c>
    </row>
    <row r="113" spans="1:15" x14ac:dyDescent="0.5">
      <c r="A113">
        <v>2012</v>
      </c>
      <c r="B113" s="87">
        <f>Trends!E75</f>
        <v>16.30742370621801</v>
      </c>
      <c r="C113" s="102">
        <f t="shared" si="9"/>
        <v>-1.3747872702167108</v>
      </c>
      <c r="D113" s="94">
        <f>'Mashiki pumping'!C36</f>
        <v>336254</v>
      </c>
      <c r="E113" s="99">
        <f t="shared" si="5"/>
        <v>12.404541560493948</v>
      </c>
      <c r="F113" s="100">
        <f t="shared" si="10"/>
        <v>25231.109969304489</v>
      </c>
      <c r="G113" s="94">
        <f>'Mashiki pumping'!D36</f>
        <v>312292</v>
      </c>
      <c r="H113" s="99">
        <f t="shared" si="6"/>
        <v>12.404541560493948</v>
      </c>
      <c r="I113" s="100">
        <f t="shared" si="14"/>
        <v>23433.100556525835</v>
      </c>
      <c r="J113" s="94">
        <f>'Mashiki pumping'!E36</f>
        <v>646658</v>
      </c>
      <c r="K113" s="99">
        <f t="shared" si="7"/>
        <v>12.404541560493948</v>
      </c>
      <c r="L113" s="100">
        <f t="shared" si="12"/>
        <v>48522.542811477339</v>
      </c>
      <c r="M113" s="94">
        <f>'Mashiki pumping'!F36</f>
        <v>458693</v>
      </c>
      <c r="N113" s="99">
        <f t="shared" si="8"/>
        <v>12.404541560493948</v>
      </c>
      <c r="O113" s="100">
        <f t="shared" si="13"/>
        <v>34418.426323999665</v>
      </c>
    </row>
    <row r="114" spans="1:15" x14ac:dyDescent="0.5">
      <c r="A114">
        <v>2013</v>
      </c>
      <c r="B114" s="87">
        <f>Trends!E76</f>
        <v>15.825029414607869</v>
      </c>
      <c r="C114" s="102">
        <f t="shared" si="9"/>
        <v>-1.8571815618268523</v>
      </c>
      <c r="D114" s="94">
        <f>'Mashiki pumping'!C37</f>
        <v>252684</v>
      </c>
      <c r="E114" s="99">
        <f t="shared" si="5"/>
        <v>13.584169989102106</v>
      </c>
      <c r="F114" s="100">
        <f t="shared" si="10"/>
        <v>28049.032817953157</v>
      </c>
      <c r="G114" s="94">
        <f>'Mashiki pumping'!D37</f>
        <v>306859</v>
      </c>
      <c r="H114" s="99">
        <f t="shared" si="6"/>
        <v>13.584169989102106</v>
      </c>
      <c r="I114" s="100">
        <f t="shared" si="14"/>
        <v>34062.695546549396</v>
      </c>
      <c r="J114" s="94">
        <f>'Mashiki pumping'!E37</f>
        <v>548183</v>
      </c>
      <c r="K114" s="99">
        <f t="shared" si="7"/>
        <v>13.584169989102106</v>
      </c>
      <c r="L114" s="100">
        <f t="shared" si="12"/>
        <v>60850.718514999026</v>
      </c>
      <c r="M114" s="94">
        <f>'Mashiki pumping'!F37</f>
        <v>438537</v>
      </c>
      <c r="N114" s="99">
        <f t="shared" si="8"/>
        <v>13.584169989102106</v>
      </c>
      <c r="O114" s="100">
        <f t="shared" si="13"/>
        <v>48679.531370750512</v>
      </c>
    </row>
    <row r="115" spans="1:15" x14ac:dyDescent="0.5">
      <c r="A115">
        <v>2014</v>
      </c>
      <c r="B115" s="87">
        <f>Trends!E77</f>
        <v>15.136797349311246</v>
      </c>
      <c r="C115" s="102">
        <f t="shared" si="9"/>
        <v>-2.5454136271234749</v>
      </c>
      <c r="D115" s="94">
        <f>'Mashiki pumping'!C38</f>
        <v>246510</v>
      </c>
      <c r="E115" s="99">
        <f t="shared" si="5"/>
        <v>14.815532480393221</v>
      </c>
      <c r="F115" s="100">
        <f t="shared" si="10"/>
        <v>40903.723871177797</v>
      </c>
      <c r="G115" s="94">
        <f>'Mashiki pumping'!D38</f>
        <v>294268</v>
      </c>
      <c r="H115" s="99">
        <f t="shared" si="6"/>
        <v>14.815532480393221</v>
      </c>
      <c r="I115" s="100">
        <f t="shared" si="14"/>
        <v>48828.270723799236</v>
      </c>
      <c r="J115" s="94">
        <f>'Mashiki pumping'!E38</f>
        <v>475181</v>
      </c>
      <c r="K115" s="99">
        <f t="shared" si="7"/>
        <v>14.815532480393221</v>
      </c>
      <c r="L115" s="100">
        <f t="shared" si="12"/>
        <v>78847.399346193415</v>
      </c>
      <c r="M115" s="94">
        <f>'Mashiki pumping'!F38</f>
        <v>458766</v>
      </c>
      <c r="N115" s="99">
        <f t="shared" si="8"/>
        <v>14.815532480393221</v>
      </c>
      <c r="O115" s="100">
        <f t="shared" si="13"/>
        <v>76123.637116079495</v>
      </c>
    </row>
    <row r="116" spans="1:15" x14ac:dyDescent="0.5">
      <c r="A116">
        <v>2015</v>
      </c>
      <c r="B116" s="87">
        <f>Trends!E78</f>
        <v>15.355331880864258</v>
      </c>
      <c r="C116" s="102">
        <f t="shared" si="9"/>
        <v>-2.3268790955704635</v>
      </c>
      <c r="D116" s="94">
        <f>'Mashiki pumping'!C39</f>
        <v>373332</v>
      </c>
      <c r="E116" s="99">
        <f t="shared" si="5"/>
        <v>13.944525904089559</v>
      </c>
      <c r="F116" s="100">
        <f t="shared" si="10"/>
        <v>53299.785929613725</v>
      </c>
      <c r="G116" s="94">
        <f>'Mashiki pumping'!D39</f>
        <v>379530</v>
      </c>
      <c r="H116" s="99">
        <f t="shared" si="6"/>
        <v>13.944525904089559</v>
      </c>
      <c r="I116" s="100">
        <f t="shared" si="14"/>
        <v>54184.660714501559</v>
      </c>
      <c r="J116" s="94">
        <f>'Mashiki pumping'!E39</f>
        <v>469683</v>
      </c>
      <c r="K116" s="99">
        <f t="shared" si="7"/>
        <v>13.944525904089559</v>
      </c>
      <c r="L116" s="100">
        <f t="shared" si="12"/>
        <v>67055.605613177438</v>
      </c>
      <c r="M116" s="94">
        <f>'Mashiki pumping'!F39</f>
        <v>388903</v>
      </c>
      <c r="N116" s="99">
        <f t="shared" si="8"/>
        <v>13.944525904089559</v>
      </c>
      <c r="O116" s="100">
        <f t="shared" si="13"/>
        <v>55522.823244148814</v>
      </c>
    </row>
    <row r="117" spans="1:15" x14ac:dyDescent="0.5">
      <c r="A117">
        <v>2016</v>
      </c>
      <c r="B117" s="116">
        <f>Trends!E79</f>
        <v>16.48662649063689</v>
      </c>
      <c r="C117" s="103">
        <f t="shared" si="9"/>
        <v>-1.1955844857978306</v>
      </c>
      <c r="D117" s="104">
        <f>'Mashiki pumping'!C40</f>
        <v>723481</v>
      </c>
      <c r="E117" s="105">
        <f t="shared" si="5"/>
        <v>13.512477309132334</v>
      </c>
      <c r="F117" s="106">
        <f t="shared" si="10"/>
        <v>51427.457653102589</v>
      </c>
      <c r="G117" s="104">
        <f>'Mashiki pumping'!D40</f>
        <v>419071</v>
      </c>
      <c r="H117" s="105">
        <f t="shared" si="6"/>
        <v>13.512477309132334</v>
      </c>
      <c r="I117" s="106">
        <f t="shared" si="14"/>
        <v>29788.97318124921</v>
      </c>
      <c r="J117" s="104">
        <f>'Mashiki pumping'!E40</f>
        <v>668388</v>
      </c>
      <c r="K117" s="105">
        <f t="shared" si="7"/>
        <v>13.512477309132334</v>
      </c>
      <c r="L117" s="106">
        <f t="shared" si="12"/>
        <v>47511.262307983117</v>
      </c>
      <c r="M117" s="104">
        <f>'Mashiki pumping'!F40</f>
        <v>505715</v>
      </c>
      <c r="N117" s="105">
        <f t="shared" si="8"/>
        <v>13.512477309132334</v>
      </c>
      <c r="O117" s="106">
        <f t="shared" si="13"/>
        <v>35947.919498976167</v>
      </c>
    </row>
    <row r="118" spans="1:15" x14ac:dyDescent="0.5">
      <c r="B118" t="s">
        <v>274</v>
      </c>
    </row>
    <row r="121" spans="1:15" x14ac:dyDescent="0.5">
      <c r="B121" s="161" t="s">
        <v>275</v>
      </c>
      <c r="C121" s="72"/>
      <c r="D121" s="72"/>
      <c r="E121" s="72"/>
      <c r="F121" s="72"/>
      <c r="G121" s="72"/>
      <c r="H121" s="72"/>
      <c r="I121" s="72"/>
      <c r="J121" s="72"/>
      <c r="K121" s="72"/>
      <c r="L121" s="72"/>
    </row>
    <row r="122" spans="1:15" x14ac:dyDescent="0.5">
      <c r="B122" s="161"/>
      <c r="C122" s="199" t="s">
        <v>276</v>
      </c>
      <c r="D122" s="200"/>
      <c r="E122" s="200"/>
      <c r="F122" s="200"/>
      <c r="G122" s="200"/>
      <c r="H122" s="200"/>
      <c r="I122" s="200"/>
      <c r="J122" s="200"/>
      <c r="K122" s="199" t="s">
        <v>277</v>
      </c>
      <c r="L122" s="199"/>
    </row>
    <row r="123" spans="1:15" x14ac:dyDescent="0.5">
      <c r="B123" s="110" t="s">
        <v>58</v>
      </c>
      <c r="C123" s="110" t="s">
        <v>266</v>
      </c>
      <c r="D123" s="110" t="s">
        <v>267</v>
      </c>
      <c r="E123" s="110" t="s">
        <v>272</v>
      </c>
      <c r="F123" s="110" t="s">
        <v>56</v>
      </c>
      <c r="G123" s="110" t="s">
        <v>59</v>
      </c>
      <c r="H123" s="110" t="s">
        <v>60</v>
      </c>
      <c r="I123" s="110" t="s">
        <v>61</v>
      </c>
      <c r="J123" s="110" t="s">
        <v>9</v>
      </c>
      <c r="K123" s="110" t="s">
        <v>335</v>
      </c>
      <c r="L123" s="162" t="s">
        <v>278</v>
      </c>
    </row>
    <row r="124" spans="1:15" x14ac:dyDescent="0.5">
      <c r="B124" s="163">
        <v>1983</v>
      </c>
      <c r="C124" s="160">
        <f>F8</f>
        <v>386092.56877333624</v>
      </c>
      <c r="D124" s="160">
        <f>I8</f>
        <v>14886.729804624898</v>
      </c>
      <c r="E124" s="160">
        <f>F46</f>
        <v>311173.58353059908</v>
      </c>
      <c r="F124" s="160">
        <f>F84</f>
        <v>0</v>
      </c>
      <c r="G124" s="160">
        <f t="shared" ref="G124:G157" si="15">I84</f>
        <v>0</v>
      </c>
      <c r="H124" s="160">
        <f>L84</f>
        <v>0</v>
      </c>
      <c r="I124" s="160">
        <f>O84</f>
        <v>0</v>
      </c>
      <c r="J124" s="160">
        <f>SUM(C124:I124)</f>
        <v>712152.8821085603</v>
      </c>
      <c r="K124" s="160">
        <v>888210.6</v>
      </c>
      <c r="L124" s="164">
        <f t="shared" ref="L124:L157" si="16">K124/$D$3</f>
        <v>7820.1320655044901</v>
      </c>
    </row>
    <row r="125" spans="1:15" x14ac:dyDescent="0.5">
      <c r="B125" s="163">
        <v>1984</v>
      </c>
      <c r="C125" s="160">
        <f t="shared" ref="C125:C157" si="17">F9</f>
        <v>838945.96448263782</v>
      </c>
      <c r="D125" s="160">
        <f t="shared" ref="D125:D157" si="18">I9</f>
        <v>238666.50472884873</v>
      </c>
      <c r="E125" s="160">
        <f t="shared" ref="E125:E157" si="19">F47</f>
        <v>1098353.209734536</v>
      </c>
      <c r="F125" s="160">
        <f t="shared" ref="F125:F157" si="20">F85</f>
        <v>0</v>
      </c>
      <c r="G125" s="160">
        <f t="shared" si="15"/>
        <v>0</v>
      </c>
      <c r="H125" s="160">
        <f t="shared" ref="H125:H157" si="21">L85</f>
        <v>0</v>
      </c>
      <c r="I125" s="160">
        <f t="shared" ref="I125:I157" si="22">O85</f>
        <v>0</v>
      </c>
      <c r="J125" s="160">
        <f t="shared" ref="J125:J157" si="23">SUM(C125:I125)</f>
        <v>2175965.6789460229</v>
      </c>
      <c r="K125" s="160">
        <v>2667739.6</v>
      </c>
      <c r="L125" s="164">
        <f t="shared" si="16"/>
        <v>23487.758408170455</v>
      </c>
    </row>
    <row r="126" spans="1:15" x14ac:dyDescent="0.5">
      <c r="B126" s="163">
        <v>1985</v>
      </c>
      <c r="C126" s="160">
        <f t="shared" si="17"/>
        <v>753560.45162179146</v>
      </c>
      <c r="D126" s="160">
        <f t="shared" si="18"/>
        <v>350511.77407618088</v>
      </c>
      <c r="E126" s="160">
        <f t="shared" si="19"/>
        <v>947361.05957160366</v>
      </c>
      <c r="F126" s="160">
        <f t="shared" si="20"/>
        <v>0</v>
      </c>
      <c r="G126" s="160">
        <f t="shared" si="15"/>
        <v>0</v>
      </c>
      <c r="H126" s="160">
        <f t="shared" si="21"/>
        <v>0</v>
      </c>
      <c r="I126" s="160">
        <f t="shared" si="22"/>
        <v>0</v>
      </c>
      <c r="J126" s="160">
        <f t="shared" si="23"/>
        <v>2051433.2852695761</v>
      </c>
      <c r="K126" s="160">
        <v>2449580.94</v>
      </c>
      <c r="L126" s="164">
        <f t="shared" si="16"/>
        <v>21567.009508716324</v>
      </c>
    </row>
    <row r="127" spans="1:15" x14ac:dyDescent="0.5">
      <c r="B127" s="163">
        <v>1986</v>
      </c>
      <c r="C127" s="160">
        <f t="shared" si="17"/>
        <v>793418.09794017544</v>
      </c>
      <c r="D127" s="160">
        <f t="shared" si="18"/>
        <v>302604.35765548312</v>
      </c>
      <c r="E127" s="160">
        <f t="shared" si="19"/>
        <v>1022944.4222181571</v>
      </c>
      <c r="F127" s="160">
        <f t="shared" si="20"/>
        <v>0</v>
      </c>
      <c r="G127" s="160">
        <f t="shared" si="15"/>
        <v>0</v>
      </c>
      <c r="H127" s="160">
        <f t="shared" si="21"/>
        <v>0</v>
      </c>
      <c r="I127" s="160">
        <f t="shared" si="22"/>
        <v>0</v>
      </c>
      <c r="J127" s="160">
        <f t="shared" si="23"/>
        <v>2118966.8778138156</v>
      </c>
      <c r="K127" s="160">
        <v>2494793.12</v>
      </c>
      <c r="L127" s="164">
        <f t="shared" si="16"/>
        <v>21965.074132769856</v>
      </c>
    </row>
    <row r="128" spans="1:15" x14ac:dyDescent="0.5">
      <c r="B128" s="163">
        <v>1987</v>
      </c>
      <c r="C128" s="160">
        <f t="shared" si="17"/>
        <v>367278.94104521017</v>
      </c>
      <c r="D128" s="160">
        <f t="shared" si="18"/>
        <v>112778.95801092418</v>
      </c>
      <c r="E128" s="160">
        <f t="shared" si="19"/>
        <v>317469.65879152151</v>
      </c>
      <c r="F128" s="160">
        <f t="shared" si="20"/>
        <v>0</v>
      </c>
      <c r="G128" s="160">
        <f t="shared" si="15"/>
        <v>0</v>
      </c>
      <c r="H128" s="160">
        <f t="shared" si="21"/>
        <v>0</v>
      </c>
      <c r="I128" s="160">
        <f t="shared" si="22"/>
        <v>0</v>
      </c>
      <c r="J128" s="160">
        <f t="shared" si="23"/>
        <v>797527.55784765584</v>
      </c>
      <c r="K128" s="160">
        <v>942278.4</v>
      </c>
      <c r="L128" s="164">
        <f t="shared" si="16"/>
        <v>8296.1648177496045</v>
      </c>
    </row>
    <row r="129" spans="2:12" x14ac:dyDescent="0.5">
      <c r="B129" s="163">
        <v>1988</v>
      </c>
      <c r="C129" s="160">
        <f t="shared" si="17"/>
        <v>295603.65099679626</v>
      </c>
      <c r="D129" s="160">
        <f t="shared" si="18"/>
        <v>113470.34115369238</v>
      </c>
      <c r="E129" s="160">
        <f t="shared" si="19"/>
        <v>115332.27816819736</v>
      </c>
      <c r="F129" s="160">
        <f t="shared" si="20"/>
        <v>37.610750037034052</v>
      </c>
      <c r="G129" s="160">
        <f t="shared" si="15"/>
        <v>37.610750037034052</v>
      </c>
      <c r="H129" s="160">
        <f t="shared" si="21"/>
        <v>0</v>
      </c>
      <c r="I129" s="160">
        <f t="shared" si="22"/>
        <v>0</v>
      </c>
      <c r="J129" s="160">
        <f t="shared" si="23"/>
        <v>524481.49181876006</v>
      </c>
      <c r="K129" s="160">
        <v>614635.68999999994</v>
      </c>
      <c r="L129" s="164">
        <f t="shared" si="16"/>
        <v>5411.4781651699241</v>
      </c>
    </row>
    <row r="130" spans="2:12" x14ac:dyDescent="0.5">
      <c r="B130" s="163">
        <v>1989</v>
      </c>
      <c r="C130" s="160">
        <f t="shared" si="17"/>
        <v>603709.48527968663</v>
      </c>
      <c r="D130" s="160">
        <f t="shared" si="18"/>
        <v>180825.45553484303</v>
      </c>
      <c r="E130" s="160">
        <f t="shared" si="19"/>
        <v>693364.91754759953</v>
      </c>
      <c r="F130" s="160">
        <f t="shared" si="20"/>
        <v>34383.717989082725</v>
      </c>
      <c r="G130" s="160">
        <f t="shared" si="15"/>
        <v>34383.717989082725</v>
      </c>
      <c r="H130" s="160">
        <f t="shared" si="21"/>
        <v>0</v>
      </c>
      <c r="I130" s="160">
        <f t="shared" si="22"/>
        <v>0</v>
      </c>
      <c r="J130" s="160">
        <f t="shared" si="23"/>
        <v>1546667.2943402946</v>
      </c>
      <c r="K130" s="160">
        <v>1793778.16</v>
      </c>
      <c r="L130" s="164">
        <f t="shared" si="16"/>
        <v>15793.081176263426</v>
      </c>
    </row>
    <row r="131" spans="2:12" x14ac:dyDescent="0.5">
      <c r="B131" s="163">
        <v>1990</v>
      </c>
      <c r="C131" s="160">
        <f t="shared" si="17"/>
        <v>745245.43370651675</v>
      </c>
      <c r="D131" s="160">
        <f t="shared" si="18"/>
        <v>286871.66334836028</v>
      </c>
      <c r="E131" s="160">
        <f t="shared" si="19"/>
        <v>965298.01214168349</v>
      </c>
      <c r="F131" s="160">
        <f t="shared" si="20"/>
        <v>49377.283988167459</v>
      </c>
      <c r="G131" s="160">
        <f t="shared" si="15"/>
        <v>49377.283988167459</v>
      </c>
      <c r="H131" s="160">
        <f t="shared" si="21"/>
        <v>0</v>
      </c>
      <c r="I131" s="160">
        <f t="shared" si="22"/>
        <v>0</v>
      </c>
      <c r="J131" s="160">
        <f t="shared" si="23"/>
        <v>2096169.6771728955</v>
      </c>
      <c r="K131" s="160">
        <v>2368460.84</v>
      </c>
      <c r="L131" s="164">
        <f t="shared" si="16"/>
        <v>20852.798379996479</v>
      </c>
    </row>
    <row r="132" spans="2:12" x14ac:dyDescent="0.5">
      <c r="B132" s="163">
        <v>1991</v>
      </c>
      <c r="C132" s="160">
        <f t="shared" si="17"/>
        <v>760676.54926096275</v>
      </c>
      <c r="D132" s="160">
        <f t="shared" si="18"/>
        <v>287733.2410150987</v>
      </c>
      <c r="E132" s="160">
        <f t="shared" si="19"/>
        <v>1627758.3207965265</v>
      </c>
      <c r="F132" s="160">
        <f t="shared" si="20"/>
        <v>52534.098922056502</v>
      </c>
      <c r="G132" s="160">
        <f t="shared" si="15"/>
        <v>52463.42025020373</v>
      </c>
      <c r="H132" s="160">
        <f t="shared" si="21"/>
        <v>0</v>
      </c>
      <c r="I132" s="160">
        <f t="shared" si="22"/>
        <v>0</v>
      </c>
      <c r="J132" s="160">
        <f t="shared" si="23"/>
        <v>2781165.6302448483</v>
      </c>
      <c r="K132" s="160">
        <v>3030449.78</v>
      </c>
      <c r="L132" s="164">
        <f t="shared" si="16"/>
        <v>26681.191935199859</v>
      </c>
    </row>
    <row r="133" spans="2:12" x14ac:dyDescent="0.5">
      <c r="B133" s="163">
        <v>1992</v>
      </c>
      <c r="C133" s="160">
        <f t="shared" si="17"/>
        <v>909327.8960354788</v>
      </c>
      <c r="D133" s="160">
        <f t="shared" si="18"/>
        <v>308338.38847432245</v>
      </c>
      <c r="E133" s="160">
        <f t="shared" si="19"/>
        <v>1197524.0230751482</v>
      </c>
      <c r="F133" s="160">
        <f t="shared" si="20"/>
        <v>81256.146384337568</v>
      </c>
      <c r="G133" s="160">
        <f t="shared" si="15"/>
        <v>81404.296696963924</v>
      </c>
      <c r="H133" s="160">
        <f t="shared" si="21"/>
        <v>0</v>
      </c>
      <c r="I133" s="160">
        <f t="shared" si="22"/>
        <v>0</v>
      </c>
      <c r="J133" s="160">
        <f t="shared" si="23"/>
        <v>2577850.7506662509</v>
      </c>
      <c r="K133" s="160">
        <v>2735070.09</v>
      </c>
      <c r="L133" s="164">
        <f t="shared" si="16"/>
        <v>24080.560750132063</v>
      </c>
    </row>
    <row r="134" spans="2:12" x14ac:dyDescent="0.5">
      <c r="B134" s="163">
        <v>1993</v>
      </c>
      <c r="C134" s="160">
        <f t="shared" si="17"/>
        <v>274737.36619560135</v>
      </c>
      <c r="D134" s="160">
        <f t="shared" si="18"/>
        <v>91589.650592738879</v>
      </c>
      <c r="E134" s="160">
        <f t="shared" si="19"/>
        <v>193298.63046720342</v>
      </c>
      <c r="F134" s="160">
        <f t="shared" si="20"/>
        <v>3532.1539336326705</v>
      </c>
      <c r="G134" s="160">
        <f t="shared" si="15"/>
        <v>3787.769683838937</v>
      </c>
      <c r="H134" s="160">
        <f t="shared" si="21"/>
        <v>0</v>
      </c>
      <c r="I134" s="160">
        <f t="shared" si="22"/>
        <v>0</v>
      </c>
      <c r="J134" s="160">
        <f t="shared" si="23"/>
        <v>566945.57087301521</v>
      </c>
      <c r="K134" s="160">
        <v>594645.02</v>
      </c>
      <c r="L134" s="164">
        <f t="shared" si="16"/>
        <v>5235.4729705934142</v>
      </c>
    </row>
    <row r="135" spans="2:12" x14ac:dyDescent="0.5">
      <c r="B135" s="163">
        <v>1994</v>
      </c>
      <c r="C135" s="160">
        <f t="shared" si="17"/>
        <v>639389.4794132309</v>
      </c>
      <c r="D135" s="160">
        <f t="shared" si="18"/>
        <v>224212.56152085389</v>
      </c>
      <c r="E135" s="160">
        <f t="shared" si="19"/>
        <v>519297.54600360658</v>
      </c>
      <c r="F135" s="160">
        <f t="shared" si="20"/>
        <v>32687.122686947721</v>
      </c>
      <c r="G135" s="160">
        <f t="shared" si="15"/>
        <v>32868.711847507984</v>
      </c>
      <c r="H135" s="160">
        <f t="shared" si="21"/>
        <v>0</v>
      </c>
      <c r="I135" s="160">
        <f t="shared" si="22"/>
        <v>0</v>
      </c>
      <c r="J135" s="160">
        <f t="shared" si="23"/>
        <v>1448455.4214721471</v>
      </c>
      <c r="K135" s="160">
        <v>1503591.66</v>
      </c>
      <c r="L135" s="164">
        <f t="shared" si="16"/>
        <v>13238.172741679873</v>
      </c>
    </row>
    <row r="136" spans="2:12" x14ac:dyDescent="0.5">
      <c r="B136" s="163">
        <v>1995</v>
      </c>
      <c r="C136" s="160">
        <f t="shared" si="17"/>
        <v>984096.16572927509</v>
      </c>
      <c r="D136" s="160">
        <f t="shared" si="18"/>
        <v>386383.58422087628</v>
      </c>
      <c r="E136" s="160">
        <f t="shared" si="19"/>
        <v>1390060.5067397747</v>
      </c>
      <c r="F136" s="160">
        <f t="shared" si="20"/>
        <v>84540.193206975469</v>
      </c>
      <c r="G136" s="160">
        <f t="shared" si="15"/>
        <v>107084.13394507807</v>
      </c>
      <c r="H136" s="160">
        <f t="shared" si="21"/>
        <v>0</v>
      </c>
      <c r="I136" s="160">
        <f t="shared" si="22"/>
        <v>0</v>
      </c>
      <c r="J136" s="160">
        <f t="shared" si="23"/>
        <v>2952164.58384198</v>
      </c>
      <c r="K136" s="160">
        <v>3045740.78</v>
      </c>
      <c r="L136" s="164">
        <f t="shared" si="16"/>
        <v>26815.819510477195</v>
      </c>
    </row>
    <row r="137" spans="2:12" x14ac:dyDescent="0.5">
      <c r="B137" s="163">
        <v>1996</v>
      </c>
      <c r="C137" s="160">
        <f t="shared" si="17"/>
        <v>891144.29052900861</v>
      </c>
      <c r="D137" s="160">
        <f t="shared" si="18"/>
        <v>388951.7770300947</v>
      </c>
      <c r="E137" s="160">
        <f t="shared" si="19"/>
        <v>1294217.0209426691</v>
      </c>
      <c r="F137" s="160">
        <f t="shared" si="20"/>
        <v>91154.369030020462</v>
      </c>
      <c r="G137" s="160">
        <f t="shared" si="15"/>
        <v>72163.875482099538</v>
      </c>
      <c r="H137" s="160">
        <f t="shared" si="21"/>
        <v>136731.55354503071</v>
      </c>
      <c r="I137" s="160">
        <f t="shared" si="22"/>
        <v>0</v>
      </c>
      <c r="J137" s="160">
        <f t="shared" si="23"/>
        <v>2874362.8865589234</v>
      </c>
      <c r="K137" s="160">
        <v>2977651.2</v>
      </c>
      <c r="L137" s="164">
        <f t="shared" si="16"/>
        <v>26216.333861595354</v>
      </c>
    </row>
    <row r="138" spans="2:12" x14ac:dyDescent="0.5">
      <c r="B138" s="163">
        <v>1997</v>
      </c>
      <c r="C138" s="160">
        <f t="shared" si="17"/>
        <v>701267.58544777229</v>
      </c>
      <c r="D138" s="160">
        <f t="shared" si="18"/>
        <v>265611.20785507717</v>
      </c>
      <c r="E138" s="160">
        <f t="shared" si="19"/>
        <v>1001857.7171874123</v>
      </c>
      <c r="F138" s="160">
        <f t="shared" si="20"/>
        <v>61000.075934369088</v>
      </c>
      <c r="G138" s="160">
        <f t="shared" si="15"/>
        <v>42678.079846151275</v>
      </c>
      <c r="H138" s="160">
        <f t="shared" si="21"/>
        <v>88440.874071566534</v>
      </c>
      <c r="I138" s="160">
        <f t="shared" si="22"/>
        <v>0</v>
      </c>
      <c r="J138" s="160">
        <f t="shared" si="23"/>
        <v>2160855.5403423486</v>
      </c>
      <c r="K138" s="160">
        <v>2224799.7000000002</v>
      </c>
      <c r="L138" s="164">
        <f t="shared" si="16"/>
        <v>19587.952984680403</v>
      </c>
    </row>
    <row r="139" spans="2:12" x14ac:dyDescent="0.5">
      <c r="B139" s="163">
        <v>1998</v>
      </c>
      <c r="C139" s="160">
        <f t="shared" si="17"/>
        <v>467490.31691484351</v>
      </c>
      <c r="D139" s="160">
        <f t="shared" si="18"/>
        <v>169929.72994557166</v>
      </c>
      <c r="E139" s="160">
        <f t="shared" si="19"/>
        <v>520227.6076456274</v>
      </c>
      <c r="F139" s="160">
        <f t="shared" si="20"/>
        <v>33832.214429588763</v>
      </c>
      <c r="G139" s="160">
        <f t="shared" si="15"/>
        <v>25669.966041590043</v>
      </c>
      <c r="H139" s="160">
        <f t="shared" si="21"/>
        <v>51504.032001672225</v>
      </c>
      <c r="I139" s="160">
        <f t="shared" si="22"/>
        <v>0</v>
      </c>
      <c r="J139" s="160">
        <f t="shared" si="23"/>
        <v>1268653.8669788938</v>
      </c>
      <c r="K139" s="160">
        <v>1282637.1599999999</v>
      </c>
      <c r="L139" s="164">
        <f t="shared" si="16"/>
        <v>11292.80824088748</v>
      </c>
    </row>
    <row r="140" spans="2:12" x14ac:dyDescent="0.5">
      <c r="B140" s="163">
        <v>1999</v>
      </c>
      <c r="C140" s="160">
        <f t="shared" si="17"/>
        <v>655678.46648043557</v>
      </c>
      <c r="D140" s="160">
        <f t="shared" si="18"/>
        <v>237317.63499445046</v>
      </c>
      <c r="E140" s="160">
        <f t="shared" si="19"/>
        <v>940253.15699298936</v>
      </c>
      <c r="F140" s="160">
        <f t="shared" si="20"/>
        <v>58623.10163644018</v>
      </c>
      <c r="G140" s="160">
        <f t="shared" si="15"/>
        <v>38983.894385943713</v>
      </c>
      <c r="H140" s="160">
        <f t="shared" si="21"/>
        <v>90919.516601610245</v>
      </c>
      <c r="I140" s="160">
        <f t="shared" si="22"/>
        <v>0</v>
      </c>
      <c r="J140" s="160">
        <f t="shared" si="23"/>
        <v>2021775.7710918696</v>
      </c>
      <c r="K140" s="160">
        <v>2031844.61</v>
      </c>
      <c r="L140" s="164">
        <f t="shared" si="16"/>
        <v>17889.105564359925</v>
      </c>
    </row>
    <row r="141" spans="2:12" x14ac:dyDescent="0.5">
      <c r="B141" s="163">
        <v>2000</v>
      </c>
      <c r="C141" s="160">
        <f t="shared" si="17"/>
        <v>715865.14149615413</v>
      </c>
      <c r="D141" s="160">
        <f t="shared" si="18"/>
        <v>220943.52396051033</v>
      </c>
      <c r="E141" s="160">
        <f t="shared" si="19"/>
        <v>954792.34311139153</v>
      </c>
      <c r="F141" s="160">
        <f t="shared" si="20"/>
        <v>63183.155261908039</v>
      </c>
      <c r="G141" s="160">
        <f t="shared" si="15"/>
        <v>41176.399108581078</v>
      </c>
      <c r="H141" s="160">
        <f t="shared" si="21"/>
        <v>96023.646633887372</v>
      </c>
      <c r="I141" s="160">
        <f t="shared" si="22"/>
        <v>0</v>
      </c>
      <c r="J141" s="160">
        <f t="shared" si="23"/>
        <v>2091984.2095724323</v>
      </c>
      <c r="K141" s="160">
        <v>2125691.7000000002</v>
      </c>
      <c r="L141" s="164">
        <f t="shared" si="16"/>
        <v>18715.369783412574</v>
      </c>
    </row>
    <row r="142" spans="2:12" x14ac:dyDescent="0.5">
      <c r="B142" s="163">
        <v>2001</v>
      </c>
      <c r="C142" s="160">
        <f t="shared" si="17"/>
        <v>747329.6514356666</v>
      </c>
      <c r="D142" s="160">
        <f t="shared" si="18"/>
        <v>225343.67106865117</v>
      </c>
      <c r="E142" s="160">
        <f t="shared" si="19"/>
        <v>917596.4980863526</v>
      </c>
      <c r="F142" s="160">
        <f t="shared" si="20"/>
        <v>76486.675557861847</v>
      </c>
      <c r="G142" s="160">
        <f t="shared" si="15"/>
        <v>69684.237076822465</v>
      </c>
      <c r="H142" s="160">
        <f t="shared" si="21"/>
        <v>114137.14327122954</v>
      </c>
      <c r="I142" s="160">
        <f t="shared" si="22"/>
        <v>0</v>
      </c>
      <c r="J142" s="160">
        <f t="shared" si="23"/>
        <v>2150577.8764965842</v>
      </c>
      <c r="K142" s="160">
        <v>2194067.9500000002</v>
      </c>
      <c r="L142" s="164">
        <f t="shared" si="16"/>
        <v>19317.379380172566</v>
      </c>
    </row>
    <row r="143" spans="2:12" x14ac:dyDescent="0.5">
      <c r="B143" s="163">
        <v>2002</v>
      </c>
      <c r="C143" s="160">
        <f t="shared" si="17"/>
        <v>767188.61345974938</v>
      </c>
      <c r="D143" s="160">
        <f t="shared" si="18"/>
        <v>221357.15877216941</v>
      </c>
      <c r="E143" s="160">
        <f t="shared" si="19"/>
        <v>977654.69832583948</v>
      </c>
      <c r="F143" s="160">
        <f t="shared" si="20"/>
        <v>90685.958053272814</v>
      </c>
      <c r="G143" s="160">
        <f t="shared" si="15"/>
        <v>80975.208978111667</v>
      </c>
      <c r="H143" s="160">
        <f t="shared" si="21"/>
        <v>112581.61658659301</v>
      </c>
      <c r="I143" s="160">
        <f t="shared" si="22"/>
        <v>0</v>
      </c>
      <c r="J143" s="160">
        <f t="shared" si="23"/>
        <v>2250443.2541757356</v>
      </c>
      <c r="K143" s="160">
        <v>2324152.4900000002</v>
      </c>
      <c r="L143" s="164">
        <f t="shared" si="16"/>
        <v>20462.691406937844</v>
      </c>
    </row>
    <row r="144" spans="2:12" x14ac:dyDescent="0.5">
      <c r="B144" s="163">
        <v>2003</v>
      </c>
      <c r="C144" s="160">
        <f t="shared" si="17"/>
        <v>662674.23298697209</v>
      </c>
      <c r="D144" s="160">
        <f t="shared" si="18"/>
        <v>188976.08699982596</v>
      </c>
      <c r="E144" s="160">
        <f t="shared" si="19"/>
        <v>797363.0654667964</v>
      </c>
      <c r="F144" s="160">
        <f t="shared" si="20"/>
        <v>57733.990637857431</v>
      </c>
      <c r="G144" s="160">
        <f t="shared" si="15"/>
        <v>44171.96035997814</v>
      </c>
      <c r="H144" s="160">
        <f t="shared" si="21"/>
        <v>101176.89751490134</v>
      </c>
      <c r="I144" s="160">
        <f t="shared" si="22"/>
        <v>28121.712690300174</v>
      </c>
      <c r="J144" s="160">
        <f t="shared" si="23"/>
        <v>1880217.9466566313</v>
      </c>
      <c r="K144" s="160">
        <v>1947782.3</v>
      </c>
      <c r="L144" s="164">
        <f t="shared" si="16"/>
        <v>17148.990139108999</v>
      </c>
    </row>
    <row r="145" spans="2:12" x14ac:dyDescent="0.5">
      <c r="B145" s="163">
        <v>2004</v>
      </c>
      <c r="C145" s="160">
        <f t="shared" si="17"/>
        <v>620521.14099100558</v>
      </c>
      <c r="D145" s="160">
        <f t="shared" si="18"/>
        <v>193380.19407905493</v>
      </c>
      <c r="E145" s="160">
        <f t="shared" si="19"/>
        <v>813082.79489614745</v>
      </c>
      <c r="F145" s="160">
        <f t="shared" si="20"/>
        <v>55253.432194939698</v>
      </c>
      <c r="G145" s="160">
        <f t="shared" si="15"/>
        <v>42651.260824997597</v>
      </c>
      <c r="H145" s="160">
        <f t="shared" si="21"/>
        <v>92502.574978951321</v>
      </c>
      <c r="I145" s="160">
        <f t="shared" si="22"/>
        <v>45146.849660111089</v>
      </c>
      <c r="J145" s="160">
        <f t="shared" si="23"/>
        <v>1862538.2476252078</v>
      </c>
      <c r="K145" s="160">
        <v>1937423.55</v>
      </c>
      <c r="L145" s="164">
        <f t="shared" si="16"/>
        <v>17057.787902799788</v>
      </c>
    </row>
    <row r="146" spans="2:12" x14ac:dyDescent="0.5">
      <c r="B146" s="163">
        <v>2005</v>
      </c>
      <c r="C146" s="160">
        <f t="shared" si="17"/>
        <v>633156.22830556519</v>
      </c>
      <c r="D146" s="160">
        <f t="shared" si="18"/>
        <v>245019.70295990037</v>
      </c>
      <c r="E146" s="160">
        <f t="shared" si="19"/>
        <v>764200.69268491713</v>
      </c>
      <c r="F146" s="160">
        <f t="shared" si="20"/>
        <v>0</v>
      </c>
      <c r="G146" s="160">
        <f t="shared" si="15"/>
        <v>0</v>
      </c>
      <c r="H146" s="160">
        <f t="shared" si="21"/>
        <v>0</v>
      </c>
      <c r="I146" s="160">
        <f t="shared" si="22"/>
        <v>0</v>
      </c>
      <c r="J146" s="160">
        <f t="shared" si="23"/>
        <v>1642376.6239503827</v>
      </c>
      <c r="K146" s="160">
        <v>1704895.47</v>
      </c>
      <c r="L146" s="164">
        <f t="shared" si="16"/>
        <v>15010.525356576862</v>
      </c>
    </row>
    <row r="147" spans="2:12" x14ac:dyDescent="0.5">
      <c r="B147" s="163">
        <v>2006</v>
      </c>
      <c r="C147" s="160">
        <f t="shared" si="17"/>
        <v>401213.75718165631</v>
      </c>
      <c r="D147" s="160">
        <f t="shared" si="18"/>
        <v>142658.72283930043</v>
      </c>
      <c r="E147" s="160">
        <f t="shared" si="19"/>
        <v>447766.92357731255</v>
      </c>
      <c r="F147" s="160">
        <f t="shared" si="20"/>
        <v>30063.902105590874</v>
      </c>
      <c r="G147" s="160">
        <f t="shared" si="15"/>
        <v>23556.485183416782</v>
      </c>
      <c r="H147" s="160">
        <f t="shared" si="21"/>
        <v>48622.779714557226</v>
      </c>
      <c r="I147" s="160">
        <f t="shared" si="22"/>
        <v>23717.40367735592</v>
      </c>
      <c r="J147" s="160">
        <f t="shared" si="23"/>
        <v>1117599.9742791899</v>
      </c>
      <c r="K147" s="160">
        <v>1164936.3600000001</v>
      </c>
      <c r="L147" s="164">
        <f t="shared" si="16"/>
        <v>10256.527205493927</v>
      </c>
    </row>
    <row r="148" spans="2:12" x14ac:dyDescent="0.5">
      <c r="B148" s="163">
        <v>2007</v>
      </c>
      <c r="C148" s="160">
        <f t="shared" si="17"/>
        <v>402529.60316662776</v>
      </c>
      <c r="D148" s="160">
        <f t="shared" si="18"/>
        <v>135198.03027045284</v>
      </c>
      <c r="E148" s="160">
        <f t="shared" si="19"/>
        <v>433475.22632107482</v>
      </c>
      <c r="F148" s="160">
        <f t="shared" si="20"/>
        <v>28606.702817120913</v>
      </c>
      <c r="G148" s="160">
        <f t="shared" si="15"/>
        <v>19733.004584885748</v>
      </c>
      <c r="H148" s="160">
        <f t="shared" si="21"/>
        <v>47392.179455518119</v>
      </c>
      <c r="I148" s="160">
        <f t="shared" si="22"/>
        <v>21083.786983584741</v>
      </c>
      <c r="J148" s="160">
        <f t="shared" si="23"/>
        <v>1088018.5335992649</v>
      </c>
      <c r="K148" s="160">
        <v>1130598.53</v>
      </c>
      <c r="L148" s="164">
        <f t="shared" si="16"/>
        <v>9954.2043493572819</v>
      </c>
    </row>
    <row r="149" spans="2:12" x14ac:dyDescent="0.5">
      <c r="B149" s="163">
        <v>2008</v>
      </c>
      <c r="C149" s="160">
        <f t="shared" si="17"/>
        <v>497295.74686896737</v>
      </c>
      <c r="D149" s="160">
        <f t="shared" si="18"/>
        <v>166721.223483048</v>
      </c>
      <c r="E149" s="160">
        <f t="shared" si="19"/>
        <v>699226.23271422798</v>
      </c>
      <c r="F149" s="160">
        <f t="shared" si="20"/>
        <v>42854.928536455998</v>
      </c>
      <c r="G149" s="160">
        <f t="shared" si="15"/>
        <v>35760.867290547176</v>
      </c>
      <c r="H149" s="160">
        <f t="shared" si="21"/>
        <v>75275.733640441264</v>
      </c>
      <c r="I149" s="160">
        <f t="shared" si="22"/>
        <v>40076.62412537347</v>
      </c>
      <c r="J149" s="160">
        <f t="shared" si="23"/>
        <v>1557211.3566590613</v>
      </c>
      <c r="K149" s="160">
        <v>1606570.45</v>
      </c>
      <c r="L149" s="164">
        <f t="shared" si="16"/>
        <v>14144.835798556083</v>
      </c>
    </row>
    <row r="150" spans="2:12" x14ac:dyDescent="0.5">
      <c r="B150" s="163">
        <v>2009</v>
      </c>
      <c r="C150" s="160">
        <f t="shared" si="17"/>
        <v>461092.0485277719</v>
      </c>
      <c r="D150" s="160">
        <f t="shared" si="18"/>
        <v>173388.1821982883</v>
      </c>
      <c r="E150" s="160">
        <f t="shared" si="19"/>
        <v>610373.44851584733</v>
      </c>
      <c r="F150" s="160">
        <f t="shared" si="20"/>
        <v>45430.052831265624</v>
      </c>
      <c r="G150" s="160">
        <f t="shared" si="15"/>
        <v>38794.478615687796</v>
      </c>
      <c r="H150" s="160">
        <f t="shared" si="21"/>
        <v>76304.274946639693</v>
      </c>
      <c r="I150" s="160">
        <f t="shared" si="22"/>
        <v>42797.771020058455</v>
      </c>
      <c r="J150" s="160">
        <f t="shared" si="23"/>
        <v>1448180.2566555592</v>
      </c>
      <c r="K150" s="160">
        <v>1487997.58</v>
      </c>
      <c r="L150" s="164">
        <f t="shared" si="16"/>
        <v>13100.876738862476</v>
      </c>
    </row>
    <row r="151" spans="2:12" x14ac:dyDescent="0.5">
      <c r="B151" s="163">
        <v>2010</v>
      </c>
      <c r="C151" s="160">
        <f t="shared" si="17"/>
        <v>376968.55638607708</v>
      </c>
      <c r="D151" s="160">
        <f t="shared" si="18"/>
        <v>98015.131657988008</v>
      </c>
      <c r="E151" s="160">
        <f t="shared" si="19"/>
        <v>527088.98733272345</v>
      </c>
      <c r="F151" s="160">
        <f t="shared" si="20"/>
        <v>44071.117419791226</v>
      </c>
      <c r="G151" s="160">
        <f t="shared" si="15"/>
        <v>36084.535882555487</v>
      </c>
      <c r="H151" s="160">
        <f t="shared" si="21"/>
        <v>74104.761445105614</v>
      </c>
      <c r="I151" s="160">
        <f t="shared" si="22"/>
        <v>41786.304778673068</v>
      </c>
      <c r="J151" s="160">
        <f t="shared" si="23"/>
        <v>1198119.3949029136</v>
      </c>
      <c r="K151" s="160">
        <v>1252748.26</v>
      </c>
      <c r="L151" s="164">
        <f t="shared" si="16"/>
        <v>11029.655397076951</v>
      </c>
    </row>
    <row r="152" spans="2:12" x14ac:dyDescent="0.5">
      <c r="B152" s="163">
        <v>2011</v>
      </c>
      <c r="C152" s="160">
        <f t="shared" si="17"/>
        <v>409876.52711501514</v>
      </c>
      <c r="D152" s="160">
        <f t="shared" si="18"/>
        <v>86594.40421919596</v>
      </c>
      <c r="E152" s="160">
        <f t="shared" si="19"/>
        <v>592756.12880776299</v>
      </c>
      <c r="F152" s="160">
        <f t="shared" si="20"/>
        <v>42665.17938184792</v>
      </c>
      <c r="G152" s="160">
        <f t="shared" si="15"/>
        <v>35756.10641062518</v>
      </c>
      <c r="H152" s="160">
        <f t="shared" si="21"/>
        <v>83157.532062694227</v>
      </c>
      <c r="I152" s="160">
        <f t="shared" si="22"/>
        <v>40894.291902594225</v>
      </c>
      <c r="J152" s="160">
        <f t="shared" si="23"/>
        <v>1291700.1698997356</v>
      </c>
      <c r="K152" s="160">
        <v>1354808</v>
      </c>
      <c r="L152" s="164">
        <f t="shared" si="16"/>
        <v>11928.226800493045</v>
      </c>
    </row>
    <row r="153" spans="2:12" x14ac:dyDescent="0.5">
      <c r="B153" s="163">
        <v>2012</v>
      </c>
      <c r="C153" s="160">
        <f t="shared" si="17"/>
        <v>296765.23088301317</v>
      </c>
      <c r="D153" s="160">
        <f t="shared" si="18"/>
        <v>63989.662182283828</v>
      </c>
      <c r="E153" s="160">
        <f t="shared" si="19"/>
        <v>467552.43532268651</v>
      </c>
      <c r="F153" s="160">
        <f t="shared" si="20"/>
        <v>25231.109969304489</v>
      </c>
      <c r="G153" s="160">
        <f t="shared" si="15"/>
        <v>23433.100556525835</v>
      </c>
      <c r="H153" s="160">
        <f t="shared" si="21"/>
        <v>48522.542811477339</v>
      </c>
      <c r="I153" s="160">
        <f t="shared" si="22"/>
        <v>34418.426323999665</v>
      </c>
      <c r="J153" s="160">
        <f t="shared" si="23"/>
        <v>959912.50804929086</v>
      </c>
      <c r="K153" s="160">
        <v>1008908.56</v>
      </c>
      <c r="L153" s="164">
        <f t="shared" si="16"/>
        <v>8882.8011973939083</v>
      </c>
    </row>
    <row r="154" spans="2:12" x14ac:dyDescent="0.5">
      <c r="B154" s="163">
        <v>2013</v>
      </c>
      <c r="C154" s="160">
        <f t="shared" si="17"/>
        <v>485422.90015526558</v>
      </c>
      <c r="D154" s="160">
        <f t="shared" si="18"/>
        <v>156029.92297680676</v>
      </c>
      <c r="E154" s="160">
        <f t="shared" si="19"/>
        <v>613311.02747629874</v>
      </c>
      <c r="F154" s="160">
        <f t="shared" si="20"/>
        <v>28049.032817953157</v>
      </c>
      <c r="G154" s="160">
        <f t="shared" si="15"/>
        <v>34062.695546549396</v>
      </c>
      <c r="H154" s="160">
        <f t="shared" si="21"/>
        <v>60850.718514999026</v>
      </c>
      <c r="I154" s="160">
        <f t="shared" si="22"/>
        <v>48679.531370750512</v>
      </c>
      <c r="J154" s="160">
        <f t="shared" si="23"/>
        <v>1426405.8288586233</v>
      </c>
      <c r="K154" s="160">
        <v>1502342.02</v>
      </c>
      <c r="L154" s="164">
        <f t="shared" si="16"/>
        <v>13227.170452544462</v>
      </c>
    </row>
    <row r="155" spans="2:12" x14ac:dyDescent="0.5">
      <c r="B155" s="163">
        <v>2014</v>
      </c>
      <c r="C155" s="160">
        <f t="shared" si="17"/>
        <v>634557.15549684083</v>
      </c>
      <c r="D155" s="160">
        <f t="shared" si="18"/>
        <v>208864.45812159634</v>
      </c>
      <c r="E155" s="160">
        <f t="shared" si="19"/>
        <v>822576.17703879706</v>
      </c>
      <c r="F155" s="160">
        <f t="shared" si="20"/>
        <v>40903.723871177797</v>
      </c>
      <c r="G155" s="160">
        <f t="shared" si="15"/>
        <v>48828.270723799236</v>
      </c>
      <c r="H155" s="160">
        <f t="shared" si="21"/>
        <v>78847.399346193415</v>
      </c>
      <c r="I155" s="160">
        <f t="shared" si="22"/>
        <v>76123.637116079495</v>
      </c>
      <c r="J155" s="160">
        <f t="shared" si="23"/>
        <v>1910700.8217144844</v>
      </c>
      <c r="K155" s="160">
        <v>1979360.69</v>
      </c>
      <c r="L155" s="164">
        <f t="shared" si="16"/>
        <v>17427.017872864941</v>
      </c>
    </row>
    <row r="156" spans="2:12" x14ac:dyDescent="0.5">
      <c r="B156" s="163">
        <v>2015</v>
      </c>
      <c r="C156" s="160">
        <f t="shared" si="17"/>
        <v>563675.66522433329</v>
      </c>
      <c r="D156" s="160">
        <f t="shared" si="18"/>
        <v>185564.8621463631</v>
      </c>
      <c r="E156" s="160">
        <f t="shared" si="19"/>
        <v>681652.84538361826</v>
      </c>
      <c r="F156" s="160">
        <f t="shared" si="20"/>
        <v>53299.785929613725</v>
      </c>
      <c r="G156" s="160">
        <f t="shared" si="15"/>
        <v>54184.660714501559</v>
      </c>
      <c r="H156" s="160">
        <f t="shared" si="21"/>
        <v>67055.605613177438</v>
      </c>
      <c r="I156" s="160">
        <f t="shared" si="22"/>
        <v>55522.823244148814</v>
      </c>
      <c r="J156" s="160">
        <f t="shared" si="23"/>
        <v>1660956.2482557562</v>
      </c>
      <c r="K156" s="160">
        <v>1680947.45</v>
      </c>
      <c r="L156" s="164">
        <f t="shared" si="16"/>
        <v>14799.678200387392</v>
      </c>
    </row>
    <row r="157" spans="2:12" x14ac:dyDescent="0.5">
      <c r="B157" s="163">
        <v>2016</v>
      </c>
      <c r="C157" s="160">
        <f t="shared" si="17"/>
        <v>703913.94602741429</v>
      </c>
      <c r="D157" s="160">
        <f t="shared" si="18"/>
        <v>218299.6613917354</v>
      </c>
      <c r="E157" s="160">
        <f t="shared" si="19"/>
        <v>222892.92712218591</v>
      </c>
      <c r="F157" s="160">
        <f t="shared" si="20"/>
        <v>51427.457653102589</v>
      </c>
      <c r="G157" s="160">
        <f t="shared" si="15"/>
        <v>29788.97318124921</v>
      </c>
      <c r="H157" s="160">
        <f t="shared" si="21"/>
        <v>47511.262307983117</v>
      </c>
      <c r="I157" s="160">
        <f t="shared" si="22"/>
        <v>35947.919498976167</v>
      </c>
      <c r="J157" s="160">
        <f t="shared" si="23"/>
        <v>1309782.1471826467</v>
      </c>
      <c r="K157" s="160">
        <v>1324218.47</v>
      </c>
      <c r="L157" s="164">
        <f t="shared" si="16"/>
        <v>11658.905353055115</v>
      </c>
    </row>
    <row r="158" spans="2:12" x14ac:dyDescent="0.5">
      <c r="B158" s="163" t="s">
        <v>279</v>
      </c>
      <c r="C158" s="165">
        <f>SUM(C124:C157)</f>
        <v>20447708.855560847</v>
      </c>
      <c r="D158" s="165">
        <f t="shared" ref="D158:I158" si="24">SUM(D124:D157)</f>
        <v>6891028.159289212</v>
      </c>
      <c r="E158" s="165">
        <f t="shared" si="24"/>
        <v>25499154.123738836</v>
      </c>
      <c r="F158" s="165">
        <f t="shared" si="24"/>
        <v>1358904.2939307198</v>
      </c>
      <c r="G158" s="165">
        <f t="shared" si="24"/>
        <v>1199545.0059454986</v>
      </c>
      <c r="H158" s="165">
        <f t="shared" si="24"/>
        <v>1591662.6450642287</v>
      </c>
      <c r="I158" s="165">
        <f t="shared" si="24"/>
        <v>534317.08239200583</v>
      </c>
      <c r="J158" s="165">
        <f>SUM(J124:J157)</f>
        <v>57522320.16592136</v>
      </c>
      <c r="K158" s="165">
        <f t="shared" ref="K158:L158" si="25">SUM(K124:K157)</f>
        <v>61373357.180000007</v>
      </c>
      <c r="L158" s="166">
        <f t="shared" si="25"/>
        <v>540353.55854904035</v>
      </c>
    </row>
  </sheetData>
  <mergeCells count="12">
    <mergeCell ref="J81:L81"/>
    <mergeCell ref="M81:O81"/>
    <mergeCell ref="C122:J122"/>
    <mergeCell ref="K122:L122"/>
    <mergeCell ref="B5:C5"/>
    <mergeCell ref="D5:F5"/>
    <mergeCell ref="G5:I5"/>
    <mergeCell ref="B43:C43"/>
    <mergeCell ref="D43:F43"/>
    <mergeCell ref="B81:C81"/>
    <mergeCell ref="D81:F81"/>
    <mergeCell ref="G81:I81"/>
  </mergeCells>
  <phoneticPr fontId="2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BEBC-5BBA-5F41-8FAB-376F0FBEECA7}">
  <dimension ref="A1:I43"/>
  <sheetViews>
    <sheetView workbookViewId="0">
      <selection activeCell="O24" sqref="O24"/>
    </sheetView>
  </sheetViews>
  <sheetFormatPr defaultColWidth="10.90625" defaultRowHeight="19.8" x14ac:dyDescent="0.5"/>
  <cols>
    <col min="1" max="1" width="16.453125" bestFit="1" customWidth="1"/>
    <col min="2" max="2" width="11.81640625" customWidth="1"/>
    <col min="3" max="3" width="18.1796875" bestFit="1" customWidth="1"/>
    <col min="4" max="4" width="22.1796875" bestFit="1" customWidth="1"/>
    <col min="5" max="5" width="9.1796875" bestFit="1" customWidth="1"/>
    <col min="6" max="6" width="18.1796875" bestFit="1" customWidth="1"/>
    <col min="7" max="7" width="22.1796875" bestFit="1" customWidth="1"/>
    <col min="8" max="8" width="17.1796875" bestFit="1" customWidth="1"/>
    <col min="9" max="9" width="16.81640625" bestFit="1" customWidth="1"/>
  </cols>
  <sheetData>
    <row r="1" spans="1:9" x14ac:dyDescent="0.5">
      <c r="B1" s="187" t="s">
        <v>280</v>
      </c>
      <c r="C1" s="190"/>
      <c r="D1" s="191"/>
      <c r="E1" s="187" t="s">
        <v>281</v>
      </c>
      <c r="F1" s="190"/>
      <c r="G1" s="191"/>
      <c r="H1" s="187" t="s">
        <v>9</v>
      </c>
      <c r="I1" s="189"/>
    </row>
    <row r="2" spans="1:9" x14ac:dyDescent="0.5">
      <c r="B2" s="201" t="s">
        <v>282</v>
      </c>
      <c r="C2" s="202"/>
      <c r="D2" s="111" t="s">
        <v>283</v>
      </c>
      <c r="E2" s="201" t="s">
        <v>282</v>
      </c>
      <c r="F2" s="202"/>
      <c r="G2" s="111" t="s">
        <v>283</v>
      </c>
      <c r="H2" s="201" t="s">
        <v>284</v>
      </c>
      <c r="I2" s="194"/>
    </row>
    <row r="3" spans="1:9" x14ac:dyDescent="0.5">
      <c r="A3" t="s">
        <v>58</v>
      </c>
      <c r="B3" s="96" t="s">
        <v>285</v>
      </c>
      <c r="C3" s="98" t="s">
        <v>286</v>
      </c>
      <c r="D3" s="97" t="s">
        <v>286</v>
      </c>
      <c r="E3" s="96" t="s">
        <v>285</v>
      </c>
      <c r="F3" s="98" t="s">
        <v>286</v>
      </c>
      <c r="G3" s="97" t="s">
        <v>286</v>
      </c>
      <c r="H3" s="96" t="s">
        <v>287</v>
      </c>
      <c r="I3" s="97" t="s">
        <v>288</v>
      </c>
    </row>
    <row r="4" spans="1:9" x14ac:dyDescent="0.5">
      <c r="A4">
        <v>1982</v>
      </c>
      <c r="B4" s="101">
        <f>'Farmer Income'!C4</f>
        <v>3513.73</v>
      </c>
      <c r="C4" s="108">
        <v>4470.8100000000004</v>
      </c>
      <c r="D4" s="102">
        <f>$C$12-C4</f>
        <v>1954.33</v>
      </c>
      <c r="E4" s="101">
        <f>'Farmer Income'!J4</f>
        <v>2864.64</v>
      </c>
      <c r="F4" s="108">
        <v>3644.92</v>
      </c>
      <c r="G4" s="102">
        <f>$F$12-F4</f>
        <v>379.44000000000005</v>
      </c>
      <c r="H4" s="101">
        <f>D4+G4</f>
        <v>2333.77</v>
      </c>
      <c r="I4" s="112">
        <f>H4/'Pumping synergy loss'!$D$3</f>
        <v>20.547367494277161</v>
      </c>
    </row>
    <row r="5" spans="1:9" x14ac:dyDescent="0.5">
      <c r="A5">
        <v>1983</v>
      </c>
      <c r="B5" s="101">
        <f>'Farmer Income'!C5</f>
        <v>3757.11</v>
      </c>
      <c r="C5" s="108">
        <v>4685.9399999999996</v>
      </c>
      <c r="D5" s="102">
        <f t="shared" ref="D5:D37" si="0">$C$12-C5</f>
        <v>1739.2000000000007</v>
      </c>
      <c r="E5" s="101">
        <f>'Farmer Income'!J5</f>
        <v>2752.75</v>
      </c>
      <c r="F5" s="108">
        <v>3433.28</v>
      </c>
      <c r="G5" s="102">
        <f t="shared" ref="G5:G37" si="1">$F$12-F5</f>
        <v>591.07999999999993</v>
      </c>
      <c r="H5" s="101">
        <f t="shared" ref="H5:H37" si="2">D5+G5</f>
        <v>2330.2800000000007</v>
      </c>
      <c r="I5" s="112">
        <f>H5/'Pumping synergy loss'!$D$3</f>
        <v>20.516640253565775</v>
      </c>
    </row>
    <row r="6" spans="1:9" x14ac:dyDescent="0.5">
      <c r="A6">
        <v>1984</v>
      </c>
      <c r="B6" s="101">
        <f>'Farmer Income'!C6</f>
        <v>4383.62</v>
      </c>
      <c r="C6" s="108">
        <v>5374.33</v>
      </c>
      <c r="D6" s="102">
        <f t="shared" si="0"/>
        <v>1050.8100000000004</v>
      </c>
      <c r="E6" s="101">
        <f>'Farmer Income'!J6</f>
        <v>3001.29</v>
      </c>
      <c r="F6" s="108">
        <v>3679.59</v>
      </c>
      <c r="G6" s="102">
        <f t="shared" si="1"/>
        <v>344.77</v>
      </c>
      <c r="H6" s="101">
        <f t="shared" si="2"/>
        <v>1395.5800000000004</v>
      </c>
      <c r="I6" s="112">
        <f>H6/'Pumping synergy loss'!$D$3</f>
        <v>12.287198450431417</v>
      </c>
    </row>
    <row r="7" spans="1:9" x14ac:dyDescent="0.5">
      <c r="A7">
        <v>1985</v>
      </c>
      <c r="B7" s="101">
        <f>'Farmer Income'!C7</f>
        <v>4590.1499999999996</v>
      </c>
      <c r="C7" s="108">
        <v>5481.02</v>
      </c>
      <c r="D7" s="102">
        <f t="shared" si="0"/>
        <v>944.11999999999989</v>
      </c>
      <c r="E7" s="101">
        <f>'Farmer Income'!J7</f>
        <v>3028.12</v>
      </c>
      <c r="F7" s="108">
        <v>3615.83</v>
      </c>
      <c r="G7" s="102">
        <f t="shared" si="1"/>
        <v>408.5300000000002</v>
      </c>
      <c r="H7" s="101">
        <f t="shared" si="2"/>
        <v>1352.65</v>
      </c>
      <c r="I7" s="112">
        <f>H7/'Pumping synergy loss'!$D$3</f>
        <v>11.909226976580385</v>
      </c>
    </row>
    <row r="8" spans="1:9" x14ac:dyDescent="0.5">
      <c r="A8">
        <v>1986</v>
      </c>
      <c r="B8" s="101">
        <f>'Farmer Income'!C8</f>
        <v>4471.93</v>
      </c>
      <c r="C8" s="108">
        <v>5265.08</v>
      </c>
      <c r="D8" s="102">
        <f t="shared" si="0"/>
        <v>1160.0600000000004</v>
      </c>
      <c r="E8" s="101">
        <f>'Farmer Income'!J8</f>
        <v>2951.24</v>
      </c>
      <c r="F8" s="108">
        <v>3474.68</v>
      </c>
      <c r="G8" s="102">
        <f t="shared" si="1"/>
        <v>549.68000000000029</v>
      </c>
      <c r="H8" s="101">
        <f t="shared" si="2"/>
        <v>1709.7400000000007</v>
      </c>
      <c r="I8" s="112">
        <f>H8/'Pumping synergy loss'!$D$3</f>
        <v>15.053178376474738</v>
      </c>
    </row>
    <row r="9" spans="1:9" x14ac:dyDescent="0.5">
      <c r="A9">
        <v>1987</v>
      </c>
      <c r="B9" s="87">
        <f>'Farmer Income'!C9</f>
        <v>4378.8500000000004</v>
      </c>
      <c r="C9" s="88">
        <v>5173.6099999999997</v>
      </c>
      <c r="D9" s="167">
        <f t="shared" si="0"/>
        <v>1251.5300000000007</v>
      </c>
      <c r="E9" s="87">
        <f>'Farmer Income'!J9</f>
        <v>2804.15</v>
      </c>
      <c r="F9" s="88">
        <v>3313.1</v>
      </c>
      <c r="G9" s="167">
        <f t="shared" si="1"/>
        <v>711.26000000000022</v>
      </c>
      <c r="H9" s="87">
        <f t="shared" si="2"/>
        <v>1962.7900000000009</v>
      </c>
      <c r="I9" s="168">
        <f>H9/'Pumping synergy loss'!$D$3</f>
        <v>17.281123437224871</v>
      </c>
    </row>
    <row r="10" spans="1:9" x14ac:dyDescent="0.5">
      <c r="A10">
        <v>1988</v>
      </c>
      <c r="B10" s="87">
        <f>'Farmer Income'!C10</f>
        <v>4202.25</v>
      </c>
      <c r="C10" s="88">
        <v>4924.59</v>
      </c>
      <c r="D10" s="167">
        <f t="shared" si="0"/>
        <v>1500.5500000000002</v>
      </c>
      <c r="E10" s="87">
        <f>'Farmer Income'!J10</f>
        <v>2899.67</v>
      </c>
      <c r="F10" s="88">
        <v>3398.1</v>
      </c>
      <c r="G10" s="167">
        <f t="shared" si="1"/>
        <v>626.26000000000022</v>
      </c>
      <c r="H10" s="87">
        <f t="shared" si="2"/>
        <v>2126.8100000000004</v>
      </c>
      <c r="I10" s="168">
        <f>H10/'Pumping synergy loss'!$D$3</f>
        <v>18.725215706990671</v>
      </c>
    </row>
    <row r="11" spans="1:9" x14ac:dyDescent="0.5">
      <c r="A11">
        <v>1989</v>
      </c>
      <c r="B11" s="87">
        <f>'Farmer Income'!C11</f>
        <v>4017.86</v>
      </c>
      <c r="C11" s="88">
        <v>4659.79</v>
      </c>
      <c r="D11" s="167">
        <f t="shared" si="0"/>
        <v>1765.3500000000004</v>
      </c>
      <c r="E11" s="87">
        <f>'Farmer Income'!J11</f>
        <v>2781.83</v>
      </c>
      <c r="F11" s="88">
        <v>3226.28</v>
      </c>
      <c r="G11" s="167">
        <f t="shared" si="1"/>
        <v>798.07999999999993</v>
      </c>
      <c r="H11" s="87">
        <f t="shared" si="2"/>
        <v>2563.4300000000003</v>
      </c>
      <c r="I11" s="168">
        <f>H11/'Pumping synergy loss'!$D$3</f>
        <v>22.569378411692202</v>
      </c>
    </row>
    <row r="12" spans="1:9" x14ac:dyDescent="0.5">
      <c r="A12">
        <v>1990</v>
      </c>
      <c r="B12" s="87">
        <f>'Farmer Income'!C12</f>
        <v>5686.47</v>
      </c>
      <c r="C12" s="88">
        <v>6425.14</v>
      </c>
      <c r="D12" s="167">
        <f t="shared" si="0"/>
        <v>0</v>
      </c>
      <c r="E12" s="87">
        <f>'Farmer Income'!J12</f>
        <v>3561.7</v>
      </c>
      <c r="F12" s="88">
        <v>4024.36</v>
      </c>
      <c r="G12" s="167">
        <f t="shared" si="1"/>
        <v>0</v>
      </c>
      <c r="H12" s="87">
        <f t="shared" si="2"/>
        <v>0</v>
      </c>
      <c r="I12" s="168">
        <f>H12/'Pumping synergy loss'!$D$3</f>
        <v>0</v>
      </c>
    </row>
    <row r="13" spans="1:9" x14ac:dyDescent="0.5">
      <c r="A13">
        <v>1991</v>
      </c>
      <c r="B13" s="87">
        <f>'Farmer Income'!C13</f>
        <v>5253.99</v>
      </c>
      <c r="C13" s="88">
        <v>5724.92</v>
      </c>
      <c r="D13" s="167">
        <f t="shared" si="0"/>
        <v>700.22000000000025</v>
      </c>
      <c r="E13" s="87">
        <f>'Farmer Income'!J13</f>
        <v>3125.43</v>
      </c>
      <c r="F13" s="88">
        <v>3405.57</v>
      </c>
      <c r="G13" s="167">
        <f t="shared" si="1"/>
        <v>618.79</v>
      </c>
      <c r="H13" s="87">
        <f t="shared" si="2"/>
        <v>1319.0100000000002</v>
      </c>
      <c r="I13" s="168">
        <f>H13/'Pumping synergy loss'!$D$3</f>
        <v>11.613048071843636</v>
      </c>
    </row>
    <row r="14" spans="1:9" x14ac:dyDescent="0.5">
      <c r="A14">
        <v>1992</v>
      </c>
      <c r="B14" s="87">
        <f>'Farmer Income'!C14</f>
        <v>5470.37</v>
      </c>
      <c r="C14" s="88">
        <v>5804</v>
      </c>
      <c r="D14" s="167">
        <f t="shared" si="0"/>
        <v>621.14000000000033</v>
      </c>
      <c r="E14" s="87">
        <f>'Farmer Income'!J14</f>
        <v>3329.39</v>
      </c>
      <c r="F14" s="88">
        <v>3532.44</v>
      </c>
      <c r="G14" s="167">
        <f t="shared" si="1"/>
        <v>491.92000000000007</v>
      </c>
      <c r="H14" s="87">
        <f t="shared" si="2"/>
        <v>1113.0600000000004</v>
      </c>
      <c r="I14" s="168">
        <f>H14/'Pumping synergy loss'!$D$3</f>
        <v>9.7997886951928201</v>
      </c>
    </row>
    <row r="15" spans="1:9" x14ac:dyDescent="0.5">
      <c r="A15">
        <v>1993</v>
      </c>
      <c r="B15" s="87">
        <f>'Farmer Income'!C15</f>
        <v>5046.43</v>
      </c>
      <c r="C15" s="88">
        <v>5292.98</v>
      </c>
      <c r="D15" s="167">
        <f t="shared" si="0"/>
        <v>1132.1600000000008</v>
      </c>
      <c r="E15" s="87">
        <f>'Farmer Income'!J15</f>
        <v>3008.77</v>
      </c>
      <c r="F15" s="88">
        <v>3155.77</v>
      </c>
      <c r="G15" s="167">
        <f t="shared" si="1"/>
        <v>868.59000000000015</v>
      </c>
      <c r="H15" s="87">
        <f t="shared" si="2"/>
        <v>2000.7500000000009</v>
      </c>
      <c r="I15" s="168">
        <f>H15/'Pumping synergy loss'!$D$3</f>
        <v>17.615337207254807</v>
      </c>
    </row>
    <row r="16" spans="1:9" x14ac:dyDescent="0.5">
      <c r="A16">
        <v>1994</v>
      </c>
      <c r="B16" s="87">
        <f>'Farmer Income'!C16</f>
        <v>5628.13</v>
      </c>
      <c r="C16" s="88">
        <v>5842.37</v>
      </c>
      <c r="D16" s="167">
        <f t="shared" si="0"/>
        <v>582.77000000000044</v>
      </c>
      <c r="E16" s="87">
        <f>'Farmer Income'!J16</f>
        <v>3240.28</v>
      </c>
      <c r="F16" s="88">
        <v>3363.62</v>
      </c>
      <c r="G16" s="167">
        <f t="shared" si="1"/>
        <v>660.74000000000024</v>
      </c>
      <c r="H16" s="87">
        <f t="shared" si="2"/>
        <v>1243.5100000000007</v>
      </c>
      <c r="I16" s="168">
        <f>H16/'Pumping synergy loss'!$D$3</f>
        <v>10.948318365909497</v>
      </c>
    </row>
    <row r="17" spans="1:9" x14ac:dyDescent="0.5">
      <c r="A17">
        <v>1995</v>
      </c>
      <c r="B17" s="87">
        <f>'Farmer Income'!C17</f>
        <v>5027.8500000000004</v>
      </c>
      <c r="C17" s="88">
        <v>5187.22</v>
      </c>
      <c r="D17" s="167">
        <f t="shared" si="0"/>
        <v>1237.92</v>
      </c>
      <c r="E17" s="87">
        <f>'Farmer Income'!J17</f>
        <v>2977.79</v>
      </c>
      <c r="F17" s="88">
        <v>3072.18</v>
      </c>
      <c r="G17" s="167">
        <f t="shared" si="1"/>
        <v>952.18000000000029</v>
      </c>
      <c r="H17" s="87">
        <f t="shared" si="2"/>
        <v>2190.1000000000004</v>
      </c>
      <c r="I17" s="168">
        <f>H17/'Pumping synergy loss'!$D$3</f>
        <v>19.28244409226977</v>
      </c>
    </row>
    <row r="18" spans="1:9" x14ac:dyDescent="0.5">
      <c r="A18">
        <v>1996</v>
      </c>
      <c r="B18" s="87">
        <f>'Farmer Income'!C18</f>
        <v>5154.6499999999996</v>
      </c>
      <c r="C18" s="88">
        <v>5339.88</v>
      </c>
      <c r="D18" s="167">
        <f t="shared" si="0"/>
        <v>1085.2600000000002</v>
      </c>
      <c r="E18" s="87">
        <f>'Farmer Income'!J18</f>
        <v>2908.65</v>
      </c>
      <c r="F18" s="88">
        <v>3013.17</v>
      </c>
      <c r="G18" s="167">
        <f t="shared" si="1"/>
        <v>1011.19</v>
      </c>
      <c r="H18" s="87">
        <f t="shared" si="2"/>
        <v>2096.4500000000003</v>
      </c>
      <c r="I18" s="168">
        <f>H18/'Pumping synergy loss'!$D$3</f>
        <v>18.457915125902449</v>
      </c>
    </row>
    <row r="19" spans="1:9" x14ac:dyDescent="0.5">
      <c r="A19">
        <v>1997</v>
      </c>
      <c r="B19" s="87">
        <f>'Farmer Income'!C19</f>
        <v>4979.29</v>
      </c>
      <c r="C19" s="88">
        <v>5126.6400000000003</v>
      </c>
      <c r="D19" s="167">
        <f t="shared" si="0"/>
        <v>1298.5</v>
      </c>
      <c r="E19" s="87">
        <f>'Farmer Income'!J19</f>
        <v>2700.12</v>
      </c>
      <c r="F19" s="88">
        <v>2780.02</v>
      </c>
      <c r="G19" s="167">
        <f t="shared" si="1"/>
        <v>1244.3400000000001</v>
      </c>
      <c r="H19" s="87">
        <f t="shared" si="2"/>
        <v>2542.84</v>
      </c>
      <c r="I19" s="168">
        <f>H19/'Pumping synergy loss'!$D$3</f>
        <v>22.388096495861948</v>
      </c>
    </row>
    <row r="20" spans="1:9" x14ac:dyDescent="0.5">
      <c r="A20">
        <v>1998</v>
      </c>
      <c r="B20" s="87">
        <f>'Farmer Income'!C20</f>
        <v>5230.9399999999996</v>
      </c>
      <c r="C20" s="88">
        <v>5288.6</v>
      </c>
      <c r="D20" s="167">
        <f t="shared" si="0"/>
        <v>1136.54</v>
      </c>
      <c r="E20" s="87">
        <f>'Farmer Income'!J20</f>
        <v>2923.99</v>
      </c>
      <c r="F20" s="88">
        <v>2956.22</v>
      </c>
      <c r="G20" s="167">
        <f t="shared" si="1"/>
        <v>1068.1400000000003</v>
      </c>
      <c r="H20" s="87">
        <f t="shared" si="2"/>
        <v>2204.6800000000003</v>
      </c>
      <c r="I20" s="168">
        <f>H20/'Pumping synergy loss'!$D$3</f>
        <v>19.410811762634271</v>
      </c>
    </row>
    <row r="21" spans="1:9" x14ac:dyDescent="0.5">
      <c r="A21">
        <v>1999</v>
      </c>
      <c r="B21" s="87">
        <f>'Farmer Income'!C21</f>
        <v>5126.8100000000004</v>
      </c>
      <c r="C21" s="88">
        <v>5152.34</v>
      </c>
      <c r="D21" s="167">
        <f t="shared" si="0"/>
        <v>1272.8000000000002</v>
      </c>
      <c r="E21" s="87">
        <f>'Farmer Income'!J21</f>
        <v>2128.46</v>
      </c>
      <c r="F21" s="88">
        <v>2139.06</v>
      </c>
      <c r="G21" s="167">
        <f t="shared" si="1"/>
        <v>1885.3000000000002</v>
      </c>
      <c r="H21" s="87">
        <f t="shared" si="2"/>
        <v>3158.1000000000004</v>
      </c>
      <c r="I21" s="168">
        <f>H21/'Pumping synergy loss'!$D$3</f>
        <v>27.805071315372427</v>
      </c>
    </row>
    <row r="22" spans="1:9" x14ac:dyDescent="0.5">
      <c r="A22">
        <v>2000</v>
      </c>
      <c r="B22" s="87">
        <f>'Farmer Income'!C22</f>
        <v>4000.66</v>
      </c>
      <c r="C22" s="88">
        <v>4065.12</v>
      </c>
      <c r="D22" s="167">
        <f t="shared" si="0"/>
        <v>2360.0200000000004</v>
      </c>
      <c r="E22" s="87">
        <f>'Farmer Income'!J22</f>
        <v>2359.4899999999998</v>
      </c>
      <c r="F22" s="88">
        <v>2397.5100000000002</v>
      </c>
      <c r="G22" s="167">
        <f t="shared" si="1"/>
        <v>1626.85</v>
      </c>
      <c r="H22" s="87">
        <f t="shared" si="2"/>
        <v>3986.8700000000003</v>
      </c>
      <c r="I22" s="168">
        <f>H22/'Pumping synergy loss'!$D$3</f>
        <v>35.101866525796801</v>
      </c>
    </row>
    <row r="23" spans="1:9" x14ac:dyDescent="0.5">
      <c r="A23">
        <v>2001</v>
      </c>
      <c r="B23" s="87">
        <f>'Farmer Income'!C23</f>
        <v>3669.0323276845888</v>
      </c>
      <c r="C23" s="88">
        <v>3743.23</v>
      </c>
      <c r="D23" s="167">
        <f t="shared" si="0"/>
        <v>2681.9100000000003</v>
      </c>
      <c r="E23" s="87">
        <f>'Farmer Income'!J23</f>
        <v>2183.1370455584665</v>
      </c>
      <c r="F23" s="88">
        <v>2227.29</v>
      </c>
      <c r="G23" s="167">
        <f t="shared" si="1"/>
        <v>1797.0700000000002</v>
      </c>
      <c r="H23" s="87">
        <f t="shared" si="2"/>
        <v>4478.9800000000005</v>
      </c>
      <c r="I23" s="168">
        <f>H23/'Pumping synergy loss'!$D$3</f>
        <v>39.434583553442515</v>
      </c>
    </row>
    <row r="24" spans="1:9" x14ac:dyDescent="0.5">
      <c r="A24">
        <v>2002</v>
      </c>
      <c r="B24" s="87">
        <f>'Farmer Income'!C24</f>
        <v>3744.3915925583751</v>
      </c>
      <c r="C24" s="88">
        <v>3867.03</v>
      </c>
      <c r="D24" s="167">
        <f t="shared" si="0"/>
        <v>2558.11</v>
      </c>
      <c r="E24" s="87">
        <f>'Farmer Income'!J24</f>
        <v>2106.9401465220953</v>
      </c>
      <c r="F24" s="88">
        <v>2175.9499999999998</v>
      </c>
      <c r="G24" s="167">
        <f t="shared" si="1"/>
        <v>1848.4100000000003</v>
      </c>
      <c r="H24" s="87">
        <f t="shared" si="2"/>
        <v>4406.5200000000004</v>
      </c>
      <c r="I24" s="168">
        <f>H24/'Pumping synergy loss'!$D$3</f>
        <v>38.796619123085051</v>
      </c>
    </row>
    <row r="25" spans="1:9" x14ac:dyDescent="0.5">
      <c r="A25">
        <v>2003</v>
      </c>
      <c r="B25" s="87">
        <f>'Farmer Income'!C25</f>
        <v>3421.6442939328449</v>
      </c>
      <c r="C25" s="88">
        <v>3544.59</v>
      </c>
      <c r="D25" s="167">
        <f t="shared" si="0"/>
        <v>2880.55</v>
      </c>
      <c r="E25" s="87">
        <f>'Farmer Income'!J25</f>
        <v>2018.0223070831382</v>
      </c>
      <c r="F25" s="88">
        <v>2090.54</v>
      </c>
      <c r="G25" s="167">
        <f t="shared" si="1"/>
        <v>1933.8200000000002</v>
      </c>
      <c r="H25" s="87">
        <f t="shared" si="2"/>
        <v>4814.3700000000008</v>
      </c>
      <c r="I25" s="168">
        <f>H25/'Pumping synergy loss'!$D$3</f>
        <v>42.387480190174337</v>
      </c>
    </row>
    <row r="26" spans="1:9" x14ac:dyDescent="0.5">
      <c r="A26">
        <v>2004</v>
      </c>
      <c r="B26" s="87">
        <f>'Farmer Income'!C26</f>
        <v>3671.926032523013</v>
      </c>
      <c r="C26" s="88">
        <v>3819.56</v>
      </c>
      <c r="D26" s="167">
        <f t="shared" si="0"/>
        <v>2605.5800000000004</v>
      </c>
      <c r="E26" s="87">
        <f>'Farmer Income'!J26</f>
        <v>1907.0296276484055</v>
      </c>
      <c r="F26" s="88">
        <v>1983.7</v>
      </c>
      <c r="G26" s="167">
        <f t="shared" si="1"/>
        <v>2040.66</v>
      </c>
      <c r="H26" s="87">
        <f t="shared" si="2"/>
        <v>4646.2400000000007</v>
      </c>
      <c r="I26" s="168">
        <f>H26/'Pumping synergy loss'!$D$3</f>
        <v>40.907201972178207</v>
      </c>
    </row>
    <row r="27" spans="1:9" x14ac:dyDescent="0.5">
      <c r="A27">
        <v>2005</v>
      </c>
      <c r="B27" s="87">
        <f>'Farmer Income'!C27</f>
        <v>3466.1143441620748</v>
      </c>
      <c r="C27" s="88">
        <v>3598.05</v>
      </c>
      <c r="D27" s="167">
        <f t="shared" si="0"/>
        <v>2827.09</v>
      </c>
      <c r="E27" s="87">
        <f>'Farmer Income'!J27</f>
        <v>1971.8105605673345</v>
      </c>
      <c r="F27" s="88">
        <v>2046.87</v>
      </c>
      <c r="G27" s="167">
        <f t="shared" si="1"/>
        <v>1977.4900000000002</v>
      </c>
      <c r="H27" s="87">
        <f t="shared" si="2"/>
        <v>4804.58</v>
      </c>
      <c r="I27" s="168">
        <f>H27/'Pumping synergy loss'!$D$3</f>
        <v>42.301285437577036</v>
      </c>
    </row>
    <row r="28" spans="1:9" x14ac:dyDescent="0.5">
      <c r="A28">
        <v>2006</v>
      </c>
      <c r="B28" s="87">
        <f>'Farmer Income'!C28</f>
        <v>2775.54</v>
      </c>
      <c r="C28" s="88">
        <v>2893.1</v>
      </c>
      <c r="D28" s="167">
        <f t="shared" si="0"/>
        <v>3532.0400000000004</v>
      </c>
      <c r="E28" s="87">
        <f>'Farmer Income'!J28</f>
        <v>1635.18</v>
      </c>
      <c r="F28" s="88">
        <v>1704.44</v>
      </c>
      <c r="G28" s="167">
        <f t="shared" si="1"/>
        <v>2319.92</v>
      </c>
      <c r="H28" s="87">
        <f t="shared" si="2"/>
        <v>5851.9600000000009</v>
      </c>
      <c r="I28" s="168">
        <f>H28/'Pumping synergy loss'!$D$3</f>
        <v>51.522803310441986</v>
      </c>
    </row>
    <row r="29" spans="1:9" x14ac:dyDescent="0.5">
      <c r="A29">
        <v>2007</v>
      </c>
      <c r="B29" s="87">
        <f>'Farmer Income'!C29</f>
        <v>2471.9499999999998</v>
      </c>
      <c r="C29" s="88">
        <v>2568.69</v>
      </c>
      <c r="D29" s="167">
        <f t="shared" si="0"/>
        <v>3856.4500000000003</v>
      </c>
      <c r="E29" s="87">
        <f>'Farmer Income'!J29</f>
        <v>2031.26</v>
      </c>
      <c r="F29" s="88">
        <v>2110.75</v>
      </c>
      <c r="G29" s="167">
        <f t="shared" si="1"/>
        <v>1913.6100000000001</v>
      </c>
      <c r="H29" s="87">
        <f t="shared" si="2"/>
        <v>5770.06</v>
      </c>
      <c r="I29" s="168">
        <f>H29/'Pumping synergy loss'!$D$3</f>
        <v>50.801725655925345</v>
      </c>
    </row>
    <row r="30" spans="1:9" x14ac:dyDescent="0.5">
      <c r="A30">
        <v>2008</v>
      </c>
      <c r="B30" s="87">
        <f>'Farmer Income'!C30</f>
        <v>2675.74</v>
      </c>
      <c r="C30" s="88">
        <v>2760.55</v>
      </c>
      <c r="D30" s="167">
        <f t="shared" si="0"/>
        <v>3664.59</v>
      </c>
      <c r="E30" s="87">
        <f>'Farmer Income'!J30</f>
        <v>1905.56</v>
      </c>
      <c r="F30" s="88">
        <v>1965.96</v>
      </c>
      <c r="G30" s="167">
        <f t="shared" si="1"/>
        <v>2058.4</v>
      </c>
      <c r="H30" s="87">
        <f t="shared" si="2"/>
        <v>5722.99</v>
      </c>
      <c r="I30" s="168">
        <f>H30/'Pumping synergy loss'!$D$3</f>
        <v>50.387304102835003</v>
      </c>
    </row>
    <row r="31" spans="1:9" x14ac:dyDescent="0.5">
      <c r="A31">
        <v>2009</v>
      </c>
      <c r="B31" s="87">
        <f>'Farmer Income'!C31</f>
        <v>2843.87</v>
      </c>
      <c r="C31" s="88">
        <v>2922.06</v>
      </c>
      <c r="D31" s="167">
        <f t="shared" si="0"/>
        <v>3503.0800000000004</v>
      </c>
      <c r="E31" s="87">
        <f>'Farmer Income'!J31</f>
        <v>1799.27</v>
      </c>
      <c r="F31" s="88">
        <v>1848.74</v>
      </c>
      <c r="G31" s="167">
        <f t="shared" si="1"/>
        <v>2175.62</v>
      </c>
      <c r="H31" s="87">
        <f t="shared" si="2"/>
        <v>5678.7000000000007</v>
      </c>
      <c r="I31" s="168">
        <f>H31/'Pumping synergy loss'!$D$3</f>
        <v>49.9973586899102</v>
      </c>
    </row>
    <row r="32" spans="1:9" x14ac:dyDescent="0.5">
      <c r="A32">
        <v>2010</v>
      </c>
      <c r="B32" s="87">
        <f>'Farmer Income'!C32</f>
        <v>3101.11</v>
      </c>
      <c r="C32" s="88">
        <v>3242.51</v>
      </c>
      <c r="D32" s="167">
        <f t="shared" si="0"/>
        <v>3182.63</v>
      </c>
      <c r="E32" s="87">
        <f>'Farmer Income'!J32</f>
        <v>1839.07</v>
      </c>
      <c r="F32" s="88">
        <v>1922.92</v>
      </c>
      <c r="G32" s="167">
        <f t="shared" si="1"/>
        <v>2101.44</v>
      </c>
      <c r="H32" s="87">
        <f t="shared" si="2"/>
        <v>5284.07</v>
      </c>
      <c r="I32" s="168">
        <f>H32/'Pumping synergy loss'!$D$3</f>
        <v>46.522891354111636</v>
      </c>
    </row>
    <row r="33" spans="1:9" x14ac:dyDescent="0.5">
      <c r="A33">
        <v>2011</v>
      </c>
      <c r="B33" s="87">
        <f>'Farmer Income'!C33</f>
        <v>2897.41</v>
      </c>
      <c r="C33" s="88">
        <v>3038.97</v>
      </c>
      <c r="D33" s="167">
        <f t="shared" si="0"/>
        <v>3386.1700000000005</v>
      </c>
      <c r="E33" s="87">
        <f>'Farmer Income'!J33</f>
        <v>1910.57</v>
      </c>
      <c r="F33" s="88">
        <v>2003.91</v>
      </c>
      <c r="G33" s="167">
        <f t="shared" si="1"/>
        <v>2020.45</v>
      </c>
      <c r="H33" s="87">
        <f t="shared" si="2"/>
        <v>5406.6200000000008</v>
      </c>
      <c r="I33" s="168">
        <f>H33/'Pumping synergy loss'!$D$3</f>
        <v>47.601866525796801</v>
      </c>
    </row>
    <row r="34" spans="1:9" x14ac:dyDescent="0.5">
      <c r="A34">
        <v>2012</v>
      </c>
      <c r="B34" s="87">
        <f>'Farmer Income'!C34</f>
        <v>2642.23</v>
      </c>
      <c r="C34" s="88">
        <v>2777.09</v>
      </c>
      <c r="D34" s="167">
        <f t="shared" si="0"/>
        <v>3648.05</v>
      </c>
      <c r="E34" s="87">
        <f>'Farmer Income'!J34</f>
        <v>1787.77</v>
      </c>
      <c r="F34" s="88">
        <v>1879.02</v>
      </c>
      <c r="G34" s="167">
        <f t="shared" si="1"/>
        <v>2145.34</v>
      </c>
      <c r="H34" s="87">
        <f t="shared" si="2"/>
        <v>5793.39</v>
      </c>
      <c r="I34" s="168">
        <f>H34/'Pumping synergy loss'!$D$3</f>
        <v>51.007131537242479</v>
      </c>
    </row>
    <row r="35" spans="1:9" x14ac:dyDescent="0.5">
      <c r="A35">
        <v>2013</v>
      </c>
      <c r="B35" s="87">
        <f>'Farmer Income'!C35</f>
        <v>2969.21</v>
      </c>
      <c r="C35" s="88">
        <v>3127.28</v>
      </c>
      <c r="D35" s="167">
        <f t="shared" si="0"/>
        <v>3297.86</v>
      </c>
      <c r="E35" s="87">
        <f>'Farmer Income'!J35</f>
        <v>1811.1</v>
      </c>
      <c r="F35" s="88">
        <v>1907.52</v>
      </c>
      <c r="G35" s="167">
        <f t="shared" si="1"/>
        <v>2116.84</v>
      </c>
      <c r="H35" s="87">
        <f t="shared" si="2"/>
        <v>5414.7000000000007</v>
      </c>
      <c r="I35" s="168">
        <f>H35/'Pumping synergy loss'!$D$3</f>
        <v>47.673005810882202</v>
      </c>
    </row>
    <row r="36" spans="1:9" x14ac:dyDescent="0.5">
      <c r="A36">
        <v>2014</v>
      </c>
      <c r="B36" s="87">
        <f>'Farmer Income'!C36</f>
        <v>3140</v>
      </c>
      <c r="C36" s="88">
        <v>3252.83</v>
      </c>
      <c r="D36" s="167">
        <f t="shared" si="0"/>
        <v>3172.3100000000004</v>
      </c>
      <c r="E36" s="87">
        <f>'Farmer Income'!J36</f>
        <v>1891.79</v>
      </c>
      <c r="F36" s="88">
        <v>1959.77</v>
      </c>
      <c r="G36" s="167">
        <f t="shared" si="1"/>
        <v>2064.59</v>
      </c>
      <c r="H36" s="87">
        <f t="shared" si="2"/>
        <v>5236.9000000000005</v>
      </c>
      <c r="I36" s="168">
        <f>H36/'Pumping synergy loss'!$D$3</f>
        <v>46.10758936432471</v>
      </c>
    </row>
    <row r="37" spans="1:9" x14ac:dyDescent="0.5">
      <c r="A37">
        <v>2015</v>
      </c>
      <c r="B37" s="87">
        <f>'Farmer Income'!C37</f>
        <v>3105.74</v>
      </c>
      <c r="C37" s="88">
        <v>3143.12</v>
      </c>
      <c r="D37" s="167">
        <f t="shared" si="0"/>
        <v>3282.0200000000004</v>
      </c>
      <c r="E37" s="87">
        <f>'Farmer Income'!J37</f>
        <v>1845.15</v>
      </c>
      <c r="F37" s="88">
        <v>1867.36</v>
      </c>
      <c r="G37" s="167">
        <f t="shared" si="1"/>
        <v>2157</v>
      </c>
      <c r="H37" s="87">
        <f t="shared" si="2"/>
        <v>5439.02</v>
      </c>
      <c r="I37" s="168">
        <f>H37/'Pumping synergy loss'!$D$3</f>
        <v>47.887128015495691</v>
      </c>
    </row>
    <row r="38" spans="1:9" x14ac:dyDescent="0.5">
      <c r="A38" s="48" t="s">
        <v>289</v>
      </c>
      <c r="B38" s="169">
        <f>SUM(B4:B37)</f>
        <v>136516.99859086087</v>
      </c>
      <c r="C38" s="169">
        <f>SUM(C4:C37)</f>
        <v>147583.03999999998</v>
      </c>
      <c r="D38" s="170">
        <f>SUM(D4:D37)</f>
        <v>70871.720000000016</v>
      </c>
      <c r="E38" s="169">
        <f>SUM(E4:E37)</f>
        <v>83991.419687379457</v>
      </c>
      <c r="F38" s="171">
        <f t="shared" ref="F38:G38" si="3">SUM(F4:F37)</f>
        <v>91320.440000000017</v>
      </c>
      <c r="G38" s="172">
        <f t="shared" si="3"/>
        <v>45507.8</v>
      </c>
      <c r="H38" s="169">
        <f>SUM(H4:H37)</f>
        <v>116379.52</v>
      </c>
      <c r="I38" s="173">
        <f>SUM(I4:I37)</f>
        <v>1024.6480014086987</v>
      </c>
    </row>
    <row r="39" spans="1:9" x14ac:dyDescent="0.5">
      <c r="A39" s="48"/>
      <c r="B39" s="45" t="s">
        <v>290</v>
      </c>
      <c r="D39" s="45"/>
    </row>
    <row r="40" spans="1:9" x14ac:dyDescent="0.5">
      <c r="A40" s="48"/>
      <c r="B40" s="45" t="s">
        <v>291</v>
      </c>
      <c r="D40" s="45"/>
    </row>
    <row r="41" spans="1:9" x14ac:dyDescent="0.5">
      <c r="A41" s="48"/>
      <c r="B41" s="45"/>
      <c r="D41" s="45"/>
    </row>
    <row r="42" spans="1:9" x14ac:dyDescent="0.5">
      <c r="A42" s="48"/>
      <c r="B42" s="45"/>
      <c r="D42" s="45"/>
    </row>
    <row r="43" spans="1:9" x14ac:dyDescent="0.5">
      <c r="A43" s="48"/>
      <c r="B43" s="45"/>
      <c r="D43" s="45"/>
    </row>
  </sheetData>
  <mergeCells count="6">
    <mergeCell ref="B1:D1"/>
    <mergeCell ref="E1:G1"/>
    <mergeCell ref="H1:I1"/>
    <mergeCell ref="B2:C2"/>
    <mergeCell ref="E2:F2"/>
    <mergeCell ref="H2:I2"/>
  </mergeCells>
  <phoneticPr fontId="2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179D-E3C9-944B-A504-E1BAAEF41BAB}">
  <dimension ref="A1:H19"/>
  <sheetViews>
    <sheetView workbookViewId="0">
      <selection activeCell="L26" sqref="L26"/>
    </sheetView>
  </sheetViews>
  <sheetFormatPr defaultColWidth="10.90625" defaultRowHeight="19.8" x14ac:dyDescent="0.5"/>
  <cols>
    <col min="6" max="6" width="13.6328125" bestFit="1" customWidth="1"/>
    <col min="8" max="8" width="11.1796875" bestFit="1" customWidth="1"/>
  </cols>
  <sheetData>
    <row r="1" spans="1:8" x14ac:dyDescent="0.5">
      <c r="A1" s="62" t="s">
        <v>292</v>
      </c>
    </row>
    <row r="3" spans="1:8" x14ac:dyDescent="0.5">
      <c r="A3" s="107" t="s">
        <v>293</v>
      </c>
    </row>
    <row r="4" spans="1:8" x14ac:dyDescent="0.5">
      <c r="A4" t="s">
        <v>159</v>
      </c>
      <c r="E4">
        <v>-4.4000000000000003E-3</v>
      </c>
      <c r="F4" t="s">
        <v>160</v>
      </c>
    </row>
    <row r="5" spans="1:8" x14ac:dyDescent="0.5">
      <c r="A5" s="107" t="s">
        <v>162</v>
      </c>
      <c r="E5" s="43">
        <v>32911668</v>
      </c>
      <c r="F5" t="s">
        <v>161</v>
      </c>
      <c r="G5" t="s">
        <v>163</v>
      </c>
    </row>
    <row r="6" spans="1:8" x14ac:dyDescent="0.5">
      <c r="A6" s="107" t="s">
        <v>166</v>
      </c>
      <c r="E6" s="45">
        <v>13.512477309132334</v>
      </c>
      <c r="F6" t="s">
        <v>148</v>
      </c>
      <c r="G6" t="s">
        <v>164</v>
      </c>
    </row>
    <row r="7" spans="1:8" x14ac:dyDescent="0.5">
      <c r="A7" s="107" t="s">
        <v>294</v>
      </c>
      <c r="D7" s="51"/>
      <c r="E7" s="75">
        <f>-5*E4*E5*E6</f>
        <v>9783799.6752253305</v>
      </c>
      <c r="F7" s="51" t="s">
        <v>295</v>
      </c>
      <c r="G7" s="77"/>
      <c r="H7" s="51"/>
    </row>
    <row r="8" spans="1:8" x14ac:dyDescent="0.5">
      <c r="D8" s="51"/>
      <c r="E8" s="51"/>
      <c r="F8" s="51"/>
      <c r="G8" s="51"/>
      <c r="H8" s="51"/>
    </row>
    <row r="9" spans="1:8" x14ac:dyDescent="0.5">
      <c r="A9" s="107" t="s">
        <v>296</v>
      </c>
      <c r="D9" s="51"/>
      <c r="E9" s="51"/>
      <c r="F9" s="51"/>
      <c r="G9" s="51"/>
      <c r="H9" s="51"/>
    </row>
    <row r="10" spans="1:8" x14ac:dyDescent="0.5">
      <c r="A10" s="21" t="s">
        <v>297</v>
      </c>
      <c r="D10" s="51"/>
      <c r="E10" s="51"/>
      <c r="F10" s="51"/>
      <c r="G10" s="51"/>
      <c r="H10" s="51"/>
    </row>
    <row r="11" spans="1:8" x14ac:dyDescent="0.5">
      <c r="A11" s="21" t="s">
        <v>298</v>
      </c>
      <c r="D11" s="51"/>
      <c r="E11" s="51"/>
      <c r="F11" s="51">
        <v>5</v>
      </c>
      <c r="G11" s="51" t="s">
        <v>86</v>
      </c>
      <c r="H11" s="51"/>
    </row>
    <row r="12" spans="1:8" x14ac:dyDescent="0.5">
      <c r="A12" s="21" t="s">
        <v>299</v>
      </c>
      <c r="D12" s="51"/>
      <c r="E12" s="51"/>
      <c r="F12" s="51">
        <v>100</v>
      </c>
      <c r="G12" s="51" t="s">
        <v>300</v>
      </c>
      <c r="H12" s="51"/>
    </row>
    <row r="13" spans="1:8" x14ac:dyDescent="0.5">
      <c r="A13" s="21" t="s">
        <v>301</v>
      </c>
      <c r="D13" s="51"/>
      <c r="E13" s="51"/>
      <c r="F13" s="75">
        <v>500000</v>
      </c>
      <c r="G13" s="51" t="s">
        <v>302</v>
      </c>
      <c r="H13" s="51"/>
    </row>
    <row r="14" spans="1:8" x14ac:dyDescent="0.5">
      <c r="A14" s="21" t="s">
        <v>303</v>
      </c>
      <c r="D14" s="51"/>
      <c r="E14" s="51"/>
      <c r="F14" s="75">
        <v>5000000</v>
      </c>
      <c r="G14" s="51" t="s">
        <v>302</v>
      </c>
      <c r="H14" s="51"/>
    </row>
    <row r="15" spans="1:8" x14ac:dyDescent="0.5">
      <c r="A15" s="21" t="s">
        <v>304</v>
      </c>
      <c r="D15" s="51"/>
      <c r="E15" s="51"/>
      <c r="F15" s="51">
        <f>F13/F14</f>
        <v>0.1</v>
      </c>
      <c r="G15" s="51"/>
      <c r="H15" s="51"/>
    </row>
    <row r="16" spans="1:8" x14ac:dyDescent="0.5">
      <c r="A16" s="21" t="s">
        <v>305</v>
      </c>
      <c r="D16" s="51"/>
      <c r="E16" s="51"/>
      <c r="F16" s="75">
        <v>70000000000</v>
      </c>
      <c r="G16" s="51" t="s">
        <v>295</v>
      </c>
      <c r="H16" s="51"/>
    </row>
    <row r="17" spans="1:8" x14ac:dyDescent="0.5">
      <c r="A17" s="21" t="s">
        <v>306</v>
      </c>
      <c r="D17" s="51"/>
      <c r="E17" s="51"/>
      <c r="F17" s="75">
        <f>F16*F15</f>
        <v>7000000000</v>
      </c>
      <c r="G17" s="51" t="s">
        <v>295</v>
      </c>
      <c r="H17" s="77"/>
    </row>
    <row r="19" spans="1:8" x14ac:dyDescent="0.5">
      <c r="A19" t="s">
        <v>307</v>
      </c>
      <c r="B19" s="21" t="s">
        <v>336</v>
      </c>
    </row>
  </sheetData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"/>
  <sheetViews>
    <sheetView workbookViewId="0"/>
  </sheetViews>
  <sheetFormatPr defaultColWidth="9" defaultRowHeight="36.75" customHeight="1" x14ac:dyDescent="0.2"/>
  <cols>
    <col min="1" max="1" width="29.36328125" style="29" customWidth="1"/>
    <col min="2" max="2" width="15.36328125" style="29" customWidth="1"/>
    <col min="3" max="3" width="14.1796875" style="25" customWidth="1"/>
    <col min="4" max="4" width="11" style="24" customWidth="1"/>
    <col min="5" max="5" width="13.453125" style="25" customWidth="1"/>
    <col min="6" max="6" width="11.81640625" style="26" customWidth="1"/>
    <col min="7" max="7" width="11.1796875" style="25" customWidth="1"/>
    <col min="8" max="8" width="18.81640625" style="25" customWidth="1"/>
    <col min="9" max="9" width="23" style="25" customWidth="1"/>
    <col min="10" max="10" width="22.36328125" style="27" customWidth="1"/>
    <col min="11" max="11" width="17.6328125" style="25" customWidth="1"/>
    <col min="12" max="12" width="11.1796875" style="28" bestFit="1" customWidth="1"/>
    <col min="13" max="13" width="13.36328125" style="28" customWidth="1"/>
    <col min="14" max="15" width="9" style="28"/>
    <col min="16" max="255" width="9" style="29"/>
    <col min="256" max="256" width="21.36328125" style="29" customWidth="1"/>
    <col min="257" max="257" width="14.1796875" style="29" customWidth="1"/>
    <col min="258" max="258" width="11.1796875" style="29" customWidth="1"/>
    <col min="259" max="259" width="15.453125" style="29" customWidth="1"/>
    <col min="260" max="260" width="16.1796875" style="29" customWidth="1"/>
    <col min="261" max="261" width="11.1796875" style="29" customWidth="1"/>
    <col min="262" max="262" width="17.453125" style="29" customWidth="1"/>
    <col min="263" max="263" width="28" style="29" customWidth="1"/>
    <col min="264" max="264" width="23.81640625" style="29" customWidth="1"/>
    <col min="265" max="265" width="23" style="29" customWidth="1"/>
    <col min="266" max="266" width="22" style="29" customWidth="1"/>
    <col min="267" max="267" width="17.6328125" style="29" customWidth="1"/>
    <col min="268" max="511" width="9" style="29"/>
    <col min="512" max="512" width="21.36328125" style="29" customWidth="1"/>
    <col min="513" max="513" width="14.1796875" style="29" customWidth="1"/>
    <col min="514" max="514" width="11.1796875" style="29" customWidth="1"/>
    <col min="515" max="515" width="15.453125" style="29" customWidth="1"/>
    <col min="516" max="516" width="16.1796875" style="29" customWidth="1"/>
    <col min="517" max="517" width="11.1796875" style="29" customWidth="1"/>
    <col min="518" max="518" width="17.453125" style="29" customWidth="1"/>
    <col min="519" max="519" width="28" style="29" customWidth="1"/>
    <col min="520" max="520" width="23.81640625" style="29" customWidth="1"/>
    <col min="521" max="521" width="23" style="29" customWidth="1"/>
    <col min="522" max="522" width="22" style="29" customWidth="1"/>
    <col min="523" max="523" width="17.6328125" style="29" customWidth="1"/>
    <col min="524" max="767" width="9" style="29"/>
    <col min="768" max="768" width="21.36328125" style="29" customWidth="1"/>
    <col min="769" max="769" width="14.1796875" style="29" customWidth="1"/>
    <col min="770" max="770" width="11.1796875" style="29" customWidth="1"/>
    <col min="771" max="771" width="15.453125" style="29" customWidth="1"/>
    <col min="772" max="772" width="16.1796875" style="29" customWidth="1"/>
    <col min="773" max="773" width="11.1796875" style="29" customWidth="1"/>
    <col min="774" max="774" width="17.453125" style="29" customWidth="1"/>
    <col min="775" max="775" width="28" style="29" customWidth="1"/>
    <col min="776" max="776" width="23.81640625" style="29" customWidth="1"/>
    <col min="777" max="777" width="23" style="29" customWidth="1"/>
    <col min="778" max="778" width="22" style="29" customWidth="1"/>
    <col min="779" max="779" width="17.6328125" style="29" customWidth="1"/>
    <col min="780" max="1023" width="9" style="29"/>
    <col min="1024" max="1024" width="21.36328125" style="29" customWidth="1"/>
    <col min="1025" max="1025" width="14.1796875" style="29" customWidth="1"/>
    <col min="1026" max="1026" width="11.1796875" style="29" customWidth="1"/>
    <col min="1027" max="1027" width="15.453125" style="29" customWidth="1"/>
    <col min="1028" max="1028" width="16.1796875" style="29" customWidth="1"/>
    <col min="1029" max="1029" width="11.1796875" style="29" customWidth="1"/>
    <col min="1030" max="1030" width="17.453125" style="29" customWidth="1"/>
    <col min="1031" max="1031" width="28" style="29" customWidth="1"/>
    <col min="1032" max="1032" width="23.81640625" style="29" customWidth="1"/>
    <col min="1033" max="1033" width="23" style="29" customWidth="1"/>
    <col min="1034" max="1034" width="22" style="29" customWidth="1"/>
    <col min="1035" max="1035" width="17.6328125" style="29" customWidth="1"/>
    <col min="1036" max="1279" width="9" style="29"/>
    <col min="1280" max="1280" width="21.36328125" style="29" customWidth="1"/>
    <col min="1281" max="1281" width="14.1796875" style="29" customWidth="1"/>
    <col min="1282" max="1282" width="11.1796875" style="29" customWidth="1"/>
    <col min="1283" max="1283" width="15.453125" style="29" customWidth="1"/>
    <col min="1284" max="1284" width="16.1796875" style="29" customWidth="1"/>
    <col min="1285" max="1285" width="11.1796875" style="29" customWidth="1"/>
    <col min="1286" max="1286" width="17.453125" style="29" customWidth="1"/>
    <col min="1287" max="1287" width="28" style="29" customWidth="1"/>
    <col min="1288" max="1288" width="23.81640625" style="29" customWidth="1"/>
    <col min="1289" max="1289" width="23" style="29" customWidth="1"/>
    <col min="1290" max="1290" width="22" style="29" customWidth="1"/>
    <col min="1291" max="1291" width="17.6328125" style="29" customWidth="1"/>
    <col min="1292" max="1535" width="9" style="29"/>
    <col min="1536" max="1536" width="21.36328125" style="29" customWidth="1"/>
    <col min="1537" max="1537" width="14.1796875" style="29" customWidth="1"/>
    <col min="1538" max="1538" width="11.1796875" style="29" customWidth="1"/>
    <col min="1539" max="1539" width="15.453125" style="29" customWidth="1"/>
    <col min="1540" max="1540" width="16.1796875" style="29" customWidth="1"/>
    <col min="1541" max="1541" width="11.1796875" style="29" customWidth="1"/>
    <col min="1542" max="1542" width="17.453125" style="29" customWidth="1"/>
    <col min="1543" max="1543" width="28" style="29" customWidth="1"/>
    <col min="1544" max="1544" width="23.81640625" style="29" customWidth="1"/>
    <col min="1545" max="1545" width="23" style="29" customWidth="1"/>
    <col min="1546" max="1546" width="22" style="29" customWidth="1"/>
    <col min="1547" max="1547" width="17.6328125" style="29" customWidth="1"/>
    <col min="1548" max="1791" width="9" style="29"/>
    <col min="1792" max="1792" width="21.36328125" style="29" customWidth="1"/>
    <col min="1793" max="1793" width="14.1796875" style="29" customWidth="1"/>
    <col min="1794" max="1794" width="11.1796875" style="29" customWidth="1"/>
    <col min="1795" max="1795" width="15.453125" style="29" customWidth="1"/>
    <col min="1796" max="1796" width="16.1796875" style="29" customWidth="1"/>
    <col min="1797" max="1797" width="11.1796875" style="29" customWidth="1"/>
    <col min="1798" max="1798" width="17.453125" style="29" customWidth="1"/>
    <col min="1799" max="1799" width="28" style="29" customWidth="1"/>
    <col min="1800" max="1800" width="23.81640625" style="29" customWidth="1"/>
    <col min="1801" max="1801" width="23" style="29" customWidth="1"/>
    <col min="1802" max="1802" width="22" style="29" customWidth="1"/>
    <col min="1803" max="1803" width="17.6328125" style="29" customWidth="1"/>
    <col min="1804" max="2047" width="9" style="29"/>
    <col min="2048" max="2048" width="21.36328125" style="29" customWidth="1"/>
    <col min="2049" max="2049" width="14.1796875" style="29" customWidth="1"/>
    <col min="2050" max="2050" width="11.1796875" style="29" customWidth="1"/>
    <col min="2051" max="2051" width="15.453125" style="29" customWidth="1"/>
    <col min="2052" max="2052" width="16.1796875" style="29" customWidth="1"/>
    <col min="2053" max="2053" width="11.1796875" style="29" customWidth="1"/>
    <col min="2054" max="2054" width="17.453125" style="29" customWidth="1"/>
    <col min="2055" max="2055" width="28" style="29" customWidth="1"/>
    <col min="2056" max="2056" width="23.81640625" style="29" customWidth="1"/>
    <col min="2057" max="2057" width="23" style="29" customWidth="1"/>
    <col min="2058" max="2058" width="22" style="29" customWidth="1"/>
    <col min="2059" max="2059" width="17.6328125" style="29" customWidth="1"/>
    <col min="2060" max="2303" width="9" style="29"/>
    <col min="2304" max="2304" width="21.36328125" style="29" customWidth="1"/>
    <col min="2305" max="2305" width="14.1796875" style="29" customWidth="1"/>
    <col min="2306" max="2306" width="11.1796875" style="29" customWidth="1"/>
    <col min="2307" max="2307" width="15.453125" style="29" customWidth="1"/>
    <col min="2308" max="2308" width="16.1796875" style="29" customWidth="1"/>
    <col min="2309" max="2309" width="11.1796875" style="29" customWidth="1"/>
    <col min="2310" max="2310" width="17.453125" style="29" customWidth="1"/>
    <col min="2311" max="2311" width="28" style="29" customWidth="1"/>
    <col min="2312" max="2312" width="23.81640625" style="29" customWidth="1"/>
    <col min="2313" max="2313" width="23" style="29" customWidth="1"/>
    <col min="2314" max="2314" width="22" style="29" customWidth="1"/>
    <col min="2315" max="2315" width="17.6328125" style="29" customWidth="1"/>
    <col min="2316" max="2559" width="9" style="29"/>
    <col min="2560" max="2560" width="21.36328125" style="29" customWidth="1"/>
    <col min="2561" max="2561" width="14.1796875" style="29" customWidth="1"/>
    <col min="2562" max="2562" width="11.1796875" style="29" customWidth="1"/>
    <col min="2563" max="2563" width="15.453125" style="29" customWidth="1"/>
    <col min="2564" max="2564" width="16.1796875" style="29" customWidth="1"/>
    <col min="2565" max="2565" width="11.1796875" style="29" customWidth="1"/>
    <col min="2566" max="2566" width="17.453125" style="29" customWidth="1"/>
    <col min="2567" max="2567" width="28" style="29" customWidth="1"/>
    <col min="2568" max="2568" width="23.81640625" style="29" customWidth="1"/>
    <col min="2569" max="2569" width="23" style="29" customWidth="1"/>
    <col min="2570" max="2570" width="22" style="29" customWidth="1"/>
    <col min="2571" max="2571" width="17.6328125" style="29" customWidth="1"/>
    <col min="2572" max="2815" width="9" style="29"/>
    <col min="2816" max="2816" width="21.36328125" style="29" customWidth="1"/>
    <col min="2817" max="2817" width="14.1796875" style="29" customWidth="1"/>
    <col min="2818" max="2818" width="11.1796875" style="29" customWidth="1"/>
    <col min="2819" max="2819" width="15.453125" style="29" customWidth="1"/>
    <col min="2820" max="2820" width="16.1796875" style="29" customWidth="1"/>
    <col min="2821" max="2821" width="11.1796875" style="29" customWidth="1"/>
    <col min="2822" max="2822" width="17.453125" style="29" customWidth="1"/>
    <col min="2823" max="2823" width="28" style="29" customWidth="1"/>
    <col min="2824" max="2824" width="23.81640625" style="29" customWidth="1"/>
    <col min="2825" max="2825" width="23" style="29" customWidth="1"/>
    <col min="2826" max="2826" width="22" style="29" customWidth="1"/>
    <col min="2827" max="2827" width="17.6328125" style="29" customWidth="1"/>
    <col min="2828" max="3071" width="9" style="29"/>
    <col min="3072" max="3072" width="21.36328125" style="29" customWidth="1"/>
    <col min="3073" max="3073" width="14.1796875" style="29" customWidth="1"/>
    <col min="3074" max="3074" width="11.1796875" style="29" customWidth="1"/>
    <col min="3075" max="3075" width="15.453125" style="29" customWidth="1"/>
    <col min="3076" max="3076" width="16.1796875" style="29" customWidth="1"/>
    <col min="3077" max="3077" width="11.1796875" style="29" customWidth="1"/>
    <col min="3078" max="3078" width="17.453125" style="29" customWidth="1"/>
    <col min="3079" max="3079" width="28" style="29" customWidth="1"/>
    <col min="3080" max="3080" width="23.81640625" style="29" customWidth="1"/>
    <col min="3081" max="3081" width="23" style="29" customWidth="1"/>
    <col min="3082" max="3082" width="22" style="29" customWidth="1"/>
    <col min="3083" max="3083" width="17.6328125" style="29" customWidth="1"/>
    <col min="3084" max="3327" width="9" style="29"/>
    <col min="3328" max="3328" width="21.36328125" style="29" customWidth="1"/>
    <col min="3329" max="3329" width="14.1796875" style="29" customWidth="1"/>
    <col min="3330" max="3330" width="11.1796875" style="29" customWidth="1"/>
    <col min="3331" max="3331" width="15.453125" style="29" customWidth="1"/>
    <col min="3332" max="3332" width="16.1796875" style="29" customWidth="1"/>
    <col min="3333" max="3333" width="11.1796875" style="29" customWidth="1"/>
    <col min="3334" max="3334" width="17.453125" style="29" customWidth="1"/>
    <col min="3335" max="3335" width="28" style="29" customWidth="1"/>
    <col min="3336" max="3336" width="23.81640625" style="29" customWidth="1"/>
    <col min="3337" max="3337" width="23" style="29" customWidth="1"/>
    <col min="3338" max="3338" width="22" style="29" customWidth="1"/>
    <col min="3339" max="3339" width="17.6328125" style="29" customWidth="1"/>
    <col min="3340" max="3583" width="9" style="29"/>
    <col min="3584" max="3584" width="21.36328125" style="29" customWidth="1"/>
    <col min="3585" max="3585" width="14.1796875" style="29" customWidth="1"/>
    <col min="3586" max="3586" width="11.1796875" style="29" customWidth="1"/>
    <col min="3587" max="3587" width="15.453125" style="29" customWidth="1"/>
    <col min="3588" max="3588" width="16.1796875" style="29" customWidth="1"/>
    <col min="3589" max="3589" width="11.1796875" style="29" customWidth="1"/>
    <col min="3590" max="3590" width="17.453125" style="29" customWidth="1"/>
    <col min="3591" max="3591" width="28" style="29" customWidth="1"/>
    <col min="3592" max="3592" width="23.81640625" style="29" customWidth="1"/>
    <col min="3593" max="3593" width="23" style="29" customWidth="1"/>
    <col min="3594" max="3594" width="22" style="29" customWidth="1"/>
    <col min="3595" max="3595" width="17.6328125" style="29" customWidth="1"/>
    <col min="3596" max="3839" width="9" style="29"/>
    <col min="3840" max="3840" width="21.36328125" style="29" customWidth="1"/>
    <col min="3841" max="3841" width="14.1796875" style="29" customWidth="1"/>
    <col min="3842" max="3842" width="11.1796875" style="29" customWidth="1"/>
    <col min="3843" max="3843" width="15.453125" style="29" customWidth="1"/>
    <col min="3844" max="3844" width="16.1796875" style="29" customWidth="1"/>
    <col min="3845" max="3845" width="11.1796875" style="29" customWidth="1"/>
    <col min="3846" max="3846" width="17.453125" style="29" customWidth="1"/>
    <col min="3847" max="3847" width="28" style="29" customWidth="1"/>
    <col min="3848" max="3848" width="23.81640625" style="29" customWidth="1"/>
    <col min="3849" max="3849" width="23" style="29" customWidth="1"/>
    <col min="3850" max="3850" width="22" style="29" customWidth="1"/>
    <col min="3851" max="3851" width="17.6328125" style="29" customWidth="1"/>
    <col min="3852" max="4095" width="9" style="29"/>
    <col min="4096" max="4096" width="21.36328125" style="29" customWidth="1"/>
    <col min="4097" max="4097" width="14.1796875" style="29" customWidth="1"/>
    <col min="4098" max="4098" width="11.1796875" style="29" customWidth="1"/>
    <col min="4099" max="4099" width="15.453125" style="29" customWidth="1"/>
    <col min="4100" max="4100" width="16.1796875" style="29" customWidth="1"/>
    <col min="4101" max="4101" width="11.1796875" style="29" customWidth="1"/>
    <col min="4102" max="4102" width="17.453125" style="29" customWidth="1"/>
    <col min="4103" max="4103" width="28" style="29" customWidth="1"/>
    <col min="4104" max="4104" width="23.81640625" style="29" customWidth="1"/>
    <col min="4105" max="4105" width="23" style="29" customWidth="1"/>
    <col min="4106" max="4106" width="22" style="29" customWidth="1"/>
    <col min="4107" max="4107" width="17.6328125" style="29" customWidth="1"/>
    <col min="4108" max="4351" width="9" style="29"/>
    <col min="4352" max="4352" width="21.36328125" style="29" customWidth="1"/>
    <col min="4353" max="4353" width="14.1796875" style="29" customWidth="1"/>
    <col min="4354" max="4354" width="11.1796875" style="29" customWidth="1"/>
    <col min="4355" max="4355" width="15.453125" style="29" customWidth="1"/>
    <col min="4356" max="4356" width="16.1796875" style="29" customWidth="1"/>
    <col min="4357" max="4357" width="11.1796875" style="29" customWidth="1"/>
    <col min="4358" max="4358" width="17.453125" style="29" customWidth="1"/>
    <col min="4359" max="4359" width="28" style="29" customWidth="1"/>
    <col min="4360" max="4360" width="23.81640625" style="29" customWidth="1"/>
    <col min="4361" max="4361" width="23" style="29" customWidth="1"/>
    <col min="4362" max="4362" width="22" style="29" customWidth="1"/>
    <col min="4363" max="4363" width="17.6328125" style="29" customWidth="1"/>
    <col min="4364" max="4607" width="9" style="29"/>
    <col min="4608" max="4608" width="21.36328125" style="29" customWidth="1"/>
    <col min="4609" max="4609" width="14.1796875" style="29" customWidth="1"/>
    <col min="4610" max="4610" width="11.1796875" style="29" customWidth="1"/>
    <col min="4611" max="4611" width="15.453125" style="29" customWidth="1"/>
    <col min="4612" max="4612" width="16.1796875" style="29" customWidth="1"/>
    <col min="4613" max="4613" width="11.1796875" style="29" customWidth="1"/>
    <col min="4614" max="4614" width="17.453125" style="29" customWidth="1"/>
    <col min="4615" max="4615" width="28" style="29" customWidth="1"/>
    <col min="4616" max="4616" width="23.81640625" style="29" customWidth="1"/>
    <col min="4617" max="4617" width="23" style="29" customWidth="1"/>
    <col min="4618" max="4618" width="22" style="29" customWidth="1"/>
    <col min="4619" max="4619" width="17.6328125" style="29" customWidth="1"/>
    <col min="4620" max="4863" width="9" style="29"/>
    <col min="4864" max="4864" width="21.36328125" style="29" customWidth="1"/>
    <col min="4865" max="4865" width="14.1796875" style="29" customWidth="1"/>
    <col min="4866" max="4866" width="11.1796875" style="29" customWidth="1"/>
    <col min="4867" max="4867" width="15.453125" style="29" customWidth="1"/>
    <col min="4868" max="4868" width="16.1796875" style="29" customWidth="1"/>
    <col min="4869" max="4869" width="11.1796875" style="29" customWidth="1"/>
    <col min="4870" max="4870" width="17.453125" style="29" customWidth="1"/>
    <col min="4871" max="4871" width="28" style="29" customWidth="1"/>
    <col min="4872" max="4872" width="23.81640625" style="29" customWidth="1"/>
    <col min="4873" max="4873" width="23" style="29" customWidth="1"/>
    <col min="4874" max="4874" width="22" style="29" customWidth="1"/>
    <col min="4875" max="4875" width="17.6328125" style="29" customWidth="1"/>
    <col min="4876" max="5119" width="9" style="29"/>
    <col min="5120" max="5120" width="21.36328125" style="29" customWidth="1"/>
    <col min="5121" max="5121" width="14.1796875" style="29" customWidth="1"/>
    <col min="5122" max="5122" width="11.1796875" style="29" customWidth="1"/>
    <col min="5123" max="5123" width="15.453125" style="29" customWidth="1"/>
    <col min="5124" max="5124" width="16.1796875" style="29" customWidth="1"/>
    <col min="5125" max="5125" width="11.1796875" style="29" customWidth="1"/>
    <col min="5126" max="5126" width="17.453125" style="29" customWidth="1"/>
    <col min="5127" max="5127" width="28" style="29" customWidth="1"/>
    <col min="5128" max="5128" width="23.81640625" style="29" customWidth="1"/>
    <col min="5129" max="5129" width="23" style="29" customWidth="1"/>
    <col min="5130" max="5130" width="22" style="29" customWidth="1"/>
    <col min="5131" max="5131" width="17.6328125" style="29" customWidth="1"/>
    <col min="5132" max="5375" width="9" style="29"/>
    <col min="5376" max="5376" width="21.36328125" style="29" customWidth="1"/>
    <col min="5377" max="5377" width="14.1796875" style="29" customWidth="1"/>
    <col min="5378" max="5378" width="11.1796875" style="29" customWidth="1"/>
    <col min="5379" max="5379" width="15.453125" style="29" customWidth="1"/>
    <col min="5380" max="5380" width="16.1796875" style="29" customWidth="1"/>
    <col min="5381" max="5381" width="11.1796875" style="29" customWidth="1"/>
    <col min="5382" max="5382" width="17.453125" style="29" customWidth="1"/>
    <col min="5383" max="5383" width="28" style="29" customWidth="1"/>
    <col min="5384" max="5384" width="23.81640625" style="29" customWidth="1"/>
    <col min="5385" max="5385" width="23" style="29" customWidth="1"/>
    <col min="5386" max="5386" width="22" style="29" customWidth="1"/>
    <col min="5387" max="5387" width="17.6328125" style="29" customWidth="1"/>
    <col min="5388" max="5631" width="9" style="29"/>
    <col min="5632" max="5632" width="21.36328125" style="29" customWidth="1"/>
    <col min="5633" max="5633" width="14.1796875" style="29" customWidth="1"/>
    <col min="5634" max="5634" width="11.1796875" style="29" customWidth="1"/>
    <col min="5635" max="5635" width="15.453125" style="29" customWidth="1"/>
    <col min="5636" max="5636" width="16.1796875" style="29" customWidth="1"/>
    <col min="5637" max="5637" width="11.1796875" style="29" customWidth="1"/>
    <col min="5638" max="5638" width="17.453125" style="29" customWidth="1"/>
    <col min="5639" max="5639" width="28" style="29" customWidth="1"/>
    <col min="5640" max="5640" width="23.81640625" style="29" customWidth="1"/>
    <col min="5641" max="5641" width="23" style="29" customWidth="1"/>
    <col min="5642" max="5642" width="22" style="29" customWidth="1"/>
    <col min="5643" max="5643" width="17.6328125" style="29" customWidth="1"/>
    <col min="5644" max="5887" width="9" style="29"/>
    <col min="5888" max="5888" width="21.36328125" style="29" customWidth="1"/>
    <col min="5889" max="5889" width="14.1796875" style="29" customWidth="1"/>
    <col min="5890" max="5890" width="11.1796875" style="29" customWidth="1"/>
    <col min="5891" max="5891" width="15.453125" style="29" customWidth="1"/>
    <col min="5892" max="5892" width="16.1796875" style="29" customWidth="1"/>
    <col min="5893" max="5893" width="11.1796875" style="29" customWidth="1"/>
    <col min="5894" max="5894" width="17.453125" style="29" customWidth="1"/>
    <col min="5895" max="5895" width="28" style="29" customWidth="1"/>
    <col min="5896" max="5896" width="23.81640625" style="29" customWidth="1"/>
    <col min="5897" max="5897" width="23" style="29" customWidth="1"/>
    <col min="5898" max="5898" width="22" style="29" customWidth="1"/>
    <col min="5899" max="5899" width="17.6328125" style="29" customWidth="1"/>
    <col min="5900" max="6143" width="9" style="29"/>
    <col min="6144" max="6144" width="21.36328125" style="29" customWidth="1"/>
    <col min="6145" max="6145" width="14.1796875" style="29" customWidth="1"/>
    <col min="6146" max="6146" width="11.1796875" style="29" customWidth="1"/>
    <col min="6147" max="6147" width="15.453125" style="29" customWidth="1"/>
    <col min="6148" max="6148" width="16.1796875" style="29" customWidth="1"/>
    <col min="6149" max="6149" width="11.1796875" style="29" customWidth="1"/>
    <col min="6150" max="6150" width="17.453125" style="29" customWidth="1"/>
    <col min="6151" max="6151" width="28" style="29" customWidth="1"/>
    <col min="6152" max="6152" width="23.81640625" style="29" customWidth="1"/>
    <col min="6153" max="6153" width="23" style="29" customWidth="1"/>
    <col min="6154" max="6154" width="22" style="29" customWidth="1"/>
    <col min="6155" max="6155" width="17.6328125" style="29" customWidth="1"/>
    <col min="6156" max="6399" width="9" style="29"/>
    <col min="6400" max="6400" width="21.36328125" style="29" customWidth="1"/>
    <col min="6401" max="6401" width="14.1796875" style="29" customWidth="1"/>
    <col min="6402" max="6402" width="11.1796875" style="29" customWidth="1"/>
    <col min="6403" max="6403" width="15.453125" style="29" customWidth="1"/>
    <col min="6404" max="6404" width="16.1796875" style="29" customWidth="1"/>
    <col min="6405" max="6405" width="11.1796875" style="29" customWidth="1"/>
    <col min="6406" max="6406" width="17.453125" style="29" customWidth="1"/>
    <col min="6407" max="6407" width="28" style="29" customWidth="1"/>
    <col min="6408" max="6408" width="23.81640625" style="29" customWidth="1"/>
    <col min="6409" max="6409" width="23" style="29" customWidth="1"/>
    <col min="6410" max="6410" width="22" style="29" customWidth="1"/>
    <col min="6411" max="6411" width="17.6328125" style="29" customWidth="1"/>
    <col min="6412" max="6655" width="9" style="29"/>
    <col min="6656" max="6656" width="21.36328125" style="29" customWidth="1"/>
    <col min="6657" max="6657" width="14.1796875" style="29" customWidth="1"/>
    <col min="6658" max="6658" width="11.1796875" style="29" customWidth="1"/>
    <col min="6659" max="6659" width="15.453125" style="29" customWidth="1"/>
    <col min="6660" max="6660" width="16.1796875" style="29" customWidth="1"/>
    <col min="6661" max="6661" width="11.1796875" style="29" customWidth="1"/>
    <col min="6662" max="6662" width="17.453125" style="29" customWidth="1"/>
    <col min="6663" max="6663" width="28" style="29" customWidth="1"/>
    <col min="6664" max="6664" width="23.81640625" style="29" customWidth="1"/>
    <col min="6665" max="6665" width="23" style="29" customWidth="1"/>
    <col min="6666" max="6666" width="22" style="29" customWidth="1"/>
    <col min="6667" max="6667" width="17.6328125" style="29" customWidth="1"/>
    <col min="6668" max="6911" width="9" style="29"/>
    <col min="6912" max="6912" width="21.36328125" style="29" customWidth="1"/>
    <col min="6913" max="6913" width="14.1796875" style="29" customWidth="1"/>
    <col min="6914" max="6914" width="11.1796875" style="29" customWidth="1"/>
    <col min="6915" max="6915" width="15.453125" style="29" customWidth="1"/>
    <col min="6916" max="6916" width="16.1796875" style="29" customWidth="1"/>
    <col min="6917" max="6917" width="11.1796875" style="29" customWidth="1"/>
    <col min="6918" max="6918" width="17.453125" style="29" customWidth="1"/>
    <col min="6919" max="6919" width="28" style="29" customWidth="1"/>
    <col min="6920" max="6920" width="23.81640625" style="29" customWidth="1"/>
    <col min="6921" max="6921" width="23" style="29" customWidth="1"/>
    <col min="6922" max="6922" width="22" style="29" customWidth="1"/>
    <col min="6923" max="6923" width="17.6328125" style="29" customWidth="1"/>
    <col min="6924" max="7167" width="9" style="29"/>
    <col min="7168" max="7168" width="21.36328125" style="29" customWidth="1"/>
    <col min="7169" max="7169" width="14.1796875" style="29" customWidth="1"/>
    <col min="7170" max="7170" width="11.1796875" style="29" customWidth="1"/>
    <col min="7171" max="7171" width="15.453125" style="29" customWidth="1"/>
    <col min="7172" max="7172" width="16.1796875" style="29" customWidth="1"/>
    <col min="7173" max="7173" width="11.1796875" style="29" customWidth="1"/>
    <col min="7174" max="7174" width="17.453125" style="29" customWidth="1"/>
    <col min="7175" max="7175" width="28" style="29" customWidth="1"/>
    <col min="7176" max="7176" width="23.81640625" style="29" customWidth="1"/>
    <col min="7177" max="7177" width="23" style="29" customWidth="1"/>
    <col min="7178" max="7178" width="22" style="29" customWidth="1"/>
    <col min="7179" max="7179" width="17.6328125" style="29" customWidth="1"/>
    <col min="7180" max="7423" width="9" style="29"/>
    <col min="7424" max="7424" width="21.36328125" style="29" customWidth="1"/>
    <col min="7425" max="7425" width="14.1796875" style="29" customWidth="1"/>
    <col min="7426" max="7426" width="11.1796875" style="29" customWidth="1"/>
    <col min="7427" max="7427" width="15.453125" style="29" customWidth="1"/>
    <col min="7428" max="7428" width="16.1796875" style="29" customWidth="1"/>
    <col min="7429" max="7429" width="11.1796875" style="29" customWidth="1"/>
    <col min="7430" max="7430" width="17.453125" style="29" customWidth="1"/>
    <col min="7431" max="7431" width="28" style="29" customWidth="1"/>
    <col min="7432" max="7432" width="23.81640625" style="29" customWidth="1"/>
    <col min="7433" max="7433" width="23" style="29" customWidth="1"/>
    <col min="7434" max="7434" width="22" style="29" customWidth="1"/>
    <col min="7435" max="7435" width="17.6328125" style="29" customWidth="1"/>
    <col min="7436" max="7679" width="9" style="29"/>
    <col min="7680" max="7680" width="21.36328125" style="29" customWidth="1"/>
    <col min="7681" max="7681" width="14.1796875" style="29" customWidth="1"/>
    <col min="7682" max="7682" width="11.1796875" style="29" customWidth="1"/>
    <col min="7683" max="7683" width="15.453125" style="29" customWidth="1"/>
    <col min="7684" max="7684" width="16.1796875" style="29" customWidth="1"/>
    <col min="7685" max="7685" width="11.1796875" style="29" customWidth="1"/>
    <col min="7686" max="7686" width="17.453125" style="29" customWidth="1"/>
    <col min="7687" max="7687" width="28" style="29" customWidth="1"/>
    <col min="7688" max="7688" width="23.81640625" style="29" customWidth="1"/>
    <col min="7689" max="7689" width="23" style="29" customWidth="1"/>
    <col min="7690" max="7690" width="22" style="29" customWidth="1"/>
    <col min="7691" max="7691" width="17.6328125" style="29" customWidth="1"/>
    <col min="7692" max="7935" width="9" style="29"/>
    <col min="7936" max="7936" width="21.36328125" style="29" customWidth="1"/>
    <col min="7937" max="7937" width="14.1796875" style="29" customWidth="1"/>
    <col min="7938" max="7938" width="11.1796875" style="29" customWidth="1"/>
    <col min="7939" max="7939" width="15.453125" style="29" customWidth="1"/>
    <col min="7940" max="7940" width="16.1796875" style="29" customWidth="1"/>
    <col min="7941" max="7941" width="11.1796875" style="29" customWidth="1"/>
    <col min="7942" max="7942" width="17.453125" style="29" customWidth="1"/>
    <col min="7943" max="7943" width="28" style="29" customWidth="1"/>
    <col min="7944" max="7944" width="23.81640625" style="29" customWidth="1"/>
    <col min="7945" max="7945" width="23" style="29" customWidth="1"/>
    <col min="7946" max="7946" width="22" style="29" customWidth="1"/>
    <col min="7947" max="7947" width="17.6328125" style="29" customWidth="1"/>
    <col min="7948" max="8191" width="9" style="29"/>
    <col min="8192" max="8192" width="21.36328125" style="29" customWidth="1"/>
    <col min="8193" max="8193" width="14.1796875" style="29" customWidth="1"/>
    <col min="8194" max="8194" width="11.1796875" style="29" customWidth="1"/>
    <col min="8195" max="8195" width="15.453125" style="29" customWidth="1"/>
    <col min="8196" max="8196" width="16.1796875" style="29" customWidth="1"/>
    <col min="8197" max="8197" width="11.1796875" style="29" customWidth="1"/>
    <col min="8198" max="8198" width="17.453125" style="29" customWidth="1"/>
    <col min="8199" max="8199" width="28" style="29" customWidth="1"/>
    <col min="8200" max="8200" width="23.81640625" style="29" customWidth="1"/>
    <col min="8201" max="8201" width="23" style="29" customWidth="1"/>
    <col min="8202" max="8202" width="22" style="29" customWidth="1"/>
    <col min="8203" max="8203" width="17.6328125" style="29" customWidth="1"/>
    <col min="8204" max="8447" width="9" style="29"/>
    <col min="8448" max="8448" width="21.36328125" style="29" customWidth="1"/>
    <col min="8449" max="8449" width="14.1796875" style="29" customWidth="1"/>
    <col min="8450" max="8450" width="11.1796875" style="29" customWidth="1"/>
    <col min="8451" max="8451" width="15.453125" style="29" customWidth="1"/>
    <col min="8452" max="8452" width="16.1796875" style="29" customWidth="1"/>
    <col min="8453" max="8453" width="11.1796875" style="29" customWidth="1"/>
    <col min="8454" max="8454" width="17.453125" style="29" customWidth="1"/>
    <col min="8455" max="8455" width="28" style="29" customWidth="1"/>
    <col min="8456" max="8456" width="23.81640625" style="29" customWidth="1"/>
    <col min="8457" max="8457" width="23" style="29" customWidth="1"/>
    <col min="8458" max="8458" width="22" style="29" customWidth="1"/>
    <col min="8459" max="8459" width="17.6328125" style="29" customWidth="1"/>
    <col min="8460" max="8703" width="9" style="29"/>
    <col min="8704" max="8704" width="21.36328125" style="29" customWidth="1"/>
    <col min="8705" max="8705" width="14.1796875" style="29" customWidth="1"/>
    <col min="8706" max="8706" width="11.1796875" style="29" customWidth="1"/>
    <col min="8707" max="8707" width="15.453125" style="29" customWidth="1"/>
    <col min="8708" max="8708" width="16.1796875" style="29" customWidth="1"/>
    <col min="8709" max="8709" width="11.1796875" style="29" customWidth="1"/>
    <col min="8710" max="8710" width="17.453125" style="29" customWidth="1"/>
    <col min="8711" max="8711" width="28" style="29" customWidth="1"/>
    <col min="8712" max="8712" width="23.81640625" style="29" customWidth="1"/>
    <col min="8713" max="8713" width="23" style="29" customWidth="1"/>
    <col min="8714" max="8714" width="22" style="29" customWidth="1"/>
    <col min="8715" max="8715" width="17.6328125" style="29" customWidth="1"/>
    <col min="8716" max="8959" width="9" style="29"/>
    <col min="8960" max="8960" width="21.36328125" style="29" customWidth="1"/>
    <col min="8961" max="8961" width="14.1796875" style="29" customWidth="1"/>
    <col min="8962" max="8962" width="11.1796875" style="29" customWidth="1"/>
    <col min="8963" max="8963" width="15.453125" style="29" customWidth="1"/>
    <col min="8964" max="8964" width="16.1796875" style="29" customWidth="1"/>
    <col min="8965" max="8965" width="11.1796875" style="29" customWidth="1"/>
    <col min="8966" max="8966" width="17.453125" style="29" customWidth="1"/>
    <col min="8967" max="8967" width="28" style="29" customWidth="1"/>
    <col min="8968" max="8968" width="23.81640625" style="29" customWidth="1"/>
    <col min="8969" max="8969" width="23" style="29" customWidth="1"/>
    <col min="8970" max="8970" width="22" style="29" customWidth="1"/>
    <col min="8971" max="8971" width="17.6328125" style="29" customWidth="1"/>
    <col min="8972" max="9215" width="9" style="29"/>
    <col min="9216" max="9216" width="21.36328125" style="29" customWidth="1"/>
    <col min="9217" max="9217" width="14.1796875" style="29" customWidth="1"/>
    <col min="9218" max="9218" width="11.1796875" style="29" customWidth="1"/>
    <col min="9219" max="9219" width="15.453125" style="29" customWidth="1"/>
    <col min="9220" max="9220" width="16.1796875" style="29" customWidth="1"/>
    <col min="9221" max="9221" width="11.1796875" style="29" customWidth="1"/>
    <col min="9222" max="9222" width="17.453125" style="29" customWidth="1"/>
    <col min="9223" max="9223" width="28" style="29" customWidth="1"/>
    <col min="9224" max="9224" width="23.81640625" style="29" customWidth="1"/>
    <col min="9225" max="9225" width="23" style="29" customWidth="1"/>
    <col min="9226" max="9226" width="22" style="29" customWidth="1"/>
    <col min="9227" max="9227" width="17.6328125" style="29" customWidth="1"/>
    <col min="9228" max="9471" width="9" style="29"/>
    <col min="9472" max="9472" width="21.36328125" style="29" customWidth="1"/>
    <col min="9473" max="9473" width="14.1796875" style="29" customWidth="1"/>
    <col min="9474" max="9474" width="11.1796875" style="29" customWidth="1"/>
    <col min="9475" max="9475" width="15.453125" style="29" customWidth="1"/>
    <col min="9476" max="9476" width="16.1796875" style="29" customWidth="1"/>
    <col min="9477" max="9477" width="11.1796875" style="29" customWidth="1"/>
    <col min="9478" max="9478" width="17.453125" style="29" customWidth="1"/>
    <col min="9479" max="9479" width="28" style="29" customWidth="1"/>
    <col min="9480" max="9480" width="23.81640625" style="29" customWidth="1"/>
    <col min="9481" max="9481" width="23" style="29" customWidth="1"/>
    <col min="9482" max="9482" width="22" style="29" customWidth="1"/>
    <col min="9483" max="9483" width="17.6328125" style="29" customWidth="1"/>
    <col min="9484" max="9727" width="9" style="29"/>
    <col min="9728" max="9728" width="21.36328125" style="29" customWidth="1"/>
    <col min="9729" max="9729" width="14.1796875" style="29" customWidth="1"/>
    <col min="9730" max="9730" width="11.1796875" style="29" customWidth="1"/>
    <col min="9731" max="9731" width="15.453125" style="29" customWidth="1"/>
    <col min="9732" max="9732" width="16.1796875" style="29" customWidth="1"/>
    <col min="9733" max="9733" width="11.1796875" style="29" customWidth="1"/>
    <col min="9734" max="9734" width="17.453125" style="29" customWidth="1"/>
    <col min="9735" max="9735" width="28" style="29" customWidth="1"/>
    <col min="9736" max="9736" width="23.81640625" style="29" customWidth="1"/>
    <col min="9737" max="9737" width="23" style="29" customWidth="1"/>
    <col min="9738" max="9738" width="22" style="29" customWidth="1"/>
    <col min="9739" max="9739" width="17.6328125" style="29" customWidth="1"/>
    <col min="9740" max="9983" width="9" style="29"/>
    <col min="9984" max="9984" width="21.36328125" style="29" customWidth="1"/>
    <col min="9985" max="9985" width="14.1796875" style="29" customWidth="1"/>
    <col min="9986" max="9986" width="11.1796875" style="29" customWidth="1"/>
    <col min="9987" max="9987" width="15.453125" style="29" customWidth="1"/>
    <col min="9988" max="9988" width="16.1796875" style="29" customWidth="1"/>
    <col min="9989" max="9989" width="11.1796875" style="29" customWidth="1"/>
    <col min="9990" max="9990" width="17.453125" style="29" customWidth="1"/>
    <col min="9991" max="9991" width="28" style="29" customWidth="1"/>
    <col min="9992" max="9992" width="23.81640625" style="29" customWidth="1"/>
    <col min="9993" max="9993" width="23" style="29" customWidth="1"/>
    <col min="9994" max="9994" width="22" style="29" customWidth="1"/>
    <col min="9995" max="9995" width="17.6328125" style="29" customWidth="1"/>
    <col min="9996" max="10239" width="9" style="29"/>
    <col min="10240" max="10240" width="21.36328125" style="29" customWidth="1"/>
    <col min="10241" max="10241" width="14.1796875" style="29" customWidth="1"/>
    <col min="10242" max="10242" width="11.1796875" style="29" customWidth="1"/>
    <col min="10243" max="10243" width="15.453125" style="29" customWidth="1"/>
    <col min="10244" max="10244" width="16.1796875" style="29" customWidth="1"/>
    <col min="10245" max="10245" width="11.1796875" style="29" customWidth="1"/>
    <col min="10246" max="10246" width="17.453125" style="29" customWidth="1"/>
    <col min="10247" max="10247" width="28" style="29" customWidth="1"/>
    <col min="10248" max="10248" width="23.81640625" style="29" customWidth="1"/>
    <col min="10249" max="10249" width="23" style="29" customWidth="1"/>
    <col min="10250" max="10250" width="22" style="29" customWidth="1"/>
    <col min="10251" max="10251" width="17.6328125" style="29" customWidth="1"/>
    <col min="10252" max="10495" width="9" style="29"/>
    <col min="10496" max="10496" width="21.36328125" style="29" customWidth="1"/>
    <col min="10497" max="10497" width="14.1796875" style="29" customWidth="1"/>
    <col min="10498" max="10498" width="11.1796875" style="29" customWidth="1"/>
    <col min="10499" max="10499" width="15.453125" style="29" customWidth="1"/>
    <col min="10500" max="10500" width="16.1796875" style="29" customWidth="1"/>
    <col min="10501" max="10501" width="11.1796875" style="29" customWidth="1"/>
    <col min="10502" max="10502" width="17.453125" style="29" customWidth="1"/>
    <col min="10503" max="10503" width="28" style="29" customWidth="1"/>
    <col min="10504" max="10504" width="23.81640625" style="29" customWidth="1"/>
    <col min="10505" max="10505" width="23" style="29" customWidth="1"/>
    <col min="10506" max="10506" width="22" style="29" customWidth="1"/>
    <col min="10507" max="10507" width="17.6328125" style="29" customWidth="1"/>
    <col min="10508" max="10751" width="9" style="29"/>
    <col min="10752" max="10752" width="21.36328125" style="29" customWidth="1"/>
    <col min="10753" max="10753" width="14.1796875" style="29" customWidth="1"/>
    <col min="10754" max="10754" width="11.1796875" style="29" customWidth="1"/>
    <col min="10755" max="10755" width="15.453125" style="29" customWidth="1"/>
    <col min="10756" max="10756" width="16.1796875" style="29" customWidth="1"/>
    <col min="10757" max="10757" width="11.1796875" style="29" customWidth="1"/>
    <col min="10758" max="10758" width="17.453125" style="29" customWidth="1"/>
    <col min="10759" max="10759" width="28" style="29" customWidth="1"/>
    <col min="10760" max="10760" width="23.81640625" style="29" customWidth="1"/>
    <col min="10761" max="10761" width="23" style="29" customWidth="1"/>
    <col min="10762" max="10762" width="22" style="29" customWidth="1"/>
    <col min="10763" max="10763" width="17.6328125" style="29" customWidth="1"/>
    <col min="10764" max="11007" width="9" style="29"/>
    <col min="11008" max="11008" width="21.36328125" style="29" customWidth="1"/>
    <col min="11009" max="11009" width="14.1796875" style="29" customWidth="1"/>
    <col min="11010" max="11010" width="11.1796875" style="29" customWidth="1"/>
    <col min="11011" max="11011" width="15.453125" style="29" customWidth="1"/>
    <col min="11012" max="11012" width="16.1796875" style="29" customWidth="1"/>
    <col min="11013" max="11013" width="11.1796875" style="29" customWidth="1"/>
    <col min="11014" max="11014" width="17.453125" style="29" customWidth="1"/>
    <col min="11015" max="11015" width="28" style="29" customWidth="1"/>
    <col min="11016" max="11016" width="23.81640625" style="29" customWidth="1"/>
    <col min="11017" max="11017" width="23" style="29" customWidth="1"/>
    <col min="11018" max="11018" width="22" style="29" customWidth="1"/>
    <col min="11019" max="11019" width="17.6328125" style="29" customWidth="1"/>
    <col min="11020" max="11263" width="9" style="29"/>
    <col min="11264" max="11264" width="21.36328125" style="29" customWidth="1"/>
    <col min="11265" max="11265" width="14.1796875" style="29" customWidth="1"/>
    <col min="11266" max="11266" width="11.1796875" style="29" customWidth="1"/>
    <col min="11267" max="11267" width="15.453125" style="29" customWidth="1"/>
    <col min="11268" max="11268" width="16.1796875" style="29" customWidth="1"/>
    <col min="11269" max="11269" width="11.1796875" style="29" customWidth="1"/>
    <col min="11270" max="11270" width="17.453125" style="29" customWidth="1"/>
    <col min="11271" max="11271" width="28" style="29" customWidth="1"/>
    <col min="11272" max="11272" width="23.81640625" style="29" customWidth="1"/>
    <col min="11273" max="11273" width="23" style="29" customWidth="1"/>
    <col min="11274" max="11274" width="22" style="29" customWidth="1"/>
    <col min="11275" max="11275" width="17.6328125" style="29" customWidth="1"/>
    <col min="11276" max="11519" width="9" style="29"/>
    <col min="11520" max="11520" width="21.36328125" style="29" customWidth="1"/>
    <col min="11521" max="11521" width="14.1796875" style="29" customWidth="1"/>
    <col min="11522" max="11522" width="11.1796875" style="29" customWidth="1"/>
    <col min="11523" max="11523" width="15.453125" style="29" customWidth="1"/>
    <col min="11524" max="11524" width="16.1796875" style="29" customWidth="1"/>
    <col min="11525" max="11525" width="11.1796875" style="29" customWidth="1"/>
    <col min="11526" max="11526" width="17.453125" style="29" customWidth="1"/>
    <col min="11527" max="11527" width="28" style="29" customWidth="1"/>
    <col min="11528" max="11528" width="23.81640625" style="29" customWidth="1"/>
    <col min="11529" max="11529" width="23" style="29" customWidth="1"/>
    <col min="11530" max="11530" width="22" style="29" customWidth="1"/>
    <col min="11531" max="11531" width="17.6328125" style="29" customWidth="1"/>
    <col min="11532" max="11775" width="9" style="29"/>
    <col min="11776" max="11776" width="21.36328125" style="29" customWidth="1"/>
    <col min="11777" max="11777" width="14.1796875" style="29" customWidth="1"/>
    <col min="11778" max="11778" width="11.1796875" style="29" customWidth="1"/>
    <col min="11779" max="11779" width="15.453125" style="29" customWidth="1"/>
    <col min="11780" max="11780" width="16.1796875" style="29" customWidth="1"/>
    <col min="11781" max="11781" width="11.1796875" style="29" customWidth="1"/>
    <col min="11782" max="11782" width="17.453125" style="29" customWidth="1"/>
    <col min="11783" max="11783" width="28" style="29" customWidth="1"/>
    <col min="11784" max="11784" width="23.81640625" style="29" customWidth="1"/>
    <col min="11785" max="11785" width="23" style="29" customWidth="1"/>
    <col min="11786" max="11786" width="22" style="29" customWidth="1"/>
    <col min="11787" max="11787" width="17.6328125" style="29" customWidth="1"/>
    <col min="11788" max="12031" width="9" style="29"/>
    <col min="12032" max="12032" width="21.36328125" style="29" customWidth="1"/>
    <col min="12033" max="12033" width="14.1796875" style="29" customWidth="1"/>
    <col min="12034" max="12034" width="11.1796875" style="29" customWidth="1"/>
    <col min="12035" max="12035" width="15.453125" style="29" customWidth="1"/>
    <col min="12036" max="12036" width="16.1796875" style="29" customWidth="1"/>
    <col min="12037" max="12037" width="11.1796875" style="29" customWidth="1"/>
    <col min="12038" max="12038" width="17.453125" style="29" customWidth="1"/>
    <col min="12039" max="12039" width="28" style="29" customWidth="1"/>
    <col min="12040" max="12040" width="23.81640625" style="29" customWidth="1"/>
    <col min="12041" max="12041" width="23" style="29" customWidth="1"/>
    <col min="12042" max="12042" width="22" style="29" customWidth="1"/>
    <col min="12043" max="12043" width="17.6328125" style="29" customWidth="1"/>
    <col min="12044" max="12287" width="9" style="29"/>
    <col min="12288" max="12288" width="21.36328125" style="29" customWidth="1"/>
    <col min="12289" max="12289" width="14.1796875" style="29" customWidth="1"/>
    <col min="12290" max="12290" width="11.1796875" style="29" customWidth="1"/>
    <col min="12291" max="12291" width="15.453125" style="29" customWidth="1"/>
    <col min="12292" max="12292" width="16.1796875" style="29" customWidth="1"/>
    <col min="12293" max="12293" width="11.1796875" style="29" customWidth="1"/>
    <col min="12294" max="12294" width="17.453125" style="29" customWidth="1"/>
    <col min="12295" max="12295" width="28" style="29" customWidth="1"/>
    <col min="12296" max="12296" width="23.81640625" style="29" customWidth="1"/>
    <col min="12297" max="12297" width="23" style="29" customWidth="1"/>
    <col min="12298" max="12298" width="22" style="29" customWidth="1"/>
    <col min="12299" max="12299" width="17.6328125" style="29" customWidth="1"/>
    <col min="12300" max="12543" width="9" style="29"/>
    <col min="12544" max="12544" width="21.36328125" style="29" customWidth="1"/>
    <col min="12545" max="12545" width="14.1796875" style="29" customWidth="1"/>
    <col min="12546" max="12546" width="11.1796875" style="29" customWidth="1"/>
    <col min="12547" max="12547" width="15.453125" style="29" customWidth="1"/>
    <col min="12548" max="12548" width="16.1796875" style="29" customWidth="1"/>
    <col min="12549" max="12549" width="11.1796875" style="29" customWidth="1"/>
    <col min="12550" max="12550" width="17.453125" style="29" customWidth="1"/>
    <col min="12551" max="12551" width="28" style="29" customWidth="1"/>
    <col min="12552" max="12552" width="23.81640625" style="29" customWidth="1"/>
    <col min="12553" max="12553" width="23" style="29" customWidth="1"/>
    <col min="12554" max="12554" width="22" style="29" customWidth="1"/>
    <col min="12555" max="12555" width="17.6328125" style="29" customWidth="1"/>
    <col min="12556" max="12799" width="9" style="29"/>
    <col min="12800" max="12800" width="21.36328125" style="29" customWidth="1"/>
    <col min="12801" max="12801" width="14.1796875" style="29" customWidth="1"/>
    <col min="12802" max="12802" width="11.1796875" style="29" customWidth="1"/>
    <col min="12803" max="12803" width="15.453125" style="29" customWidth="1"/>
    <col min="12804" max="12804" width="16.1796875" style="29" customWidth="1"/>
    <col min="12805" max="12805" width="11.1796875" style="29" customWidth="1"/>
    <col min="12806" max="12806" width="17.453125" style="29" customWidth="1"/>
    <col min="12807" max="12807" width="28" style="29" customWidth="1"/>
    <col min="12808" max="12808" width="23.81640625" style="29" customWidth="1"/>
    <col min="12809" max="12809" width="23" style="29" customWidth="1"/>
    <col min="12810" max="12810" width="22" style="29" customWidth="1"/>
    <col min="12811" max="12811" width="17.6328125" style="29" customWidth="1"/>
    <col min="12812" max="13055" width="9" style="29"/>
    <col min="13056" max="13056" width="21.36328125" style="29" customWidth="1"/>
    <col min="13057" max="13057" width="14.1796875" style="29" customWidth="1"/>
    <col min="13058" max="13058" width="11.1796875" style="29" customWidth="1"/>
    <col min="13059" max="13059" width="15.453125" style="29" customWidth="1"/>
    <col min="13060" max="13060" width="16.1796875" style="29" customWidth="1"/>
    <col min="13061" max="13061" width="11.1796875" style="29" customWidth="1"/>
    <col min="13062" max="13062" width="17.453125" style="29" customWidth="1"/>
    <col min="13063" max="13063" width="28" style="29" customWidth="1"/>
    <col min="13064" max="13064" width="23.81640625" style="29" customWidth="1"/>
    <col min="13065" max="13065" width="23" style="29" customWidth="1"/>
    <col min="13066" max="13066" width="22" style="29" customWidth="1"/>
    <col min="13067" max="13067" width="17.6328125" style="29" customWidth="1"/>
    <col min="13068" max="13311" width="9" style="29"/>
    <col min="13312" max="13312" width="21.36328125" style="29" customWidth="1"/>
    <col min="13313" max="13313" width="14.1796875" style="29" customWidth="1"/>
    <col min="13314" max="13314" width="11.1796875" style="29" customWidth="1"/>
    <col min="13315" max="13315" width="15.453125" style="29" customWidth="1"/>
    <col min="13316" max="13316" width="16.1796875" style="29" customWidth="1"/>
    <col min="13317" max="13317" width="11.1796875" style="29" customWidth="1"/>
    <col min="13318" max="13318" width="17.453125" style="29" customWidth="1"/>
    <col min="13319" max="13319" width="28" style="29" customWidth="1"/>
    <col min="13320" max="13320" width="23.81640625" style="29" customWidth="1"/>
    <col min="13321" max="13321" width="23" style="29" customWidth="1"/>
    <col min="13322" max="13322" width="22" style="29" customWidth="1"/>
    <col min="13323" max="13323" width="17.6328125" style="29" customWidth="1"/>
    <col min="13324" max="13567" width="9" style="29"/>
    <col min="13568" max="13568" width="21.36328125" style="29" customWidth="1"/>
    <col min="13569" max="13569" width="14.1796875" style="29" customWidth="1"/>
    <col min="13570" max="13570" width="11.1796875" style="29" customWidth="1"/>
    <col min="13571" max="13571" width="15.453125" style="29" customWidth="1"/>
    <col min="13572" max="13572" width="16.1796875" style="29" customWidth="1"/>
    <col min="13573" max="13573" width="11.1796875" style="29" customWidth="1"/>
    <col min="13574" max="13574" width="17.453125" style="29" customWidth="1"/>
    <col min="13575" max="13575" width="28" style="29" customWidth="1"/>
    <col min="13576" max="13576" width="23.81640625" style="29" customWidth="1"/>
    <col min="13577" max="13577" width="23" style="29" customWidth="1"/>
    <col min="13578" max="13578" width="22" style="29" customWidth="1"/>
    <col min="13579" max="13579" width="17.6328125" style="29" customWidth="1"/>
    <col min="13580" max="13823" width="9" style="29"/>
    <col min="13824" max="13824" width="21.36328125" style="29" customWidth="1"/>
    <col min="13825" max="13825" width="14.1796875" style="29" customWidth="1"/>
    <col min="13826" max="13826" width="11.1796875" style="29" customWidth="1"/>
    <col min="13827" max="13827" width="15.453125" style="29" customWidth="1"/>
    <col min="13828" max="13828" width="16.1796875" style="29" customWidth="1"/>
    <col min="13829" max="13829" width="11.1796875" style="29" customWidth="1"/>
    <col min="13830" max="13830" width="17.453125" style="29" customWidth="1"/>
    <col min="13831" max="13831" width="28" style="29" customWidth="1"/>
    <col min="13832" max="13832" width="23.81640625" style="29" customWidth="1"/>
    <col min="13833" max="13833" width="23" style="29" customWidth="1"/>
    <col min="13834" max="13834" width="22" style="29" customWidth="1"/>
    <col min="13835" max="13835" width="17.6328125" style="29" customWidth="1"/>
    <col min="13836" max="14079" width="9" style="29"/>
    <col min="14080" max="14080" width="21.36328125" style="29" customWidth="1"/>
    <col min="14081" max="14081" width="14.1796875" style="29" customWidth="1"/>
    <col min="14082" max="14082" width="11.1796875" style="29" customWidth="1"/>
    <col min="14083" max="14083" width="15.453125" style="29" customWidth="1"/>
    <col min="14084" max="14084" width="16.1796875" style="29" customWidth="1"/>
    <col min="14085" max="14085" width="11.1796875" style="29" customWidth="1"/>
    <col min="14086" max="14086" width="17.453125" style="29" customWidth="1"/>
    <col min="14087" max="14087" width="28" style="29" customWidth="1"/>
    <col min="14088" max="14088" width="23.81640625" style="29" customWidth="1"/>
    <col min="14089" max="14089" width="23" style="29" customWidth="1"/>
    <col min="14090" max="14090" width="22" style="29" customWidth="1"/>
    <col min="14091" max="14091" width="17.6328125" style="29" customWidth="1"/>
    <col min="14092" max="14335" width="9" style="29"/>
    <col min="14336" max="14336" width="21.36328125" style="29" customWidth="1"/>
    <col min="14337" max="14337" width="14.1796875" style="29" customWidth="1"/>
    <col min="14338" max="14338" width="11.1796875" style="29" customWidth="1"/>
    <col min="14339" max="14339" width="15.453125" style="29" customWidth="1"/>
    <col min="14340" max="14340" width="16.1796875" style="29" customWidth="1"/>
    <col min="14341" max="14341" width="11.1796875" style="29" customWidth="1"/>
    <col min="14342" max="14342" width="17.453125" style="29" customWidth="1"/>
    <col min="14343" max="14343" width="28" style="29" customWidth="1"/>
    <col min="14344" max="14344" width="23.81640625" style="29" customWidth="1"/>
    <col min="14345" max="14345" width="23" style="29" customWidth="1"/>
    <col min="14346" max="14346" width="22" style="29" customWidth="1"/>
    <col min="14347" max="14347" width="17.6328125" style="29" customWidth="1"/>
    <col min="14348" max="14591" width="9" style="29"/>
    <col min="14592" max="14592" width="21.36328125" style="29" customWidth="1"/>
    <col min="14593" max="14593" width="14.1796875" style="29" customWidth="1"/>
    <col min="14594" max="14594" width="11.1796875" style="29" customWidth="1"/>
    <col min="14595" max="14595" width="15.453125" style="29" customWidth="1"/>
    <col min="14596" max="14596" width="16.1796875" style="29" customWidth="1"/>
    <col min="14597" max="14597" width="11.1796875" style="29" customWidth="1"/>
    <col min="14598" max="14598" width="17.453125" style="29" customWidth="1"/>
    <col min="14599" max="14599" width="28" style="29" customWidth="1"/>
    <col min="14600" max="14600" width="23.81640625" style="29" customWidth="1"/>
    <col min="14601" max="14601" width="23" style="29" customWidth="1"/>
    <col min="14602" max="14602" width="22" style="29" customWidth="1"/>
    <col min="14603" max="14603" width="17.6328125" style="29" customWidth="1"/>
    <col min="14604" max="14847" width="9" style="29"/>
    <col min="14848" max="14848" width="21.36328125" style="29" customWidth="1"/>
    <col min="14849" max="14849" width="14.1796875" style="29" customWidth="1"/>
    <col min="14850" max="14850" width="11.1796875" style="29" customWidth="1"/>
    <col min="14851" max="14851" width="15.453125" style="29" customWidth="1"/>
    <col min="14852" max="14852" width="16.1796875" style="29" customWidth="1"/>
    <col min="14853" max="14853" width="11.1796875" style="29" customWidth="1"/>
    <col min="14854" max="14854" width="17.453125" style="29" customWidth="1"/>
    <col min="14855" max="14855" width="28" style="29" customWidth="1"/>
    <col min="14856" max="14856" width="23.81640625" style="29" customWidth="1"/>
    <col min="14857" max="14857" width="23" style="29" customWidth="1"/>
    <col min="14858" max="14858" width="22" style="29" customWidth="1"/>
    <col min="14859" max="14859" width="17.6328125" style="29" customWidth="1"/>
    <col min="14860" max="15103" width="9" style="29"/>
    <col min="15104" max="15104" width="21.36328125" style="29" customWidth="1"/>
    <col min="15105" max="15105" width="14.1796875" style="29" customWidth="1"/>
    <col min="15106" max="15106" width="11.1796875" style="29" customWidth="1"/>
    <col min="15107" max="15107" width="15.453125" style="29" customWidth="1"/>
    <col min="15108" max="15108" width="16.1796875" style="29" customWidth="1"/>
    <col min="15109" max="15109" width="11.1796875" style="29" customWidth="1"/>
    <col min="15110" max="15110" width="17.453125" style="29" customWidth="1"/>
    <col min="15111" max="15111" width="28" style="29" customWidth="1"/>
    <col min="15112" max="15112" width="23.81640625" style="29" customWidth="1"/>
    <col min="15113" max="15113" width="23" style="29" customWidth="1"/>
    <col min="15114" max="15114" width="22" style="29" customWidth="1"/>
    <col min="15115" max="15115" width="17.6328125" style="29" customWidth="1"/>
    <col min="15116" max="15359" width="9" style="29"/>
    <col min="15360" max="15360" width="21.36328125" style="29" customWidth="1"/>
    <col min="15361" max="15361" width="14.1796875" style="29" customWidth="1"/>
    <col min="15362" max="15362" width="11.1796875" style="29" customWidth="1"/>
    <col min="15363" max="15363" width="15.453125" style="29" customWidth="1"/>
    <col min="15364" max="15364" width="16.1796875" style="29" customWidth="1"/>
    <col min="15365" max="15365" width="11.1796875" style="29" customWidth="1"/>
    <col min="15366" max="15366" width="17.453125" style="29" customWidth="1"/>
    <col min="15367" max="15367" width="28" style="29" customWidth="1"/>
    <col min="15368" max="15368" width="23.81640625" style="29" customWidth="1"/>
    <col min="15369" max="15369" width="23" style="29" customWidth="1"/>
    <col min="15370" max="15370" width="22" style="29" customWidth="1"/>
    <col min="15371" max="15371" width="17.6328125" style="29" customWidth="1"/>
    <col min="15372" max="15615" width="9" style="29"/>
    <col min="15616" max="15616" width="21.36328125" style="29" customWidth="1"/>
    <col min="15617" max="15617" width="14.1796875" style="29" customWidth="1"/>
    <col min="15618" max="15618" width="11.1796875" style="29" customWidth="1"/>
    <col min="15619" max="15619" width="15.453125" style="29" customWidth="1"/>
    <col min="15620" max="15620" width="16.1796875" style="29" customWidth="1"/>
    <col min="15621" max="15621" width="11.1796875" style="29" customWidth="1"/>
    <col min="15622" max="15622" width="17.453125" style="29" customWidth="1"/>
    <col min="15623" max="15623" width="28" style="29" customWidth="1"/>
    <col min="15624" max="15624" width="23.81640625" style="29" customWidth="1"/>
    <col min="15625" max="15625" width="23" style="29" customWidth="1"/>
    <col min="15626" max="15626" width="22" style="29" customWidth="1"/>
    <col min="15627" max="15627" width="17.6328125" style="29" customWidth="1"/>
    <col min="15628" max="15871" width="9" style="29"/>
    <col min="15872" max="15872" width="21.36328125" style="29" customWidth="1"/>
    <col min="15873" max="15873" width="14.1796875" style="29" customWidth="1"/>
    <col min="15874" max="15874" width="11.1796875" style="29" customWidth="1"/>
    <col min="15875" max="15875" width="15.453125" style="29" customWidth="1"/>
    <col min="15876" max="15876" width="16.1796875" style="29" customWidth="1"/>
    <col min="15877" max="15877" width="11.1796875" style="29" customWidth="1"/>
    <col min="15878" max="15878" width="17.453125" style="29" customWidth="1"/>
    <col min="15879" max="15879" width="28" style="29" customWidth="1"/>
    <col min="15880" max="15880" width="23.81640625" style="29" customWidth="1"/>
    <col min="15881" max="15881" width="23" style="29" customWidth="1"/>
    <col min="15882" max="15882" width="22" style="29" customWidth="1"/>
    <col min="15883" max="15883" width="17.6328125" style="29" customWidth="1"/>
    <col min="15884" max="16127" width="9" style="29"/>
    <col min="16128" max="16128" width="21.36328125" style="29" customWidth="1"/>
    <col min="16129" max="16129" width="14.1796875" style="29" customWidth="1"/>
    <col min="16130" max="16130" width="11.1796875" style="29" customWidth="1"/>
    <col min="16131" max="16131" width="15.453125" style="29" customWidth="1"/>
    <col min="16132" max="16132" width="16.1796875" style="29" customWidth="1"/>
    <col min="16133" max="16133" width="11.1796875" style="29" customWidth="1"/>
    <col min="16134" max="16134" width="17.453125" style="29" customWidth="1"/>
    <col min="16135" max="16135" width="28" style="29" customWidth="1"/>
    <col min="16136" max="16136" width="23.81640625" style="29" customWidth="1"/>
    <col min="16137" max="16137" width="23" style="29" customWidth="1"/>
    <col min="16138" max="16138" width="22" style="29" customWidth="1"/>
    <col min="16139" max="16139" width="17.6328125" style="29" customWidth="1"/>
    <col min="16140" max="16384" width="9" style="29"/>
  </cols>
  <sheetData>
    <row r="1" spans="1:14" s="31" customFormat="1" ht="61.2" x14ac:dyDescent="0.5">
      <c r="A1" s="34" t="s">
        <v>51</v>
      </c>
      <c r="B1" s="34" t="s">
        <v>351</v>
      </c>
      <c r="C1" s="124" t="s">
        <v>352</v>
      </c>
      <c r="D1" s="34" t="s">
        <v>94</v>
      </c>
      <c r="E1" s="125" t="s">
        <v>52</v>
      </c>
      <c r="F1" s="34" t="s">
        <v>53</v>
      </c>
      <c r="G1" s="34" t="s">
        <v>334</v>
      </c>
      <c r="H1" s="34" t="s">
        <v>54</v>
      </c>
      <c r="I1" s="126" t="s">
        <v>353</v>
      </c>
      <c r="J1" s="34" t="s">
        <v>95</v>
      </c>
      <c r="K1" s="127" t="s">
        <v>354</v>
      </c>
      <c r="L1" s="127" t="s">
        <v>144</v>
      </c>
      <c r="M1" s="30"/>
      <c r="N1" s="30"/>
    </row>
    <row r="2" spans="1:14" s="31" customFormat="1" ht="19.8" x14ac:dyDescent="0.5">
      <c r="A2" s="34" t="s">
        <v>341</v>
      </c>
      <c r="B2" s="35">
        <v>125</v>
      </c>
      <c r="C2" s="36">
        <v>1.04</v>
      </c>
      <c r="D2" s="37">
        <v>100</v>
      </c>
      <c r="E2" s="38">
        <v>37</v>
      </c>
      <c r="F2" s="39" t="s">
        <v>49</v>
      </c>
      <c r="G2" s="40" t="s">
        <v>34</v>
      </c>
      <c r="H2" s="40" t="s">
        <v>34</v>
      </c>
      <c r="I2" s="41">
        <v>335219</v>
      </c>
      <c r="J2" s="41">
        <v>125664</v>
      </c>
      <c r="K2" s="33">
        <f>J2/I2</f>
        <v>0.37487135275745109</v>
      </c>
      <c r="L2" s="33"/>
      <c r="M2" s="30"/>
      <c r="N2" s="30"/>
    </row>
    <row r="3" spans="1:14" s="31" customFormat="1" ht="19.8" x14ac:dyDescent="0.5">
      <c r="A3" s="34" t="s">
        <v>342</v>
      </c>
      <c r="B3" s="35">
        <v>100</v>
      </c>
      <c r="C3" s="36">
        <v>0.9</v>
      </c>
      <c r="D3" s="37">
        <v>197</v>
      </c>
      <c r="E3" s="38">
        <v>55</v>
      </c>
      <c r="F3" s="39" t="s">
        <v>50</v>
      </c>
      <c r="G3" s="39" t="s">
        <v>35</v>
      </c>
      <c r="H3" s="39" t="s">
        <v>36</v>
      </c>
      <c r="I3" s="41">
        <v>356555</v>
      </c>
      <c r="J3" s="41">
        <v>214248</v>
      </c>
      <c r="K3" s="33">
        <f t="shared" ref="K3:K10" si="0">J3/I3</f>
        <v>0.60088345416555655</v>
      </c>
      <c r="L3" s="57">
        <f>-G3</f>
        <v>129</v>
      </c>
      <c r="M3" s="30"/>
      <c r="N3" s="30"/>
    </row>
    <row r="4" spans="1:14" s="31" customFormat="1" ht="19.8" x14ac:dyDescent="0.5">
      <c r="A4" s="34" t="s">
        <v>343</v>
      </c>
      <c r="B4" s="35">
        <v>125</v>
      </c>
      <c r="C4" s="36">
        <v>2</v>
      </c>
      <c r="D4" s="37">
        <v>75</v>
      </c>
      <c r="E4" s="38">
        <v>37</v>
      </c>
      <c r="F4" s="39" t="s">
        <v>49</v>
      </c>
      <c r="G4" s="39" t="s">
        <v>37</v>
      </c>
      <c r="H4" s="39" t="s">
        <v>38</v>
      </c>
      <c r="I4" s="41">
        <v>149644</v>
      </c>
      <c r="J4" s="41">
        <v>56504</v>
      </c>
      <c r="K4" s="33">
        <f t="shared" si="0"/>
        <v>0.37758947903023177</v>
      </c>
      <c r="L4" s="57">
        <f>-G4</f>
        <v>47.3</v>
      </c>
      <c r="M4" s="30"/>
      <c r="N4" s="30"/>
    </row>
    <row r="5" spans="1:14" s="31" customFormat="1" ht="19.8" x14ac:dyDescent="0.5">
      <c r="A5" s="34" t="s">
        <v>344</v>
      </c>
      <c r="B5" s="35">
        <v>100</v>
      </c>
      <c r="C5" s="36">
        <v>0.9</v>
      </c>
      <c r="D5" s="37">
        <v>107</v>
      </c>
      <c r="E5" s="38">
        <v>37</v>
      </c>
      <c r="F5" s="39" t="s">
        <v>49</v>
      </c>
      <c r="G5" s="39" t="s">
        <v>39</v>
      </c>
      <c r="H5" s="39" t="s">
        <v>40</v>
      </c>
      <c r="I5" s="41">
        <v>129876</v>
      </c>
      <c r="J5" s="41">
        <v>53624</v>
      </c>
      <c r="K5" s="33">
        <f t="shared" si="0"/>
        <v>0.41288613754658288</v>
      </c>
      <c r="L5" s="57">
        <f>-G5</f>
        <v>96.73</v>
      </c>
      <c r="M5" s="30"/>
      <c r="N5" s="30"/>
    </row>
    <row r="6" spans="1:14" s="31" customFormat="1" ht="19.8" x14ac:dyDescent="0.5">
      <c r="A6" s="34" t="s">
        <v>345</v>
      </c>
      <c r="B6" s="35">
        <v>100</v>
      </c>
      <c r="C6" s="36">
        <v>1.55</v>
      </c>
      <c r="D6" s="37">
        <v>90</v>
      </c>
      <c r="E6" s="38">
        <v>37</v>
      </c>
      <c r="F6" s="39" t="s">
        <v>49</v>
      </c>
      <c r="G6" s="40" t="s">
        <v>34</v>
      </c>
      <c r="H6" s="40" t="s">
        <v>34</v>
      </c>
      <c r="I6" s="41">
        <v>69925</v>
      </c>
      <c r="J6" s="41">
        <v>41631</v>
      </c>
      <c r="K6" s="33">
        <f t="shared" si="0"/>
        <v>0.59536646406864502</v>
      </c>
      <c r="L6" s="33"/>
      <c r="M6" s="30"/>
      <c r="N6" s="30"/>
    </row>
    <row r="7" spans="1:14" s="31" customFormat="1" ht="19.8" x14ac:dyDescent="0.5">
      <c r="A7" s="34" t="s">
        <v>346</v>
      </c>
      <c r="B7" s="35">
        <v>65</v>
      </c>
      <c r="C7" s="36">
        <v>0.52</v>
      </c>
      <c r="D7" s="37">
        <v>135</v>
      </c>
      <c r="E7" s="38">
        <v>18.5</v>
      </c>
      <c r="F7" s="39" t="s">
        <v>49</v>
      </c>
      <c r="G7" s="39" t="s">
        <v>41</v>
      </c>
      <c r="H7" s="39" t="s">
        <v>42</v>
      </c>
      <c r="I7" s="41">
        <v>83938</v>
      </c>
      <c r="J7" s="41">
        <v>50001</v>
      </c>
      <c r="K7" s="33">
        <f t="shared" si="0"/>
        <v>0.59568967571302633</v>
      </c>
      <c r="L7" s="57">
        <f>-G7</f>
        <v>91.99</v>
      </c>
      <c r="M7" s="30"/>
      <c r="N7" s="30"/>
    </row>
    <row r="8" spans="1:14" s="31" customFormat="1" ht="19.8" x14ac:dyDescent="0.5">
      <c r="A8" s="34" t="s">
        <v>347</v>
      </c>
      <c r="B8" s="35">
        <v>100</v>
      </c>
      <c r="C8" s="36">
        <v>1</v>
      </c>
      <c r="D8" s="37">
        <v>150</v>
      </c>
      <c r="E8" s="38">
        <v>45</v>
      </c>
      <c r="F8" s="39" t="s">
        <v>50</v>
      </c>
      <c r="G8" s="39" t="s">
        <v>43</v>
      </c>
      <c r="H8" s="39" t="s">
        <v>44</v>
      </c>
      <c r="I8" s="41">
        <v>161549</v>
      </c>
      <c r="J8" s="41">
        <v>89628</v>
      </c>
      <c r="K8" s="33">
        <f t="shared" si="0"/>
        <v>0.55480380565648812</v>
      </c>
      <c r="L8" s="57">
        <f>-G8</f>
        <v>120.84</v>
      </c>
      <c r="M8" s="30"/>
      <c r="N8" s="30"/>
    </row>
    <row r="9" spans="1:14" s="31" customFormat="1" ht="19.8" x14ac:dyDescent="0.5">
      <c r="A9" s="34" t="s">
        <v>348</v>
      </c>
      <c r="B9" s="35">
        <v>80</v>
      </c>
      <c r="C9" s="36">
        <v>0.7</v>
      </c>
      <c r="D9" s="37">
        <v>228</v>
      </c>
      <c r="E9" s="38">
        <v>37</v>
      </c>
      <c r="F9" s="39" t="s">
        <v>50</v>
      </c>
      <c r="G9" s="40" t="s">
        <v>34</v>
      </c>
      <c r="H9" s="40" t="s">
        <v>34</v>
      </c>
      <c r="I9" s="41">
        <v>119218</v>
      </c>
      <c r="J9" s="41">
        <v>112933</v>
      </c>
      <c r="K9" s="33">
        <f t="shared" si="0"/>
        <v>0.94728145078763271</v>
      </c>
      <c r="L9" s="33"/>
      <c r="M9" s="30"/>
      <c r="N9" s="30"/>
    </row>
    <row r="10" spans="1:14" s="31" customFormat="1" ht="19.8" x14ac:dyDescent="0.5">
      <c r="A10" s="34" t="s">
        <v>349</v>
      </c>
      <c r="B10" s="35">
        <v>40</v>
      </c>
      <c r="C10" s="36">
        <v>0.12</v>
      </c>
      <c r="D10" s="37">
        <v>105</v>
      </c>
      <c r="E10" s="38">
        <v>5.5</v>
      </c>
      <c r="F10" s="39" t="s">
        <v>49</v>
      </c>
      <c r="G10" s="39" t="s">
        <v>45</v>
      </c>
      <c r="H10" s="39" t="s">
        <v>46</v>
      </c>
      <c r="I10" s="41">
        <v>7128</v>
      </c>
      <c r="J10" s="41">
        <v>9077</v>
      </c>
      <c r="K10" s="33">
        <f t="shared" si="0"/>
        <v>1.2734287317620652</v>
      </c>
      <c r="L10" s="57">
        <f>-G10</f>
        <v>75.77</v>
      </c>
      <c r="M10" s="30"/>
      <c r="N10" s="30"/>
    </row>
    <row r="11" spans="1:14" s="31" customFormat="1" ht="19.8" x14ac:dyDescent="0.5">
      <c r="A11" s="34" t="s">
        <v>350</v>
      </c>
      <c r="B11" s="35">
        <v>100</v>
      </c>
      <c r="C11" s="36">
        <v>1.2</v>
      </c>
      <c r="D11" s="37">
        <v>230</v>
      </c>
      <c r="E11" s="38">
        <v>75</v>
      </c>
      <c r="F11" s="39" t="s">
        <v>50</v>
      </c>
      <c r="G11" s="39" t="s">
        <v>47</v>
      </c>
      <c r="H11" s="39" t="s">
        <v>48</v>
      </c>
      <c r="I11" s="41">
        <v>93860</v>
      </c>
      <c r="J11" s="41">
        <v>93558</v>
      </c>
      <c r="K11" s="33">
        <f>J11/I11</f>
        <v>0.99678244193479648</v>
      </c>
      <c r="L11" s="57">
        <f>-H11</f>
        <v>185.23</v>
      </c>
      <c r="M11" s="30"/>
      <c r="N11" s="30"/>
    </row>
    <row r="12" spans="1:14" ht="17.399999999999999" x14ac:dyDescent="0.3">
      <c r="M12" s="32"/>
    </row>
    <row r="13" spans="1:14" ht="22.2" x14ac:dyDescent="0.55000000000000004">
      <c r="A13" s="42"/>
    </row>
    <row r="14" spans="1:14" ht="16.2" x14ac:dyDescent="0.2"/>
    <row r="15" spans="1:14" ht="36.75" customHeight="1" x14ac:dyDescent="0.2">
      <c r="B15" s="61"/>
      <c r="J15" s="60"/>
    </row>
  </sheetData>
  <phoneticPr fontId="2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1"/>
  <sheetViews>
    <sheetView zoomScaleNormal="100" workbookViewId="0"/>
  </sheetViews>
  <sheetFormatPr defaultColWidth="10.90625" defaultRowHeight="19.8" x14ac:dyDescent="0.5"/>
  <cols>
    <col min="1" max="1" width="4.6328125" customWidth="1"/>
    <col min="3" max="3" width="14" customWidth="1"/>
    <col min="4" max="4" width="16" customWidth="1"/>
    <col min="5" max="5" width="15.6328125" customWidth="1"/>
    <col min="6" max="6" width="11.1796875" bestFit="1" customWidth="1"/>
    <col min="7" max="7" width="5.1796875" customWidth="1"/>
    <col min="9" max="9" width="14" customWidth="1"/>
    <col min="10" max="11" width="15.36328125" customWidth="1"/>
    <col min="12" max="12" width="3.81640625" customWidth="1"/>
  </cols>
  <sheetData>
    <row r="1" spans="1:13" x14ac:dyDescent="0.5">
      <c r="A1" t="s">
        <v>193</v>
      </c>
    </row>
    <row r="2" spans="1:13" x14ac:dyDescent="0.5">
      <c r="A2" s="65" t="s">
        <v>186</v>
      </c>
      <c r="F2" t="s">
        <v>187</v>
      </c>
    </row>
    <row r="3" spans="1:13" x14ac:dyDescent="0.5">
      <c r="A3" s="65" t="s">
        <v>189</v>
      </c>
      <c r="F3" t="s">
        <v>190</v>
      </c>
    </row>
    <row r="4" spans="1:13" x14ac:dyDescent="0.5">
      <c r="A4" s="65" t="s">
        <v>191</v>
      </c>
      <c r="F4" t="s">
        <v>192</v>
      </c>
      <c r="H4" s="128"/>
      <c r="I4" s="72"/>
      <c r="J4" s="72"/>
      <c r="K4" s="72"/>
    </row>
    <row r="5" spans="1:13" x14ac:dyDescent="0.5">
      <c r="H5" s="72"/>
      <c r="I5" s="72"/>
      <c r="J5" s="72"/>
      <c r="K5" s="72"/>
    </row>
    <row r="6" spans="1:13" ht="24" x14ac:dyDescent="0.55000000000000004">
      <c r="A6" s="54" t="s">
        <v>358</v>
      </c>
      <c r="H6" s="129" t="s">
        <v>359</v>
      </c>
      <c r="I6" s="72"/>
      <c r="J6" s="72"/>
      <c r="K6" s="72"/>
      <c r="M6" s="62"/>
    </row>
    <row r="7" spans="1:13" x14ac:dyDescent="0.5">
      <c r="B7" s="22" t="s">
        <v>58</v>
      </c>
      <c r="C7" s="49" t="s">
        <v>355</v>
      </c>
      <c r="D7" s="49" t="s">
        <v>356</v>
      </c>
      <c r="E7" s="49" t="s">
        <v>357</v>
      </c>
      <c r="F7" s="49" t="s">
        <v>9</v>
      </c>
      <c r="H7" s="130" t="s">
        <v>58</v>
      </c>
      <c r="I7" s="131" t="s">
        <v>355</v>
      </c>
      <c r="J7" s="131" t="s">
        <v>356</v>
      </c>
      <c r="K7" s="131" t="s">
        <v>357</v>
      </c>
    </row>
    <row r="8" spans="1:13" x14ac:dyDescent="0.5">
      <c r="A8" s="113">
        <v>57</v>
      </c>
      <c r="B8" s="114">
        <v>1982</v>
      </c>
      <c r="C8" s="115">
        <v>27924118</v>
      </c>
      <c r="D8" s="115"/>
      <c r="E8" s="115">
        <v>2729056</v>
      </c>
      <c r="F8" s="43">
        <f>SUM(C8:E8)</f>
        <v>30653174</v>
      </c>
      <c r="H8" s="132">
        <v>1982</v>
      </c>
      <c r="I8" s="133">
        <f t="shared" ref="I8:I34" si="0">C47/C8</f>
        <v>0.39545041315181378</v>
      </c>
      <c r="J8" s="134"/>
      <c r="K8" s="133">
        <f t="shared" ref="K8:K33" si="1">E47/E8</f>
        <v>0.87643566126895156</v>
      </c>
    </row>
    <row r="9" spans="1:13" x14ac:dyDescent="0.5">
      <c r="A9" s="113">
        <v>58</v>
      </c>
      <c r="B9" s="114">
        <v>1983</v>
      </c>
      <c r="C9" s="115">
        <v>30505150</v>
      </c>
      <c r="D9" s="115">
        <v>736920</v>
      </c>
      <c r="E9" s="115">
        <v>2869602</v>
      </c>
      <c r="F9" s="43">
        <f t="shared" ref="F9:F31" si="2">SUM(C9:E9)</f>
        <v>34111672</v>
      </c>
      <c r="H9" s="132">
        <v>1983</v>
      </c>
      <c r="I9" s="133">
        <f t="shared" si="0"/>
        <v>0.35752972858681237</v>
      </c>
      <c r="J9" s="133">
        <f t="shared" ref="J9:J33" si="3">D48/D9</f>
        <v>0.43261955164739729</v>
      </c>
      <c r="K9" s="133">
        <f t="shared" si="1"/>
        <v>0.83482378392543632</v>
      </c>
    </row>
    <row r="10" spans="1:13" x14ac:dyDescent="0.5">
      <c r="A10" s="113">
        <v>59</v>
      </c>
      <c r="B10" s="114">
        <v>1984</v>
      </c>
      <c r="C10" s="115">
        <v>28848320</v>
      </c>
      <c r="D10" s="115">
        <v>7778740</v>
      </c>
      <c r="E10" s="115">
        <v>3308823</v>
      </c>
      <c r="F10" s="43">
        <f t="shared" si="2"/>
        <v>39935883</v>
      </c>
      <c r="H10" s="132">
        <v>1984</v>
      </c>
      <c r="I10" s="133">
        <f t="shared" si="0"/>
        <v>0.35766176331931981</v>
      </c>
      <c r="J10" s="133">
        <f t="shared" si="3"/>
        <v>0.22241892645852671</v>
      </c>
      <c r="K10" s="133">
        <f t="shared" si="1"/>
        <v>0.84083615231156217</v>
      </c>
    </row>
    <row r="11" spans="1:13" x14ac:dyDescent="0.5">
      <c r="A11" s="113">
        <v>60</v>
      </c>
      <c r="B11" s="114">
        <v>1985</v>
      </c>
      <c r="C11" s="115">
        <v>25582120</v>
      </c>
      <c r="D11" s="115">
        <v>12028700</v>
      </c>
      <c r="E11" s="115">
        <v>3185387</v>
      </c>
      <c r="F11" s="43">
        <f t="shared" si="2"/>
        <v>40796207</v>
      </c>
      <c r="H11" s="132">
        <v>1985</v>
      </c>
      <c r="I11" s="133">
        <f t="shared" si="0"/>
        <v>0.34968032360101509</v>
      </c>
      <c r="J11" s="133">
        <f t="shared" si="3"/>
        <v>0.21954325903879887</v>
      </c>
      <c r="K11" s="133">
        <f t="shared" si="1"/>
        <v>0.89609771120432147</v>
      </c>
    </row>
    <row r="12" spans="1:13" x14ac:dyDescent="0.5">
      <c r="A12" s="113">
        <v>61</v>
      </c>
      <c r="B12" s="114">
        <v>1986</v>
      </c>
      <c r="C12" s="115">
        <v>26191760</v>
      </c>
      <c r="D12" s="115">
        <v>11223790</v>
      </c>
      <c r="E12" s="115">
        <v>3510726</v>
      </c>
      <c r="F12" s="43">
        <f t="shared" si="2"/>
        <v>40926276</v>
      </c>
      <c r="H12" s="132">
        <v>1986</v>
      </c>
      <c r="I12" s="133">
        <f t="shared" si="0"/>
        <v>0.33214041362627023</v>
      </c>
      <c r="J12" s="133">
        <f t="shared" si="3"/>
        <v>0.21823519506334313</v>
      </c>
      <c r="K12" s="133">
        <f t="shared" si="1"/>
        <v>0.89601296142165465</v>
      </c>
    </row>
    <row r="13" spans="1:13" x14ac:dyDescent="0.5">
      <c r="A13" s="113">
        <v>62</v>
      </c>
      <c r="B13" s="114">
        <v>1987</v>
      </c>
      <c r="C13" s="115">
        <v>26260487</v>
      </c>
      <c r="D13" s="115">
        <v>10023281</v>
      </c>
      <c r="E13" s="115">
        <v>3694359</v>
      </c>
      <c r="F13" s="43">
        <f t="shared" si="2"/>
        <v>39978127</v>
      </c>
      <c r="H13" s="132">
        <v>1987</v>
      </c>
      <c r="I13" s="133">
        <f t="shared" si="0"/>
        <v>0.33357751514661554</v>
      </c>
      <c r="J13" s="133">
        <f t="shared" si="3"/>
        <v>0.2085205433230895</v>
      </c>
      <c r="K13" s="133">
        <f t="shared" si="1"/>
        <v>0.9038913110501714</v>
      </c>
    </row>
    <row r="14" spans="1:13" x14ac:dyDescent="0.5">
      <c r="A14" s="113">
        <v>0</v>
      </c>
      <c r="B14" s="114">
        <v>1988</v>
      </c>
      <c r="C14" s="115">
        <v>27430690</v>
      </c>
      <c r="D14" s="115">
        <v>10588473</v>
      </c>
      <c r="E14" s="115">
        <v>3637594</v>
      </c>
      <c r="F14" s="43">
        <f t="shared" si="2"/>
        <v>41656757</v>
      </c>
      <c r="H14" s="132">
        <v>1988</v>
      </c>
      <c r="I14" s="133">
        <f t="shared" si="0"/>
        <v>0.33661216688315171</v>
      </c>
      <c r="J14" s="133">
        <f t="shared" si="3"/>
        <v>0.20407286300866989</v>
      </c>
      <c r="K14" s="133">
        <f t="shared" si="1"/>
        <v>0.92789519666021003</v>
      </c>
    </row>
    <row r="15" spans="1:13" x14ac:dyDescent="0.5">
      <c r="A15" s="113">
        <v>1</v>
      </c>
      <c r="B15" s="114">
        <v>1989</v>
      </c>
      <c r="C15" s="115">
        <v>29781760</v>
      </c>
      <c r="D15" s="115">
        <v>10284950</v>
      </c>
      <c r="E15" s="115">
        <v>3618181</v>
      </c>
      <c r="F15" s="43">
        <f t="shared" si="2"/>
        <v>43684891</v>
      </c>
      <c r="H15" s="132">
        <v>1989</v>
      </c>
      <c r="I15" s="133">
        <f t="shared" si="0"/>
        <v>0.34714281493101817</v>
      </c>
      <c r="J15" s="133">
        <f t="shared" si="3"/>
        <v>0.20183471966319719</v>
      </c>
      <c r="K15" s="133">
        <f t="shared" si="1"/>
        <v>0.91130073371122122</v>
      </c>
    </row>
    <row r="16" spans="1:13" x14ac:dyDescent="0.5">
      <c r="A16" s="113">
        <v>2</v>
      </c>
      <c r="B16" s="114">
        <v>1990</v>
      </c>
      <c r="C16" s="115">
        <v>28510460</v>
      </c>
      <c r="D16" s="115">
        <v>12114760</v>
      </c>
      <c r="E16" s="115">
        <v>3531802</v>
      </c>
      <c r="F16" s="43">
        <f t="shared" si="2"/>
        <v>44157022</v>
      </c>
      <c r="H16" s="132">
        <v>1990</v>
      </c>
      <c r="I16" s="133">
        <f t="shared" si="0"/>
        <v>0.35261497008466364</v>
      </c>
      <c r="J16" s="133">
        <f t="shared" si="3"/>
        <v>0.15314352079611979</v>
      </c>
      <c r="K16" s="133">
        <f t="shared" si="1"/>
        <v>0.92521069980706727</v>
      </c>
    </row>
    <row r="17" spans="1:11" x14ac:dyDescent="0.5">
      <c r="A17" s="113">
        <v>3</v>
      </c>
      <c r="B17" s="114">
        <v>1991</v>
      </c>
      <c r="C17" s="115">
        <v>28507280</v>
      </c>
      <c r="D17" s="115">
        <v>12692991</v>
      </c>
      <c r="E17" s="115">
        <v>3505527</v>
      </c>
      <c r="F17" s="43">
        <f t="shared" si="2"/>
        <v>44705798</v>
      </c>
      <c r="H17" s="132">
        <v>1991</v>
      </c>
      <c r="I17" s="133">
        <f t="shared" si="0"/>
        <v>0.3549732208755097</v>
      </c>
      <c r="J17" s="133">
        <f t="shared" si="3"/>
        <v>0.15093219557155599</v>
      </c>
      <c r="K17" s="133">
        <f t="shared" si="1"/>
        <v>0.93972033306261793</v>
      </c>
    </row>
    <row r="18" spans="1:11" x14ac:dyDescent="0.5">
      <c r="A18" s="113">
        <v>4</v>
      </c>
      <c r="B18" s="114">
        <v>1992</v>
      </c>
      <c r="C18" s="115">
        <v>26063099</v>
      </c>
      <c r="D18" s="115">
        <v>11338454</v>
      </c>
      <c r="E18" s="115">
        <v>3409565</v>
      </c>
      <c r="F18" s="43">
        <f t="shared" si="2"/>
        <v>40811118</v>
      </c>
      <c r="H18" s="132">
        <v>1992</v>
      </c>
      <c r="I18" s="133">
        <f t="shared" si="0"/>
        <v>0.3135747978396583</v>
      </c>
      <c r="J18" s="133">
        <f t="shared" si="3"/>
        <v>0.20479026505729969</v>
      </c>
      <c r="K18" s="133">
        <f t="shared" si="1"/>
        <v>0.98288315371608992</v>
      </c>
    </row>
    <row r="19" spans="1:11" x14ac:dyDescent="0.5">
      <c r="A19" s="113">
        <v>5</v>
      </c>
      <c r="B19" s="114">
        <v>1993</v>
      </c>
      <c r="C19" s="115">
        <v>25787830</v>
      </c>
      <c r="D19" s="115">
        <v>11132749</v>
      </c>
      <c r="E19" s="115">
        <v>3477069</v>
      </c>
      <c r="F19" s="43">
        <f t="shared" si="2"/>
        <v>40397648</v>
      </c>
      <c r="H19" s="132">
        <v>1993</v>
      </c>
      <c r="I19" s="133">
        <f t="shared" si="0"/>
        <v>0.29773738232336727</v>
      </c>
      <c r="J19" s="133">
        <f t="shared" si="3"/>
        <v>0.20575466131500855</v>
      </c>
      <c r="K19" s="133">
        <f t="shared" si="1"/>
        <v>0.93957698279786794</v>
      </c>
    </row>
    <row r="20" spans="1:11" x14ac:dyDescent="0.5">
      <c r="A20" s="113">
        <v>6</v>
      </c>
      <c r="B20" s="114">
        <v>1994</v>
      </c>
      <c r="C20" s="115">
        <v>26048820</v>
      </c>
      <c r="D20" s="115">
        <v>11621500</v>
      </c>
      <c r="E20" s="115">
        <v>3417346</v>
      </c>
      <c r="F20" s="43">
        <f t="shared" si="2"/>
        <v>41087666</v>
      </c>
      <c r="H20" s="132">
        <v>1994</v>
      </c>
      <c r="I20" s="133">
        <f t="shared" si="0"/>
        <v>0.30245074440991954</v>
      </c>
      <c r="J20" s="133">
        <f t="shared" si="3"/>
        <v>0.20670128640881125</v>
      </c>
      <c r="K20" s="133">
        <f t="shared" si="1"/>
        <v>0.9716367613931981</v>
      </c>
    </row>
    <row r="21" spans="1:11" x14ac:dyDescent="0.5">
      <c r="A21" s="113">
        <v>7</v>
      </c>
      <c r="B21" s="114">
        <v>1995</v>
      </c>
      <c r="C21" s="115">
        <v>24567093</v>
      </c>
      <c r="D21" s="115">
        <v>12348105</v>
      </c>
      <c r="E21" s="115">
        <v>3350006</v>
      </c>
      <c r="F21" s="43">
        <f t="shared" si="2"/>
        <v>40265204</v>
      </c>
      <c r="H21" s="132">
        <v>1995</v>
      </c>
      <c r="I21" s="133">
        <f t="shared" si="0"/>
        <v>0.2996317879368145</v>
      </c>
      <c r="J21" s="133">
        <f t="shared" si="3"/>
        <v>0.20006681187113326</v>
      </c>
      <c r="K21" s="133">
        <f t="shared" si="1"/>
        <v>0.98664390451838002</v>
      </c>
    </row>
    <row r="22" spans="1:11" x14ac:dyDescent="0.5">
      <c r="A22" s="113">
        <v>8</v>
      </c>
      <c r="B22" s="114">
        <v>1996</v>
      </c>
      <c r="C22" s="115">
        <v>24399496</v>
      </c>
      <c r="D22" s="115">
        <v>13092129</v>
      </c>
      <c r="E22" s="115">
        <v>3348861</v>
      </c>
      <c r="F22" s="43">
        <f t="shared" si="2"/>
        <v>40840486</v>
      </c>
      <c r="H22" s="132">
        <v>1996</v>
      </c>
      <c r="I22" s="133">
        <f t="shared" si="0"/>
        <v>0.31205628181828016</v>
      </c>
      <c r="J22" s="133">
        <f t="shared" si="3"/>
        <v>0.19813263373741583</v>
      </c>
      <c r="K22" s="133">
        <f t="shared" si="1"/>
        <v>1.0055260579641854</v>
      </c>
    </row>
    <row r="23" spans="1:11" x14ac:dyDescent="0.5">
      <c r="A23" s="113">
        <v>9</v>
      </c>
      <c r="B23" s="114">
        <v>1997</v>
      </c>
      <c r="C23" s="115">
        <v>23937445</v>
      </c>
      <c r="D23" s="115">
        <v>11271427</v>
      </c>
      <c r="E23" s="115">
        <v>3337510</v>
      </c>
      <c r="F23" s="43">
        <f t="shared" si="2"/>
        <v>38546382</v>
      </c>
      <c r="H23" s="132">
        <v>1997</v>
      </c>
      <c r="I23" s="133">
        <f t="shared" si="0"/>
        <v>0.32355324471763797</v>
      </c>
      <c r="J23" s="133">
        <f t="shared" si="3"/>
        <v>0.17109830015312169</v>
      </c>
      <c r="K23" s="133">
        <f t="shared" si="1"/>
        <v>1.0069632750164044</v>
      </c>
    </row>
    <row r="24" spans="1:11" x14ac:dyDescent="0.5">
      <c r="A24" s="113">
        <v>10</v>
      </c>
      <c r="B24" s="114">
        <v>1998</v>
      </c>
      <c r="C24" s="115">
        <v>23145411</v>
      </c>
      <c r="D24" s="115">
        <v>11383103</v>
      </c>
      <c r="E24" s="115">
        <v>3226596</v>
      </c>
      <c r="F24" s="43">
        <f t="shared" si="2"/>
        <v>37755110</v>
      </c>
      <c r="H24" s="132">
        <v>1998</v>
      </c>
      <c r="I24" s="133">
        <f t="shared" si="0"/>
        <v>0.2849054613893009</v>
      </c>
      <c r="J24" s="133">
        <f t="shared" si="3"/>
        <v>0.19081791669635248</v>
      </c>
      <c r="K24" s="133">
        <f t="shared" si="1"/>
        <v>0.96803442389440764</v>
      </c>
    </row>
    <row r="25" spans="1:11" x14ac:dyDescent="0.5">
      <c r="A25" s="113">
        <v>11</v>
      </c>
      <c r="B25" s="114">
        <v>1999</v>
      </c>
      <c r="C25" s="115">
        <v>25319289</v>
      </c>
      <c r="D25" s="115">
        <v>10329292</v>
      </c>
      <c r="E25" s="115">
        <v>3185338</v>
      </c>
      <c r="F25" s="43">
        <f t="shared" si="2"/>
        <v>38833919</v>
      </c>
      <c r="H25" s="132">
        <v>1999</v>
      </c>
      <c r="I25" s="133">
        <f t="shared" si="0"/>
        <v>0.28237305557829845</v>
      </c>
      <c r="J25" s="133">
        <f t="shared" si="3"/>
        <v>0.18769795645238802</v>
      </c>
      <c r="K25" s="133">
        <f t="shared" si="1"/>
        <v>0.99155568420054641</v>
      </c>
    </row>
    <row r="26" spans="1:11" x14ac:dyDescent="0.5">
      <c r="A26" s="113">
        <v>12</v>
      </c>
      <c r="B26" s="114">
        <v>2000</v>
      </c>
      <c r="C26" s="115">
        <v>26534563</v>
      </c>
      <c r="D26" s="115">
        <v>9553430</v>
      </c>
      <c r="E26" s="115">
        <v>3187413</v>
      </c>
      <c r="F26" s="43">
        <f t="shared" si="2"/>
        <v>39275406</v>
      </c>
      <c r="H26" s="132">
        <v>2000</v>
      </c>
      <c r="I26" s="133">
        <f t="shared" si="0"/>
        <v>0.28429053080693284</v>
      </c>
      <c r="J26" s="133">
        <f t="shared" si="3"/>
        <v>0.18322560588186651</v>
      </c>
      <c r="K26" s="133">
        <f t="shared" si="1"/>
        <v>0.98557952797456749</v>
      </c>
    </row>
    <row r="27" spans="1:11" x14ac:dyDescent="0.5">
      <c r="A27" s="113">
        <v>13</v>
      </c>
      <c r="B27" s="114">
        <v>2001</v>
      </c>
      <c r="C27" s="115">
        <v>26162153</v>
      </c>
      <c r="D27" s="115">
        <v>9275992</v>
      </c>
      <c r="E27" s="115">
        <v>3198750</v>
      </c>
      <c r="F27" s="43">
        <f t="shared" si="2"/>
        <v>38636895</v>
      </c>
      <c r="H27" s="132">
        <v>2001</v>
      </c>
      <c r="I27" s="133">
        <f t="shared" si="0"/>
        <v>0.28960961278683756</v>
      </c>
      <c r="J27" s="133">
        <f t="shared" si="3"/>
        <v>0.17878551426090061</v>
      </c>
      <c r="K27" s="133">
        <f t="shared" si="1"/>
        <v>0.98613896053145755</v>
      </c>
    </row>
    <row r="28" spans="1:11" x14ac:dyDescent="0.5">
      <c r="A28" s="113">
        <v>14</v>
      </c>
      <c r="B28" s="114">
        <v>2002</v>
      </c>
      <c r="C28" s="115">
        <v>26338558</v>
      </c>
      <c r="D28" s="115">
        <v>8097121</v>
      </c>
      <c r="E28" s="115">
        <v>3176562</v>
      </c>
      <c r="F28" s="43">
        <f t="shared" si="2"/>
        <v>37612241</v>
      </c>
      <c r="H28" s="132">
        <v>2002</v>
      </c>
      <c r="I28" s="133">
        <f t="shared" si="0"/>
        <v>0.30164453194438356</v>
      </c>
      <c r="J28" s="133">
        <f t="shared" si="3"/>
        <v>0.17554609842189589</v>
      </c>
      <c r="K28" s="133">
        <f t="shared" si="1"/>
        <v>0.97134952820061438</v>
      </c>
    </row>
    <row r="29" spans="1:11" x14ac:dyDescent="0.5">
      <c r="A29" s="113">
        <v>15</v>
      </c>
      <c r="B29" s="114">
        <v>2003</v>
      </c>
      <c r="C29" s="115">
        <v>26261859</v>
      </c>
      <c r="D29" s="115">
        <v>7662292</v>
      </c>
      <c r="E29" s="115">
        <v>3093758</v>
      </c>
      <c r="F29" s="43">
        <f t="shared" si="2"/>
        <v>37017909</v>
      </c>
      <c r="H29" s="132">
        <v>2003</v>
      </c>
      <c r="I29" s="133">
        <f t="shared" si="0"/>
        <v>0.30705903188346262</v>
      </c>
      <c r="J29" s="133">
        <f t="shared" si="3"/>
        <v>0.17405744912879853</v>
      </c>
      <c r="K29" s="133">
        <f t="shared" si="1"/>
        <v>0.99792323769344593</v>
      </c>
    </row>
    <row r="30" spans="1:11" x14ac:dyDescent="0.5">
      <c r="A30" s="113">
        <v>16</v>
      </c>
      <c r="B30" s="114">
        <v>2004</v>
      </c>
      <c r="C30" s="115">
        <v>24673392</v>
      </c>
      <c r="D30" s="115">
        <v>8746905</v>
      </c>
      <c r="E30" s="115">
        <v>2982040</v>
      </c>
      <c r="F30" s="43">
        <f t="shared" si="2"/>
        <v>36402337</v>
      </c>
      <c r="H30" s="132">
        <v>2004</v>
      </c>
      <c r="I30" s="133">
        <f t="shared" si="0"/>
        <v>0.30832842115911746</v>
      </c>
      <c r="J30" s="133">
        <f t="shared" si="3"/>
        <v>0.18131213269150631</v>
      </c>
      <c r="K30" s="133">
        <f t="shared" si="1"/>
        <v>1.0442163753671982</v>
      </c>
    </row>
    <row r="31" spans="1:11" x14ac:dyDescent="0.5">
      <c r="A31" s="113">
        <v>17</v>
      </c>
      <c r="B31" s="114">
        <v>2005</v>
      </c>
      <c r="C31" s="115">
        <v>23394125</v>
      </c>
      <c r="D31" s="115">
        <v>11725448</v>
      </c>
      <c r="E31" s="115">
        <v>2519604</v>
      </c>
      <c r="F31" s="43">
        <f t="shared" si="2"/>
        <v>37639177</v>
      </c>
      <c r="H31" s="132">
        <v>2005</v>
      </c>
      <c r="I31" s="133">
        <f t="shared" si="0"/>
        <v>0.31380203363023834</v>
      </c>
      <c r="J31" s="133">
        <f t="shared" si="3"/>
        <v>0.17467017038496099</v>
      </c>
      <c r="K31" s="133">
        <f t="shared" si="1"/>
        <v>1.060654769559026</v>
      </c>
    </row>
    <row r="32" spans="1:11" x14ac:dyDescent="0.5">
      <c r="A32" s="21">
        <v>18</v>
      </c>
      <c r="B32" s="63">
        <v>2006</v>
      </c>
      <c r="C32" s="64">
        <v>24080742</v>
      </c>
      <c r="D32" s="64">
        <v>10515917</v>
      </c>
      <c r="E32" s="64">
        <v>2703221</v>
      </c>
      <c r="F32" s="64">
        <f>SUM(C32:E32)</f>
        <v>37299880</v>
      </c>
      <c r="H32" s="132">
        <v>2006</v>
      </c>
      <c r="I32" s="133">
        <f t="shared" si="0"/>
        <v>0.30138419322793292</v>
      </c>
      <c r="J32" s="133">
        <f t="shared" si="3"/>
        <v>0.17820500104745976</v>
      </c>
      <c r="K32" s="133">
        <f t="shared" si="1"/>
        <v>0.86782730675738318</v>
      </c>
    </row>
    <row r="33" spans="1:11" x14ac:dyDescent="0.5">
      <c r="A33" s="21">
        <v>19</v>
      </c>
      <c r="B33" s="63">
        <v>2007</v>
      </c>
      <c r="C33" s="64">
        <v>24249082</v>
      </c>
      <c r="D33" s="64">
        <v>10077958</v>
      </c>
      <c r="E33" s="64">
        <v>2594457</v>
      </c>
      <c r="F33" s="64">
        <f t="shared" ref="F33:F36" si="4">SUM(C33:E33)</f>
        <v>36921497</v>
      </c>
      <c r="H33" s="132">
        <v>2007</v>
      </c>
      <c r="I33" s="133">
        <f t="shared" si="0"/>
        <v>0.30457651963897026</v>
      </c>
      <c r="J33" s="133">
        <f t="shared" si="3"/>
        <v>0.18370735420806478</v>
      </c>
      <c r="K33" s="133">
        <f t="shared" si="1"/>
        <v>0.878530652078643</v>
      </c>
    </row>
    <row r="34" spans="1:11" x14ac:dyDescent="0.5">
      <c r="A34" s="21">
        <v>20</v>
      </c>
      <c r="B34" s="63">
        <v>2008</v>
      </c>
      <c r="C34" s="64">
        <v>23948719</v>
      </c>
      <c r="D34" s="64">
        <v>10475826</v>
      </c>
      <c r="E34" s="64">
        <v>2691097</v>
      </c>
      <c r="F34" s="64">
        <f t="shared" si="4"/>
        <v>37115642</v>
      </c>
      <c r="H34" s="135">
        <v>2008</v>
      </c>
      <c r="I34" s="133">
        <f t="shared" si="0"/>
        <v>0.29719197089414262</v>
      </c>
      <c r="J34" s="133">
        <f t="shared" ref="J34:J42" si="5">D73/D34</f>
        <v>0.18188055051697116</v>
      </c>
      <c r="K34" s="133">
        <f t="shared" ref="K34:K42" si="6">E73/E34</f>
        <v>0.84108822535939809</v>
      </c>
    </row>
    <row r="35" spans="1:11" x14ac:dyDescent="0.5">
      <c r="A35" s="21">
        <v>21</v>
      </c>
      <c r="B35" s="63">
        <v>2009</v>
      </c>
      <c r="C35" s="64">
        <v>21652624</v>
      </c>
      <c r="D35" s="64">
        <v>9489222</v>
      </c>
      <c r="E35" s="64">
        <v>2548596</v>
      </c>
      <c r="F35" s="64">
        <f t="shared" si="4"/>
        <v>33690442</v>
      </c>
      <c r="H35" s="135">
        <v>2009</v>
      </c>
      <c r="I35" s="133">
        <f t="shared" ref="I35:I42" si="7">C74/C35</f>
        <v>0.2918644871864029</v>
      </c>
      <c r="J35" s="133">
        <f t="shared" si="5"/>
        <v>0.18211619456263117</v>
      </c>
      <c r="K35" s="133">
        <f t="shared" si="6"/>
        <v>0.88156106342472484</v>
      </c>
    </row>
    <row r="36" spans="1:11" x14ac:dyDescent="0.5">
      <c r="A36" s="21">
        <v>22</v>
      </c>
      <c r="B36" s="63">
        <v>2010</v>
      </c>
      <c r="C36" s="64">
        <v>22171524</v>
      </c>
      <c r="D36" s="43">
        <v>5120033</v>
      </c>
      <c r="E36" s="43">
        <v>2511594</v>
      </c>
      <c r="F36" s="64">
        <f t="shared" si="4"/>
        <v>29803151</v>
      </c>
      <c r="H36" s="135">
        <v>2010</v>
      </c>
      <c r="I36" s="133">
        <f t="shared" si="7"/>
        <v>0.29301454424152351</v>
      </c>
      <c r="J36" s="133">
        <f t="shared" si="5"/>
        <v>0.18479744173523882</v>
      </c>
      <c r="K36" s="133">
        <f t="shared" si="6"/>
        <v>0.9072776093588375</v>
      </c>
    </row>
    <row r="37" spans="1:11" x14ac:dyDescent="0.5">
      <c r="A37">
        <v>23</v>
      </c>
      <c r="B37">
        <v>2011</v>
      </c>
      <c r="C37" s="43">
        <v>21493431</v>
      </c>
      <c r="D37" s="43">
        <v>3825518</v>
      </c>
      <c r="E37" s="43">
        <v>2509376</v>
      </c>
      <c r="F37" s="43">
        <f>SUM(C37:E37)</f>
        <v>27828325</v>
      </c>
      <c r="H37" s="72">
        <v>2011</v>
      </c>
      <c r="I37" s="133">
        <f t="shared" si="7"/>
        <v>0.29802770902421305</v>
      </c>
      <c r="J37" s="133">
        <f t="shared" si="5"/>
        <v>0.18807021689611708</v>
      </c>
      <c r="K37" s="133">
        <f t="shared" si="6"/>
        <v>0.92488092657298071</v>
      </c>
    </row>
    <row r="38" spans="1:11" x14ac:dyDescent="0.5">
      <c r="A38">
        <v>24</v>
      </c>
      <c r="B38">
        <v>2012</v>
      </c>
      <c r="C38" s="43">
        <v>20783665</v>
      </c>
      <c r="D38" s="43">
        <v>3812458</v>
      </c>
      <c r="E38" s="43">
        <v>2455185</v>
      </c>
      <c r="F38" s="43">
        <f t="shared" ref="F38:F42" si="8">SUM(C38:E38)</f>
        <v>27051308</v>
      </c>
      <c r="H38" s="72">
        <v>2012</v>
      </c>
      <c r="I38" s="133">
        <f t="shared" si="7"/>
        <v>0.29905841919603687</v>
      </c>
      <c r="J38" s="133">
        <f t="shared" si="5"/>
        <v>0.18806502261795408</v>
      </c>
      <c r="K38" s="133">
        <f t="shared" si="6"/>
        <v>0.92359027934758475</v>
      </c>
    </row>
    <row r="39" spans="1:11" x14ac:dyDescent="0.5">
      <c r="A39">
        <v>25</v>
      </c>
      <c r="B39">
        <v>2013</v>
      </c>
      <c r="C39" s="43">
        <v>22426438</v>
      </c>
      <c r="D39" s="43">
        <v>7736448</v>
      </c>
      <c r="E39" s="43">
        <v>2186401</v>
      </c>
      <c r="F39" s="43">
        <f t="shared" si="8"/>
        <v>32349287</v>
      </c>
      <c r="H39" s="72">
        <v>2013</v>
      </c>
      <c r="I39" s="133">
        <f t="shared" si="7"/>
        <v>0.31527387452256128</v>
      </c>
      <c r="J39" s="133">
        <f t="shared" si="5"/>
        <v>0.18532406603133633</v>
      </c>
      <c r="K39" s="133">
        <f t="shared" si="6"/>
        <v>0.90601678283169462</v>
      </c>
    </row>
    <row r="40" spans="1:11" x14ac:dyDescent="0.5">
      <c r="A40">
        <v>26</v>
      </c>
      <c r="B40">
        <v>2014</v>
      </c>
      <c r="C40" s="43">
        <v>20998675</v>
      </c>
      <c r="D40" s="43">
        <v>7589501</v>
      </c>
      <c r="E40" s="43">
        <v>2081060</v>
      </c>
      <c r="F40" s="43">
        <f t="shared" si="8"/>
        <v>30669236</v>
      </c>
      <c r="H40" s="72">
        <v>2014</v>
      </c>
      <c r="I40" s="133">
        <f t="shared" si="7"/>
        <v>0.28820580346140889</v>
      </c>
      <c r="J40" s="133">
        <f t="shared" si="5"/>
        <v>0.18335856336272965</v>
      </c>
      <c r="K40" s="133">
        <f t="shared" si="6"/>
        <v>0.94832729474402466</v>
      </c>
    </row>
    <row r="41" spans="1:11" x14ac:dyDescent="0.5">
      <c r="A41">
        <v>27</v>
      </c>
      <c r="B41">
        <v>2015</v>
      </c>
      <c r="C41" s="43">
        <v>21400492</v>
      </c>
      <c r="D41" s="43">
        <v>7928191</v>
      </c>
      <c r="E41" s="43">
        <v>2101404</v>
      </c>
      <c r="F41" s="43">
        <f t="shared" si="8"/>
        <v>31430087</v>
      </c>
      <c r="H41" s="72">
        <v>2015</v>
      </c>
      <c r="I41" s="133">
        <f t="shared" si="7"/>
        <v>0.28151081760176355</v>
      </c>
      <c r="J41" s="133">
        <f t="shared" si="5"/>
        <v>0.18393981678796589</v>
      </c>
      <c r="K41" s="133">
        <f t="shared" si="6"/>
        <v>0.95075387693180369</v>
      </c>
    </row>
    <row r="42" spans="1:11" x14ac:dyDescent="0.5">
      <c r="A42">
        <v>28</v>
      </c>
      <c r="B42">
        <v>2016</v>
      </c>
      <c r="C42" s="43">
        <v>23568054</v>
      </c>
      <c r="D42" s="43">
        <v>8990455</v>
      </c>
      <c r="E42" s="43">
        <v>1796925</v>
      </c>
      <c r="F42" s="43">
        <f t="shared" si="8"/>
        <v>34355434</v>
      </c>
      <c r="H42" s="72">
        <v>2016</v>
      </c>
      <c r="I42" s="133">
        <f t="shared" si="7"/>
        <v>0.30161947184947896</v>
      </c>
      <c r="J42" s="133">
        <f t="shared" si="5"/>
        <v>0.17021785882916937</v>
      </c>
      <c r="K42" s="133">
        <f t="shared" si="6"/>
        <v>0.93521933302725491</v>
      </c>
    </row>
    <row r="43" spans="1:11" x14ac:dyDescent="0.5">
      <c r="C43" s="43"/>
      <c r="D43" s="43"/>
      <c r="E43" s="22" t="s">
        <v>188</v>
      </c>
      <c r="F43" s="75">
        <f>AVERAGE(F38:F42)</f>
        <v>31171070.399999999</v>
      </c>
      <c r="H43" s="72"/>
      <c r="I43" s="72"/>
      <c r="J43" s="72"/>
      <c r="K43" s="72"/>
    </row>
    <row r="44" spans="1:11" x14ac:dyDescent="0.5">
      <c r="H44" s="72"/>
      <c r="I44" s="72"/>
      <c r="J44" s="72"/>
      <c r="K44" s="72"/>
    </row>
    <row r="45" spans="1:11" ht="24" x14ac:dyDescent="0.55000000000000004">
      <c r="A45" s="54" t="s">
        <v>194</v>
      </c>
      <c r="H45" s="129" t="s">
        <v>360</v>
      </c>
      <c r="I45" s="72"/>
      <c r="J45" s="72"/>
      <c r="K45" s="72"/>
    </row>
    <row r="46" spans="1:11" x14ac:dyDescent="0.5">
      <c r="B46" s="22" t="s">
        <v>58</v>
      </c>
      <c r="C46" s="49" t="s">
        <v>355</v>
      </c>
      <c r="D46" s="49" t="s">
        <v>356</v>
      </c>
      <c r="E46" s="49" t="s">
        <v>357</v>
      </c>
      <c r="F46" s="49" t="s">
        <v>9</v>
      </c>
      <c r="H46" s="130" t="s">
        <v>58</v>
      </c>
      <c r="I46" s="131" t="s">
        <v>355</v>
      </c>
      <c r="J46" s="131" t="s">
        <v>356</v>
      </c>
      <c r="K46" s="131" t="s">
        <v>357</v>
      </c>
    </row>
    <row r="47" spans="1:11" x14ac:dyDescent="0.5">
      <c r="A47">
        <v>57</v>
      </c>
      <c r="B47">
        <v>1982</v>
      </c>
      <c r="C47" s="43">
        <v>11042604</v>
      </c>
      <c r="D47" s="43"/>
      <c r="E47" s="43">
        <v>2391842</v>
      </c>
      <c r="F47" s="43">
        <f t="shared" ref="F47:F72" si="9">SUM(C47:E47)</f>
        <v>13434446</v>
      </c>
      <c r="H47" s="132">
        <v>1982</v>
      </c>
      <c r="I47" s="133">
        <f t="shared" ref="I47:I71" si="10">C86/C8</f>
        <v>7.5065122558212938</v>
      </c>
      <c r="J47" s="134"/>
      <c r="K47" s="133">
        <f t="shared" ref="K47:K79" si="11">E86/E8</f>
        <v>17.665363407713144</v>
      </c>
    </row>
    <row r="48" spans="1:11" x14ac:dyDescent="0.5">
      <c r="A48">
        <v>58</v>
      </c>
      <c r="B48">
        <v>1983</v>
      </c>
      <c r="C48" s="43">
        <v>10906498</v>
      </c>
      <c r="D48" s="43">
        <v>318806</v>
      </c>
      <c r="E48" s="43">
        <v>2395612</v>
      </c>
      <c r="F48" s="43">
        <f t="shared" si="9"/>
        <v>13620916</v>
      </c>
      <c r="H48" s="132">
        <v>1983</v>
      </c>
      <c r="I48" s="133">
        <f t="shared" si="10"/>
        <v>6.8518115465749228</v>
      </c>
      <c r="J48" s="134">
        <v>13.233053791456332</v>
      </c>
      <c r="K48" s="133">
        <f t="shared" si="11"/>
        <v>16.896326737993633</v>
      </c>
    </row>
    <row r="49" spans="1:11" x14ac:dyDescent="0.5">
      <c r="A49">
        <v>59</v>
      </c>
      <c r="B49">
        <v>1984</v>
      </c>
      <c r="C49" s="43">
        <v>10317941</v>
      </c>
      <c r="D49" s="43">
        <v>1730139</v>
      </c>
      <c r="E49" s="43">
        <v>2782178</v>
      </c>
      <c r="F49" s="43">
        <f t="shared" si="9"/>
        <v>14830258</v>
      </c>
      <c r="H49" s="132">
        <v>1984</v>
      </c>
      <c r="I49" s="133">
        <f t="shared" si="10"/>
        <v>6.7801182529866555</v>
      </c>
      <c r="J49" s="134">
        <v>4.4484145247173705</v>
      </c>
      <c r="K49" s="133">
        <f t="shared" si="11"/>
        <v>16.703041534708866</v>
      </c>
    </row>
    <row r="50" spans="1:11" x14ac:dyDescent="0.5">
      <c r="A50">
        <v>60</v>
      </c>
      <c r="B50">
        <v>1985</v>
      </c>
      <c r="C50" s="43">
        <v>8945564</v>
      </c>
      <c r="D50" s="43">
        <v>2640820</v>
      </c>
      <c r="E50" s="43">
        <v>2854418</v>
      </c>
      <c r="F50" s="43">
        <f t="shared" si="9"/>
        <v>14440802</v>
      </c>
      <c r="H50" s="132">
        <v>1985</v>
      </c>
      <c r="I50" s="133">
        <f t="shared" si="10"/>
        <v>6.767991863066861</v>
      </c>
      <c r="J50" s="134">
        <v>4.2035003782619897</v>
      </c>
      <c r="K50" s="133">
        <f t="shared" si="11"/>
        <v>17.854640582133349</v>
      </c>
    </row>
    <row r="51" spans="1:11" x14ac:dyDescent="0.5">
      <c r="A51">
        <v>61</v>
      </c>
      <c r="B51">
        <v>1986</v>
      </c>
      <c r="C51" s="43">
        <v>8699342</v>
      </c>
      <c r="D51" s="43">
        <v>2449426</v>
      </c>
      <c r="E51" s="43">
        <v>3145656</v>
      </c>
      <c r="F51" s="43">
        <f t="shared" si="9"/>
        <v>14294424</v>
      </c>
      <c r="H51" s="132">
        <v>1986</v>
      </c>
      <c r="I51" s="133">
        <f t="shared" si="10"/>
        <v>6.1905630625815142</v>
      </c>
      <c r="J51" s="134">
        <v>3.6201906842519329</v>
      </c>
      <c r="K51" s="133">
        <f t="shared" si="11"/>
        <v>15.813028701186022</v>
      </c>
    </row>
    <row r="52" spans="1:11" x14ac:dyDescent="0.5">
      <c r="A52">
        <v>62</v>
      </c>
      <c r="B52">
        <v>1987</v>
      </c>
      <c r="C52" s="43">
        <v>8759908</v>
      </c>
      <c r="D52" s="43">
        <v>2090060</v>
      </c>
      <c r="E52" s="43">
        <v>3339299</v>
      </c>
      <c r="F52" s="43">
        <f t="shared" si="9"/>
        <v>14189267</v>
      </c>
      <c r="H52" s="132">
        <v>1987</v>
      </c>
      <c r="I52" s="133">
        <f t="shared" si="10"/>
        <v>5.8398481338141215</v>
      </c>
      <c r="J52" s="134">
        <v>2.9368282701043702</v>
      </c>
      <c r="K52" s="133">
        <f t="shared" si="11"/>
        <v>14.84958960404227</v>
      </c>
    </row>
    <row r="53" spans="1:11" x14ac:dyDescent="0.5">
      <c r="A53">
        <v>0</v>
      </c>
      <c r="B53">
        <v>1988</v>
      </c>
      <c r="C53" s="43">
        <v>9233504</v>
      </c>
      <c r="D53" s="43">
        <v>2160820</v>
      </c>
      <c r="E53" s="43">
        <v>3375306</v>
      </c>
      <c r="F53" s="43">
        <f t="shared" si="9"/>
        <v>14769630</v>
      </c>
      <c r="H53" s="132">
        <v>1988</v>
      </c>
      <c r="I53" s="133">
        <f t="shared" si="10"/>
        <v>5.1746216737530117</v>
      </c>
      <c r="J53" s="134">
        <v>3.1196797687447471</v>
      </c>
      <c r="K53" s="133">
        <f t="shared" si="11"/>
        <v>14.382096242736271</v>
      </c>
    </row>
    <row r="54" spans="1:11" x14ac:dyDescent="0.5">
      <c r="A54">
        <v>1</v>
      </c>
      <c r="B54">
        <v>1989</v>
      </c>
      <c r="C54" s="43">
        <v>10338524</v>
      </c>
      <c r="D54" s="43">
        <v>2075860</v>
      </c>
      <c r="E54" s="43">
        <v>3297251</v>
      </c>
      <c r="F54" s="43">
        <f t="shared" si="9"/>
        <v>15711635</v>
      </c>
      <c r="H54" s="132">
        <v>1989</v>
      </c>
      <c r="I54" s="133">
        <f t="shared" si="10"/>
        <v>5.3181467784308252</v>
      </c>
      <c r="J54" s="134">
        <v>2.6818084677125316</v>
      </c>
      <c r="K54" s="133">
        <f t="shared" si="11"/>
        <v>13.881354747040017</v>
      </c>
    </row>
    <row r="55" spans="1:11" x14ac:dyDescent="0.5">
      <c r="A55">
        <v>2</v>
      </c>
      <c r="B55">
        <v>1990</v>
      </c>
      <c r="C55" s="43">
        <v>10053215</v>
      </c>
      <c r="D55" s="43">
        <v>1855297</v>
      </c>
      <c r="E55" s="43">
        <v>3267661</v>
      </c>
      <c r="F55" s="43">
        <f t="shared" si="9"/>
        <v>15176173</v>
      </c>
      <c r="H55" s="132">
        <v>1990</v>
      </c>
      <c r="I55" s="133">
        <f t="shared" si="10"/>
        <v>5.3800035846492831</v>
      </c>
      <c r="J55" s="134">
        <v>2.1166945114884652</v>
      </c>
      <c r="K55" s="133">
        <f t="shared" si="11"/>
        <v>14.125702686617199</v>
      </c>
    </row>
    <row r="56" spans="1:11" x14ac:dyDescent="0.5">
      <c r="A56">
        <v>3</v>
      </c>
      <c r="B56">
        <v>1991</v>
      </c>
      <c r="C56" s="43">
        <v>10119321</v>
      </c>
      <c r="D56" s="43">
        <v>1915781</v>
      </c>
      <c r="E56" s="43">
        <v>3294215</v>
      </c>
      <c r="F56" s="43">
        <f t="shared" si="9"/>
        <v>15329317</v>
      </c>
      <c r="H56" s="132">
        <v>1991</v>
      </c>
      <c r="I56" s="133">
        <f t="shared" si="10"/>
        <v>5.4103123482843678</v>
      </c>
      <c r="J56" s="134">
        <v>1.9542965089946096</v>
      </c>
      <c r="K56" s="133">
        <f t="shared" si="11"/>
        <v>14.369209822089518</v>
      </c>
    </row>
    <row r="57" spans="1:11" x14ac:dyDescent="0.5">
      <c r="A57">
        <v>4</v>
      </c>
      <c r="B57">
        <v>1992</v>
      </c>
      <c r="C57" s="43">
        <v>8172731</v>
      </c>
      <c r="D57" s="43">
        <v>2322005</v>
      </c>
      <c r="E57" s="43">
        <v>3351204</v>
      </c>
      <c r="F57" s="43">
        <f t="shared" si="9"/>
        <v>13845940</v>
      </c>
      <c r="H57" s="132">
        <v>1992</v>
      </c>
      <c r="I57" s="133">
        <f t="shared" si="10"/>
        <v>5.0575688255644504</v>
      </c>
      <c r="J57" s="134">
        <v>2.5744784077264855</v>
      </c>
      <c r="K57" s="133">
        <f t="shared" si="11"/>
        <v>15.031745105314021</v>
      </c>
    </row>
    <row r="58" spans="1:11" x14ac:dyDescent="0.5">
      <c r="A58">
        <v>5</v>
      </c>
      <c r="B58">
        <v>1993</v>
      </c>
      <c r="C58" s="43">
        <v>7678001</v>
      </c>
      <c r="D58" s="43">
        <v>2290615</v>
      </c>
      <c r="E58" s="43">
        <v>3266974</v>
      </c>
      <c r="F58" s="43">
        <f t="shared" si="9"/>
        <v>13235590</v>
      </c>
      <c r="H58" s="132">
        <v>1993</v>
      </c>
      <c r="I58" s="133">
        <f t="shared" si="10"/>
        <v>4.8140174260494195</v>
      </c>
      <c r="J58" s="134">
        <v>2.5690054630711607</v>
      </c>
      <c r="K58" s="133">
        <f t="shared" si="11"/>
        <v>14.181508621197912</v>
      </c>
    </row>
    <row r="59" spans="1:11" x14ac:dyDescent="0.5">
      <c r="A59">
        <v>6</v>
      </c>
      <c r="B59">
        <v>1994</v>
      </c>
      <c r="C59" s="43">
        <v>7878485</v>
      </c>
      <c r="D59" s="43">
        <v>2402179</v>
      </c>
      <c r="E59" s="43">
        <v>3320419</v>
      </c>
      <c r="F59" s="43">
        <f t="shared" si="9"/>
        <v>13601083</v>
      </c>
      <c r="H59" s="132">
        <v>1994</v>
      </c>
      <c r="I59" s="133">
        <f t="shared" si="10"/>
        <v>4.7135862968073026</v>
      </c>
      <c r="J59" s="134">
        <v>2.5319802090952113</v>
      </c>
      <c r="K59" s="133">
        <f t="shared" si="11"/>
        <v>14.521694028055689</v>
      </c>
    </row>
    <row r="60" spans="1:11" x14ac:dyDescent="0.5">
      <c r="A60">
        <v>7</v>
      </c>
      <c r="B60">
        <v>1995</v>
      </c>
      <c r="C60" s="43">
        <v>7361082</v>
      </c>
      <c r="D60" s="43">
        <v>2470446</v>
      </c>
      <c r="E60" s="43">
        <v>3305263</v>
      </c>
      <c r="F60" s="43">
        <f t="shared" si="9"/>
        <v>13136791</v>
      </c>
      <c r="H60" s="132">
        <v>1995</v>
      </c>
      <c r="I60" s="133">
        <f t="shared" si="10"/>
        <v>4.6132894111647644</v>
      </c>
      <c r="J60" s="134">
        <v>2.4062040288773057</v>
      </c>
      <c r="K60" s="133">
        <f t="shared" si="11"/>
        <v>14.73849449821881</v>
      </c>
    </row>
    <row r="61" spans="1:11" x14ac:dyDescent="0.5">
      <c r="A61">
        <v>8</v>
      </c>
      <c r="B61">
        <v>1996</v>
      </c>
      <c r="C61" s="43">
        <v>7614016</v>
      </c>
      <c r="D61" s="43">
        <v>2593978</v>
      </c>
      <c r="E61" s="43">
        <v>3367367</v>
      </c>
      <c r="F61" s="43">
        <f t="shared" si="9"/>
        <v>13575361</v>
      </c>
      <c r="H61" s="132">
        <v>1996</v>
      </c>
      <c r="I61" s="133">
        <f t="shared" si="10"/>
        <v>4.4024499522449156</v>
      </c>
      <c r="J61" s="134">
        <v>2.2737139238392778</v>
      </c>
      <c r="K61" s="133">
        <f t="shared" si="11"/>
        <v>14.609528732306298</v>
      </c>
    </row>
    <row r="62" spans="1:11" x14ac:dyDescent="0.5">
      <c r="A62">
        <v>9</v>
      </c>
      <c r="B62">
        <v>1997</v>
      </c>
      <c r="C62" s="43">
        <v>7745038</v>
      </c>
      <c r="D62" s="43">
        <v>1928522</v>
      </c>
      <c r="E62" s="43">
        <v>3360750</v>
      </c>
      <c r="F62" s="43">
        <f t="shared" si="9"/>
        <v>13034310</v>
      </c>
      <c r="H62" s="132">
        <v>1997</v>
      </c>
      <c r="I62" s="133">
        <f t="shared" si="10"/>
        <v>4.765375084934921</v>
      </c>
      <c r="J62" s="134">
        <v>2.0270223992046437</v>
      </c>
      <c r="K62" s="133">
        <f t="shared" si="11"/>
        <v>15.047975886214573</v>
      </c>
    </row>
    <row r="63" spans="1:11" x14ac:dyDescent="0.5">
      <c r="A63">
        <v>10</v>
      </c>
      <c r="B63">
        <v>1998</v>
      </c>
      <c r="C63" s="43">
        <v>6594254</v>
      </c>
      <c r="D63" s="43">
        <v>2172100</v>
      </c>
      <c r="E63" s="43">
        <v>3123456</v>
      </c>
      <c r="F63" s="43">
        <f t="shared" si="9"/>
        <v>11889810</v>
      </c>
      <c r="H63" s="132">
        <v>1998</v>
      </c>
      <c r="I63" s="133">
        <f t="shared" si="10"/>
        <v>4.1122169746737267</v>
      </c>
      <c r="J63" s="134">
        <v>2.0356137513646324</v>
      </c>
      <c r="K63" s="133">
        <f t="shared" si="11"/>
        <v>13.515612118777808</v>
      </c>
    </row>
    <row r="64" spans="1:11" x14ac:dyDescent="0.5">
      <c r="A64">
        <v>11</v>
      </c>
      <c r="B64">
        <v>1999</v>
      </c>
      <c r="C64" s="43">
        <v>7149485</v>
      </c>
      <c r="D64" s="43">
        <v>1938787</v>
      </c>
      <c r="E64" s="43">
        <v>3158440</v>
      </c>
      <c r="F64" s="43">
        <f t="shared" si="9"/>
        <v>12246712</v>
      </c>
      <c r="H64" s="132">
        <v>1999</v>
      </c>
      <c r="I64" s="133">
        <f t="shared" si="10"/>
        <v>3.6454692704838592</v>
      </c>
      <c r="J64" s="134">
        <v>2.1498579960756263</v>
      </c>
      <c r="K64" s="133">
        <f t="shared" si="11"/>
        <v>13.6802847923831</v>
      </c>
    </row>
    <row r="65" spans="1:11" x14ac:dyDescent="0.5">
      <c r="A65">
        <v>12</v>
      </c>
      <c r="B65">
        <v>2000</v>
      </c>
      <c r="C65" s="43">
        <v>7543525</v>
      </c>
      <c r="D65" s="43">
        <v>1750433</v>
      </c>
      <c r="E65" s="43">
        <v>3141449</v>
      </c>
      <c r="F65" s="43">
        <f t="shared" si="9"/>
        <v>12435407</v>
      </c>
      <c r="H65" s="132">
        <v>2000</v>
      </c>
      <c r="I65" s="133">
        <f t="shared" si="10"/>
        <v>3.2882158262791061</v>
      </c>
      <c r="J65" s="134">
        <v>1.8167148343579218</v>
      </c>
      <c r="K65" s="133">
        <f t="shared" si="11"/>
        <v>13.241852875670645</v>
      </c>
    </row>
    <row r="66" spans="1:11" x14ac:dyDescent="0.5">
      <c r="A66">
        <v>13</v>
      </c>
      <c r="B66">
        <v>2001</v>
      </c>
      <c r="C66" s="43">
        <v>7576811</v>
      </c>
      <c r="D66" s="43">
        <v>1658413</v>
      </c>
      <c r="E66" s="43">
        <v>3154412</v>
      </c>
      <c r="F66" s="43">
        <f t="shared" si="9"/>
        <v>12389636</v>
      </c>
      <c r="H66" s="132">
        <v>2001</v>
      </c>
      <c r="I66" s="133">
        <f t="shared" si="10"/>
        <v>3.3664622708994938</v>
      </c>
      <c r="J66" s="134">
        <v>1.7674184065704239</v>
      </c>
      <c r="K66" s="133">
        <f t="shared" si="11"/>
        <v>12.330993044157875</v>
      </c>
    </row>
    <row r="67" spans="1:11" x14ac:dyDescent="0.5">
      <c r="A67">
        <v>14</v>
      </c>
      <c r="B67">
        <v>2002</v>
      </c>
      <c r="C67" s="43">
        <v>7944882</v>
      </c>
      <c r="D67" s="43">
        <v>1421418</v>
      </c>
      <c r="E67" s="43">
        <v>3085552</v>
      </c>
      <c r="F67" s="43">
        <f t="shared" si="9"/>
        <v>12451852</v>
      </c>
      <c r="H67" s="132">
        <v>2002</v>
      </c>
      <c r="I67" s="133">
        <f t="shared" si="10"/>
        <v>3.3374412524785906</v>
      </c>
      <c r="J67" s="134">
        <v>1.822897051927469</v>
      </c>
      <c r="K67" s="133">
        <f t="shared" si="11"/>
        <v>11.560598533886635</v>
      </c>
    </row>
    <row r="68" spans="1:11" x14ac:dyDescent="0.5">
      <c r="A68">
        <v>15</v>
      </c>
      <c r="B68">
        <v>2003</v>
      </c>
      <c r="C68" s="43">
        <v>8063941</v>
      </c>
      <c r="D68" s="43">
        <v>1333679</v>
      </c>
      <c r="E68" s="43">
        <v>3087333</v>
      </c>
      <c r="F68" s="43">
        <f t="shared" si="9"/>
        <v>12484953</v>
      </c>
      <c r="H68" s="132">
        <v>2003</v>
      </c>
      <c r="I68" s="133">
        <f t="shared" si="10"/>
        <v>3.2703019995652252</v>
      </c>
      <c r="J68" s="134">
        <v>1.8118912722198528</v>
      </c>
      <c r="K68" s="133">
        <f t="shared" si="11"/>
        <v>11.524477027614958</v>
      </c>
    </row>
    <row r="69" spans="1:11" x14ac:dyDescent="0.5">
      <c r="A69">
        <v>16</v>
      </c>
      <c r="B69">
        <v>2004</v>
      </c>
      <c r="C69" s="43">
        <v>7607508</v>
      </c>
      <c r="D69" s="43">
        <v>1585920</v>
      </c>
      <c r="E69" s="43">
        <v>3113895</v>
      </c>
      <c r="F69" s="43">
        <f t="shared" si="9"/>
        <v>12307323</v>
      </c>
      <c r="H69" s="132">
        <v>2004</v>
      </c>
      <c r="I69" s="133">
        <f t="shared" si="10"/>
        <v>3.308504683912127</v>
      </c>
      <c r="J69" s="134">
        <v>1.7103103326262261</v>
      </c>
      <c r="K69" s="133">
        <f t="shared" si="11"/>
        <v>12.008449920188864</v>
      </c>
    </row>
    <row r="70" spans="1:11" x14ac:dyDescent="0.5">
      <c r="A70">
        <v>17</v>
      </c>
      <c r="B70">
        <v>2005</v>
      </c>
      <c r="C70" s="43">
        <v>7341124</v>
      </c>
      <c r="D70" s="43">
        <v>2048086</v>
      </c>
      <c r="E70" s="43">
        <v>2672430</v>
      </c>
      <c r="F70" s="43">
        <f t="shared" si="9"/>
        <v>12061640</v>
      </c>
      <c r="H70" s="132">
        <v>2005</v>
      </c>
      <c r="I70" s="133">
        <f t="shared" si="10"/>
        <v>3.1951956741275853</v>
      </c>
      <c r="J70" s="134">
        <v>1.373181476733341</v>
      </c>
      <c r="K70" s="133">
        <f t="shared" si="11"/>
        <v>11.90475804928076</v>
      </c>
    </row>
    <row r="71" spans="1:11" x14ac:dyDescent="0.5">
      <c r="A71">
        <v>18</v>
      </c>
      <c r="B71">
        <v>2006</v>
      </c>
      <c r="C71" s="43">
        <v>7257555</v>
      </c>
      <c r="D71" s="43">
        <v>1873989</v>
      </c>
      <c r="E71" s="43">
        <v>2345929</v>
      </c>
      <c r="F71" s="43">
        <f t="shared" si="9"/>
        <v>11477473</v>
      </c>
      <c r="H71" s="132">
        <v>2006</v>
      </c>
      <c r="I71" s="133">
        <f t="shared" si="10"/>
        <v>2.9677817651964378</v>
      </c>
      <c r="J71" s="134">
        <v>1.4288170018839061</v>
      </c>
      <c r="K71" s="133">
        <f t="shared" si="11"/>
        <v>9.6853975313154201</v>
      </c>
    </row>
    <row r="72" spans="1:11" x14ac:dyDescent="0.5">
      <c r="A72">
        <v>19</v>
      </c>
      <c r="B72">
        <v>2007</v>
      </c>
      <c r="C72" s="43">
        <v>7385701</v>
      </c>
      <c r="D72" s="43">
        <v>1851395</v>
      </c>
      <c r="E72" s="43">
        <v>2279310</v>
      </c>
      <c r="F72" s="43">
        <f t="shared" si="9"/>
        <v>11516406</v>
      </c>
      <c r="H72" s="132">
        <v>2007</v>
      </c>
      <c r="I72" s="133">
        <f t="shared" ref="I72:I79" si="12">C111/C33</f>
        <v>3.0114810531796627</v>
      </c>
      <c r="J72" s="134">
        <v>1.4679307058036954</v>
      </c>
      <c r="K72" s="133">
        <f t="shared" si="11"/>
        <v>9.7913582688015257</v>
      </c>
    </row>
    <row r="73" spans="1:11" x14ac:dyDescent="0.5">
      <c r="A73">
        <v>20</v>
      </c>
      <c r="B73" s="63">
        <v>2008</v>
      </c>
      <c r="C73" s="64">
        <v>7117367</v>
      </c>
      <c r="D73" s="64">
        <v>1905349</v>
      </c>
      <c r="E73" s="64">
        <v>2263450</v>
      </c>
      <c r="F73" s="64">
        <f>SUM(C73:E73)</f>
        <v>11286166</v>
      </c>
      <c r="H73" s="135">
        <v>2008</v>
      </c>
      <c r="I73" s="133">
        <f t="shared" si="12"/>
        <v>3.2566753152851309</v>
      </c>
      <c r="J73" s="133">
        <f t="shared" ref="J73:J81" si="13">D112/D34</f>
        <v>1.5275442719266241</v>
      </c>
      <c r="K73" s="133">
        <f t="shared" si="11"/>
        <v>10.372949024134025</v>
      </c>
    </row>
    <row r="74" spans="1:11" x14ac:dyDescent="0.5">
      <c r="A74">
        <v>21</v>
      </c>
      <c r="B74" s="63">
        <v>2009</v>
      </c>
      <c r="C74" s="64">
        <v>6319632</v>
      </c>
      <c r="D74" s="64">
        <v>1728141</v>
      </c>
      <c r="E74" s="64">
        <v>2246743</v>
      </c>
      <c r="F74" s="64">
        <f t="shared" ref="F74:F81" si="14">SUM(C74:E74)</f>
        <v>10294516</v>
      </c>
      <c r="H74" s="135">
        <v>2009</v>
      </c>
      <c r="I74" s="133">
        <f t="shared" si="12"/>
        <v>3.0726812602481806</v>
      </c>
      <c r="J74" s="133">
        <f t="shared" si="13"/>
        <v>1.64511632249725</v>
      </c>
      <c r="K74" s="133">
        <f t="shared" si="11"/>
        <v>10.026185790137001</v>
      </c>
    </row>
    <row r="75" spans="1:11" x14ac:dyDescent="0.5">
      <c r="A75">
        <v>22</v>
      </c>
      <c r="B75" s="63">
        <v>2010</v>
      </c>
      <c r="C75" s="64">
        <v>6496579</v>
      </c>
      <c r="D75" s="64">
        <v>946169</v>
      </c>
      <c r="E75" s="64">
        <v>2278713</v>
      </c>
      <c r="F75" s="64">
        <f t="shared" si="14"/>
        <v>9721461</v>
      </c>
      <c r="H75" s="135">
        <v>2010</v>
      </c>
      <c r="I75" s="133">
        <f t="shared" si="12"/>
        <v>2.9234095500155965</v>
      </c>
      <c r="J75" s="133">
        <f t="shared" si="13"/>
        <v>2.0759038076512399</v>
      </c>
      <c r="K75" s="133">
        <f t="shared" si="11"/>
        <v>10.361636076531477</v>
      </c>
    </row>
    <row r="76" spans="1:11" x14ac:dyDescent="0.5">
      <c r="A76">
        <v>23</v>
      </c>
      <c r="B76">
        <v>2011</v>
      </c>
      <c r="C76" s="43">
        <v>6405638</v>
      </c>
      <c r="D76" s="43">
        <v>719466</v>
      </c>
      <c r="E76" s="43">
        <v>2320874</v>
      </c>
      <c r="F76" s="64">
        <f t="shared" si="14"/>
        <v>9445978</v>
      </c>
      <c r="H76" s="72">
        <v>2011</v>
      </c>
      <c r="I76" s="133">
        <f t="shared" si="12"/>
        <v>3.2035159021377275</v>
      </c>
      <c r="J76" s="133">
        <f t="shared" si="13"/>
        <v>2.3996203912777303</v>
      </c>
      <c r="K76" s="133">
        <f t="shared" si="11"/>
        <v>11.187228617791833</v>
      </c>
    </row>
    <row r="77" spans="1:11" x14ac:dyDescent="0.5">
      <c r="A77">
        <v>24</v>
      </c>
      <c r="B77">
        <v>2012</v>
      </c>
      <c r="C77" s="43">
        <v>6215530</v>
      </c>
      <c r="D77" s="43">
        <v>716990</v>
      </c>
      <c r="E77" s="43">
        <v>2267585</v>
      </c>
      <c r="F77" s="64">
        <f t="shared" si="14"/>
        <v>9200105</v>
      </c>
      <c r="H77" s="72">
        <v>2012</v>
      </c>
      <c r="I77" s="133">
        <f t="shared" si="12"/>
        <v>3.3841240223993219</v>
      </c>
      <c r="J77" s="133">
        <f t="shared" si="13"/>
        <v>2.5015669680820092</v>
      </c>
      <c r="K77" s="133">
        <f t="shared" si="11"/>
        <v>11.633624757401174</v>
      </c>
    </row>
    <row r="78" spans="1:11" x14ac:dyDescent="0.5">
      <c r="A78">
        <v>25</v>
      </c>
      <c r="B78">
        <v>2013</v>
      </c>
      <c r="C78" s="43">
        <v>7070470</v>
      </c>
      <c r="D78" s="43">
        <v>1433750</v>
      </c>
      <c r="E78" s="43">
        <v>1980916</v>
      </c>
      <c r="F78" s="64">
        <f t="shared" si="14"/>
        <v>10485136</v>
      </c>
      <c r="H78" s="72">
        <v>2013</v>
      </c>
      <c r="I78" s="133">
        <f t="shared" si="12"/>
        <v>4.1906729459221301</v>
      </c>
      <c r="J78" s="133">
        <f t="shared" si="13"/>
        <v>2.2952707754256219</v>
      </c>
      <c r="K78" s="133">
        <f t="shared" si="11"/>
        <v>13.658356358234377</v>
      </c>
    </row>
    <row r="79" spans="1:11" x14ac:dyDescent="0.5">
      <c r="A79">
        <v>26</v>
      </c>
      <c r="B79">
        <v>2014</v>
      </c>
      <c r="C79" s="43">
        <v>6051940</v>
      </c>
      <c r="D79" s="43">
        <v>1391600</v>
      </c>
      <c r="E79" s="43">
        <v>1973526</v>
      </c>
      <c r="F79" s="64">
        <f t="shared" si="14"/>
        <v>9417066</v>
      </c>
      <c r="H79" s="72">
        <v>2014</v>
      </c>
      <c r="I79" s="133">
        <f t="shared" si="12"/>
        <v>4.2678480904152289</v>
      </c>
      <c r="J79" s="133">
        <f t="shared" si="13"/>
        <v>2.4727482083472947</v>
      </c>
      <c r="K79" s="133">
        <f t="shared" si="11"/>
        <v>15.317762582530056</v>
      </c>
    </row>
    <row r="80" spans="1:11" x14ac:dyDescent="0.5">
      <c r="A80">
        <v>27</v>
      </c>
      <c r="B80">
        <v>2015</v>
      </c>
      <c r="C80" s="43">
        <v>6024470</v>
      </c>
      <c r="D80" s="43">
        <v>1458310</v>
      </c>
      <c r="E80" s="43">
        <v>1997918</v>
      </c>
      <c r="F80" s="64">
        <f t="shared" si="14"/>
        <v>9480698</v>
      </c>
      <c r="H80" s="72">
        <v>2015</v>
      </c>
      <c r="I80" s="133">
        <f>C119/C41</f>
        <v>3.9985862941842645</v>
      </c>
      <c r="J80" s="133">
        <f t="shared" si="13"/>
        <v>2.3216847323683298</v>
      </c>
      <c r="K80" s="133">
        <f>E119/E41</f>
        <v>14.26850905394679</v>
      </c>
    </row>
    <row r="81" spans="1:11" x14ac:dyDescent="0.5">
      <c r="A81">
        <v>28</v>
      </c>
      <c r="B81">
        <v>2016</v>
      </c>
      <c r="C81" s="43">
        <v>7108584</v>
      </c>
      <c r="D81" s="43">
        <v>1530336</v>
      </c>
      <c r="E81" s="43">
        <v>1680519</v>
      </c>
      <c r="F81" s="64">
        <f t="shared" si="14"/>
        <v>10319439</v>
      </c>
      <c r="H81" s="72">
        <v>2016</v>
      </c>
      <c r="I81" s="133">
        <f>C120/C42</f>
        <v>4.2594157752693542</v>
      </c>
      <c r="J81" s="133">
        <f t="shared" si="13"/>
        <v>1.9542104376252369</v>
      </c>
      <c r="K81" s="133">
        <f>E120/E42</f>
        <v>13.967472209468953</v>
      </c>
    </row>
    <row r="82" spans="1:11" x14ac:dyDescent="0.5">
      <c r="B82" s="48"/>
      <c r="C82" s="43"/>
      <c r="D82" s="43"/>
      <c r="E82" s="22" t="s">
        <v>188</v>
      </c>
      <c r="F82" s="75">
        <f>AVERAGE(F77:F81)</f>
        <v>9780488.8000000007</v>
      </c>
      <c r="H82" s="72"/>
      <c r="I82" s="72"/>
      <c r="J82" s="72"/>
      <c r="K82" s="72"/>
    </row>
    <row r="83" spans="1:11" x14ac:dyDescent="0.5">
      <c r="H83" s="72"/>
      <c r="I83" s="72"/>
      <c r="J83" s="72"/>
      <c r="K83" s="72"/>
    </row>
    <row r="84" spans="1:11" ht="22.2" x14ac:dyDescent="0.55000000000000004">
      <c r="A84" s="54" t="s">
        <v>195</v>
      </c>
      <c r="H84" s="129" t="s">
        <v>141</v>
      </c>
      <c r="I84" s="72"/>
      <c r="J84" s="72"/>
      <c r="K84" s="72"/>
    </row>
    <row r="85" spans="1:11" x14ac:dyDescent="0.5">
      <c r="B85" s="22" t="s">
        <v>58</v>
      </c>
      <c r="C85" s="49" t="s">
        <v>355</v>
      </c>
      <c r="D85" s="49" t="s">
        <v>356</v>
      </c>
      <c r="E85" s="49" t="s">
        <v>357</v>
      </c>
      <c r="F85" s="49" t="s">
        <v>9</v>
      </c>
      <c r="H85" s="130" t="s">
        <v>58</v>
      </c>
      <c r="I85" s="131" t="s">
        <v>355</v>
      </c>
      <c r="J85" s="131" t="s">
        <v>356</v>
      </c>
      <c r="K85" s="131" t="s">
        <v>357</v>
      </c>
    </row>
    <row r="86" spans="1:11" x14ac:dyDescent="0.5">
      <c r="A86">
        <v>57</v>
      </c>
      <c r="B86">
        <v>1982</v>
      </c>
      <c r="C86" s="43">
        <v>209612734</v>
      </c>
      <c r="D86" s="43"/>
      <c r="E86" s="43">
        <v>48209766</v>
      </c>
      <c r="F86" s="43">
        <f t="shared" ref="F86:F109" si="15">SUM(C86:E86)</f>
        <v>257822500</v>
      </c>
      <c r="H86" s="72">
        <v>1982</v>
      </c>
      <c r="I86" s="136">
        <f>C86/C47</f>
        <v>18.982183369067659</v>
      </c>
      <c r="J86" s="136"/>
      <c r="K86" s="136">
        <f t="shared" ref="K86:K111" si="16">E86/E47</f>
        <v>20.155915817181903</v>
      </c>
    </row>
    <row r="87" spans="1:11" x14ac:dyDescent="0.5">
      <c r="A87">
        <v>58</v>
      </c>
      <c r="B87">
        <v>1983</v>
      </c>
      <c r="C87" s="43">
        <v>209015539</v>
      </c>
      <c r="D87" s="43">
        <v>9751702</v>
      </c>
      <c r="E87" s="43">
        <v>48485733</v>
      </c>
      <c r="F87" s="43">
        <f t="shared" si="15"/>
        <v>267252974</v>
      </c>
      <c r="H87" s="72">
        <v>1983</v>
      </c>
      <c r="I87" s="136">
        <f t="shared" ref="I87:J111" si="17">C87/C48</f>
        <v>19.164312779409119</v>
      </c>
      <c r="J87" s="136">
        <f t="shared" si="17"/>
        <v>30.588200974887549</v>
      </c>
      <c r="K87" s="136">
        <f t="shared" si="16"/>
        <v>20.239393107064082</v>
      </c>
    </row>
    <row r="88" spans="1:11" x14ac:dyDescent="0.5">
      <c r="A88">
        <v>59</v>
      </c>
      <c r="B88">
        <v>1984</v>
      </c>
      <c r="C88" s="43">
        <v>195595021</v>
      </c>
      <c r="D88" s="43">
        <v>34603060</v>
      </c>
      <c r="E88" s="43">
        <v>55267408</v>
      </c>
      <c r="F88" s="43">
        <f t="shared" si="15"/>
        <v>285465489</v>
      </c>
      <c r="H88" s="72">
        <v>1984</v>
      </c>
      <c r="I88" s="136">
        <f t="shared" si="17"/>
        <v>18.956788083979159</v>
      </c>
      <c r="J88" s="136">
        <f t="shared" si="17"/>
        <v>20.000161836707917</v>
      </c>
      <c r="K88" s="136">
        <f t="shared" si="16"/>
        <v>19.864799448489638</v>
      </c>
    </row>
    <row r="89" spans="1:11" x14ac:dyDescent="0.5">
      <c r="A89">
        <v>60</v>
      </c>
      <c r="B89">
        <v>1985</v>
      </c>
      <c r="C89" s="43">
        <v>173139580</v>
      </c>
      <c r="D89" s="43">
        <v>50562645</v>
      </c>
      <c r="E89" s="43">
        <v>56873940</v>
      </c>
      <c r="F89" s="43">
        <f t="shared" si="15"/>
        <v>280576165</v>
      </c>
      <c r="H89" s="72">
        <v>1985</v>
      </c>
      <c r="I89" s="136">
        <f t="shared" si="17"/>
        <v>19.354797528696906</v>
      </c>
      <c r="J89" s="136">
        <f t="shared" si="17"/>
        <v>19.146570004771245</v>
      </c>
      <c r="K89" s="136">
        <f t="shared" si="16"/>
        <v>19.924881359352415</v>
      </c>
    </row>
    <row r="90" spans="1:11" x14ac:dyDescent="0.5">
      <c r="A90">
        <v>61</v>
      </c>
      <c r="B90">
        <v>1986</v>
      </c>
      <c r="C90" s="43">
        <v>162141742</v>
      </c>
      <c r="D90" s="43">
        <v>40632260</v>
      </c>
      <c r="E90" s="43">
        <v>55515211</v>
      </c>
      <c r="F90" s="43">
        <f t="shared" si="15"/>
        <v>258289213</v>
      </c>
      <c r="H90" s="72">
        <v>1986</v>
      </c>
      <c r="I90" s="136">
        <f t="shared" si="17"/>
        <v>18.63839150133424</v>
      </c>
      <c r="J90" s="136">
        <f t="shared" si="17"/>
        <v>16.588482362806634</v>
      </c>
      <c r="K90" s="136">
        <f t="shared" si="16"/>
        <v>17.648214235758772</v>
      </c>
    </row>
    <row r="91" spans="1:11" x14ac:dyDescent="0.5">
      <c r="A91">
        <v>62</v>
      </c>
      <c r="B91">
        <v>1987</v>
      </c>
      <c r="C91" s="43">
        <v>153357256</v>
      </c>
      <c r="D91" s="43">
        <v>29436655</v>
      </c>
      <c r="E91" s="43">
        <v>54859715</v>
      </c>
      <c r="F91" s="43">
        <f t="shared" si="15"/>
        <v>237653626</v>
      </c>
      <c r="H91" s="72">
        <v>1987</v>
      </c>
      <c r="I91" s="136">
        <f t="shared" si="17"/>
        <v>17.506719933588343</v>
      </c>
      <c r="J91" s="136">
        <f t="shared" si="17"/>
        <v>14.084119594652785</v>
      </c>
      <c r="K91" s="136">
        <f t="shared" si="16"/>
        <v>16.428512391373161</v>
      </c>
    </row>
    <row r="92" spans="1:11" x14ac:dyDescent="0.5">
      <c r="A92">
        <v>0</v>
      </c>
      <c r="B92">
        <v>1988</v>
      </c>
      <c r="C92" s="43">
        <v>141943443</v>
      </c>
      <c r="D92" s="43">
        <v>33032645</v>
      </c>
      <c r="E92" s="43">
        <v>52316227</v>
      </c>
      <c r="F92" s="43">
        <f t="shared" si="15"/>
        <v>227292315</v>
      </c>
      <c r="H92" s="72">
        <v>1988</v>
      </c>
      <c r="I92" s="136">
        <f t="shared" si="17"/>
        <v>15.37265192065764</v>
      </c>
      <c r="J92" s="136">
        <f t="shared" si="17"/>
        <v>15.287087772234615</v>
      </c>
      <c r="K92" s="136">
        <f t="shared" si="16"/>
        <v>15.499698990254513</v>
      </c>
    </row>
    <row r="93" spans="1:11" x14ac:dyDescent="0.5">
      <c r="A93">
        <v>1</v>
      </c>
      <c r="B93">
        <v>1989</v>
      </c>
      <c r="C93" s="43">
        <v>158383771</v>
      </c>
      <c r="D93" s="43">
        <v>27582266</v>
      </c>
      <c r="E93" s="43">
        <v>50225254</v>
      </c>
      <c r="F93" s="43">
        <f t="shared" si="15"/>
        <v>236191291</v>
      </c>
      <c r="H93" s="72">
        <v>1989</v>
      </c>
      <c r="I93" s="136">
        <f t="shared" si="17"/>
        <v>15.319766245162269</v>
      </c>
      <c r="J93" s="136">
        <f t="shared" si="17"/>
        <v>13.287151349320281</v>
      </c>
      <c r="K93" s="136">
        <f t="shared" si="16"/>
        <v>15.232463042698296</v>
      </c>
    </row>
    <row r="94" spans="1:11" x14ac:dyDescent="0.5">
      <c r="A94">
        <v>2</v>
      </c>
      <c r="B94">
        <v>1990</v>
      </c>
      <c r="C94" s="43">
        <v>153386377</v>
      </c>
      <c r="D94" s="43">
        <v>25643246</v>
      </c>
      <c r="E94" s="43">
        <v>49889185</v>
      </c>
      <c r="F94" s="43">
        <f t="shared" si="15"/>
        <v>228918808</v>
      </c>
      <c r="H94" s="72">
        <v>1990</v>
      </c>
      <c r="I94" s="136">
        <f t="shared" si="17"/>
        <v>15.257445205339785</v>
      </c>
      <c r="J94" s="136">
        <f t="shared" si="17"/>
        <v>13.821639338607241</v>
      </c>
      <c r="K94" s="136">
        <f t="shared" si="16"/>
        <v>15.267552233845555</v>
      </c>
    </row>
    <row r="95" spans="1:11" x14ac:dyDescent="0.5">
      <c r="A95">
        <v>3</v>
      </c>
      <c r="B95">
        <v>1991</v>
      </c>
      <c r="C95" s="43">
        <v>154233289</v>
      </c>
      <c r="D95" s="43">
        <v>24805868</v>
      </c>
      <c r="E95" s="43">
        <v>50371653</v>
      </c>
      <c r="F95" s="43">
        <f t="shared" si="15"/>
        <v>229410810</v>
      </c>
      <c r="H95" s="72">
        <v>1991</v>
      </c>
      <c r="I95" s="136">
        <f t="shared" si="17"/>
        <v>15.24146620114136</v>
      </c>
      <c r="J95" s="136">
        <f t="shared" si="17"/>
        <v>12.948175182862759</v>
      </c>
      <c r="K95" s="136">
        <f t="shared" si="16"/>
        <v>15.290942758745254</v>
      </c>
    </row>
    <row r="96" spans="1:11" x14ac:dyDescent="0.5">
      <c r="A96">
        <v>4</v>
      </c>
      <c r="B96">
        <v>1992</v>
      </c>
      <c r="C96" s="43">
        <v>131815917</v>
      </c>
      <c r="D96" s="43">
        <v>29190605</v>
      </c>
      <c r="E96" s="43">
        <v>51251712</v>
      </c>
      <c r="F96" s="43">
        <f t="shared" si="15"/>
        <v>212258234</v>
      </c>
      <c r="H96" s="72">
        <v>1992</v>
      </c>
      <c r="I96" s="136">
        <f t="shared" si="17"/>
        <v>16.128747783329711</v>
      </c>
      <c r="J96" s="136">
        <f t="shared" si="17"/>
        <v>12.571292912805959</v>
      </c>
      <c r="K96" s="136">
        <f t="shared" si="16"/>
        <v>15.293521970014359</v>
      </c>
    </row>
    <row r="97" spans="1:11" x14ac:dyDescent="0.5">
      <c r="A97">
        <v>5</v>
      </c>
      <c r="B97">
        <v>1993</v>
      </c>
      <c r="C97" s="43">
        <v>124143063</v>
      </c>
      <c r="D97" s="43">
        <v>28600093</v>
      </c>
      <c r="E97" s="43">
        <v>49310084</v>
      </c>
      <c r="F97" s="43">
        <f t="shared" si="15"/>
        <v>202053240</v>
      </c>
      <c r="H97" s="72">
        <v>1993</v>
      </c>
      <c r="I97" s="136">
        <f t="shared" si="17"/>
        <v>16.168669813926829</v>
      </c>
      <c r="J97" s="136">
        <f t="shared" si="17"/>
        <v>12.485770415368798</v>
      </c>
      <c r="K97" s="136">
        <f t="shared" si="16"/>
        <v>15.093503652003353</v>
      </c>
    </row>
    <row r="98" spans="1:11" x14ac:dyDescent="0.5">
      <c r="A98">
        <v>6</v>
      </c>
      <c r="B98">
        <v>1994</v>
      </c>
      <c r="C98" s="43">
        <v>122783361</v>
      </c>
      <c r="D98" s="43">
        <v>29425408</v>
      </c>
      <c r="E98" s="43">
        <v>49625653</v>
      </c>
      <c r="F98" s="43">
        <f t="shared" si="15"/>
        <v>201834422</v>
      </c>
      <c r="H98" s="72">
        <v>1994</v>
      </c>
      <c r="I98" s="136">
        <f t="shared" si="17"/>
        <v>15.584641082644696</v>
      </c>
      <c r="J98" s="136">
        <f t="shared" si="17"/>
        <v>12.249465173078276</v>
      </c>
      <c r="K98" s="136">
        <f t="shared" si="16"/>
        <v>14.945599636672359</v>
      </c>
    </row>
    <row r="99" spans="1:11" x14ac:dyDescent="0.5">
      <c r="A99">
        <v>7</v>
      </c>
      <c r="B99">
        <v>1995</v>
      </c>
      <c r="C99" s="43">
        <v>113335110</v>
      </c>
      <c r="D99" s="43">
        <v>29712060</v>
      </c>
      <c r="E99" s="43">
        <v>49374045</v>
      </c>
      <c r="F99" s="43">
        <f t="shared" si="15"/>
        <v>192421215</v>
      </c>
      <c r="H99" s="72">
        <v>1995</v>
      </c>
      <c r="I99" s="136">
        <f t="shared" si="17"/>
        <v>15.396528662498257</v>
      </c>
      <c r="J99" s="136">
        <f t="shared" si="17"/>
        <v>12.027002411710274</v>
      </c>
      <c r="K99" s="136">
        <f t="shared" si="16"/>
        <v>14.938007958822036</v>
      </c>
    </row>
    <row r="100" spans="1:11" x14ac:dyDescent="0.5">
      <c r="A100">
        <v>8</v>
      </c>
      <c r="B100">
        <v>1996</v>
      </c>
      <c r="C100" s="43">
        <v>107417560</v>
      </c>
      <c r="D100" s="43">
        <v>29767756</v>
      </c>
      <c r="E100" s="43">
        <v>48925281</v>
      </c>
      <c r="F100" s="43">
        <f>SUM(C100:E100)</f>
        <v>186110597</v>
      </c>
      <c r="H100" s="72">
        <v>1996</v>
      </c>
      <c r="I100" s="136">
        <f t="shared" si="17"/>
        <v>14.107871588396977</v>
      </c>
      <c r="J100" s="136">
        <f t="shared" si="17"/>
        <v>11.475716447865016</v>
      </c>
      <c r="K100" s="136">
        <f t="shared" si="16"/>
        <v>14.529239313683361</v>
      </c>
    </row>
    <row r="101" spans="1:11" x14ac:dyDescent="0.5">
      <c r="A101">
        <v>9</v>
      </c>
      <c r="B101">
        <v>1997</v>
      </c>
      <c r="C101" s="43">
        <v>114070904</v>
      </c>
      <c r="D101" s="43">
        <v>22847435</v>
      </c>
      <c r="E101" s="43">
        <v>50222770</v>
      </c>
      <c r="F101" s="43">
        <f>SUM(C101:E101)</f>
        <v>187141109</v>
      </c>
      <c r="H101" s="72">
        <v>1997</v>
      </c>
      <c r="I101" s="136">
        <f t="shared" si="17"/>
        <v>14.728256207393688</v>
      </c>
      <c r="J101" s="136">
        <f t="shared" si="17"/>
        <v>11.847121785491687</v>
      </c>
      <c r="K101" s="136">
        <f t="shared" si="16"/>
        <v>14.943917280368964</v>
      </c>
    </row>
    <row r="102" spans="1:11" x14ac:dyDescent="0.5">
      <c r="A102">
        <v>10</v>
      </c>
      <c r="B102">
        <v>1998</v>
      </c>
      <c r="C102" s="43">
        <v>95178952</v>
      </c>
      <c r="D102" s="43">
        <v>23171601</v>
      </c>
      <c r="E102" s="43">
        <v>43609420</v>
      </c>
      <c r="F102" s="43">
        <f t="shared" si="15"/>
        <v>161959973</v>
      </c>
      <c r="H102" s="72">
        <v>1998</v>
      </c>
      <c r="I102" s="136">
        <f t="shared" si="17"/>
        <v>14.433619329798336</v>
      </c>
      <c r="J102" s="136">
        <f t="shared" si="17"/>
        <v>10.667833433083191</v>
      </c>
      <c r="K102" s="136">
        <f t="shared" si="16"/>
        <v>13.961912701827719</v>
      </c>
    </row>
    <row r="103" spans="1:11" x14ac:dyDescent="0.5">
      <c r="A103">
        <v>11</v>
      </c>
      <c r="B103">
        <v>1999</v>
      </c>
      <c r="C103" s="43">
        <v>92300690</v>
      </c>
      <c r="D103" s="43">
        <v>22206511</v>
      </c>
      <c r="E103" s="43">
        <v>43576331</v>
      </c>
      <c r="F103" s="43">
        <f t="shared" si="15"/>
        <v>158083532</v>
      </c>
      <c r="H103" s="72">
        <v>1999</v>
      </c>
      <c r="I103" s="136">
        <f t="shared" si="17"/>
        <v>12.91011730215533</v>
      </c>
      <c r="J103" s="136">
        <f t="shared" si="17"/>
        <v>11.453816742117622</v>
      </c>
      <c r="K103" s="136">
        <f t="shared" si="16"/>
        <v>13.796789237724953</v>
      </c>
    </row>
    <row r="104" spans="1:11" x14ac:dyDescent="0.5">
      <c r="A104">
        <v>12</v>
      </c>
      <c r="B104">
        <v>2000</v>
      </c>
      <c r="C104" s="43">
        <v>87251370</v>
      </c>
      <c r="D104" s="43">
        <v>17355858</v>
      </c>
      <c r="E104" s="43">
        <v>42207254</v>
      </c>
      <c r="F104" s="43">
        <f t="shared" si="15"/>
        <v>146814482</v>
      </c>
      <c r="H104" s="72">
        <v>2000</v>
      </c>
      <c r="I104" s="136">
        <f t="shared" si="17"/>
        <v>11.566392369615</v>
      </c>
      <c r="J104" s="136">
        <f t="shared" si="17"/>
        <v>9.9151798440728669</v>
      </c>
      <c r="K104" s="136">
        <f t="shared" si="16"/>
        <v>13.435600577949858</v>
      </c>
    </row>
    <row r="105" spans="1:11" x14ac:dyDescent="0.5">
      <c r="A105">
        <v>13</v>
      </c>
      <c r="B105">
        <v>2001</v>
      </c>
      <c r="C105" s="43">
        <v>88073901</v>
      </c>
      <c r="D105" s="43">
        <v>16394559</v>
      </c>
      <c r="E105" s="43">
        <v>39443764</v>
      </c>
      <c r="F105" s="43">
        <f t="shared" si="15"/>
        <v>143912224</v>
      </c>
      <c r="H105" s="72">
        <v>2001</v>
      </c>
      <c r="I105" s="136">
        <f t="shared" si="17"/>
        <v>11.624138572283247</v>
      </c>
      <c r="J105" s="136">
        <f t="shared" si="17"/>
        <v>9.8856913205576653</v>
      </c>
      <c r="K105" s="136">
        <f t="shared" si="16"/>
        <v>12.504315859817931</v>
      </c>
    </row>
    <row r="106" spans="1:11" x14ac:dyDescent="0.5">
      <c r="A106">
        <v>14</v>
      </c>
      <c r="B106">
        <v>2002</v>
      </c>
      <c r="C106" s="43">
        <v>87903390</v>
      </c>
      <c r="D106" s="43">
        <v>14760218</v>
      </c>
      <c r="E106" s="43">
        <v>36722958</v>
      </c>
      <c r="F106" s="43">
        <f t="shared" si="15"/>
        <v>139386566</v>
      </c>
      <c r="H106" s="72">
        <v>2002</v>
      </c>
      <c r="I106" s="136">
        <f t="shared" si="17"/>
        <v>11.064152998118789</v>
      </c>
      <c r="J106" s="136">
        <f t="shared" si="17"/>
        <v>10.384150193679833</v>
      </c>
      <c r="K106" s="136">
        <f t="shared" si="16"/>
        <v>11.901584546298361</v>
      </c>
    </row>
    <row r="107" spans="1:11" x14ac:dyDescent="0.5">
      <c r="A107">
        <v>15</v>
      </c>
      <c r="B107">
        <v>2003</v>
      </c>
      <c r="C107" s="43">
        <v>85884210</v>
      </c>
      <c r="D107" s="43">
        <v>13883240</v>
      </c>
      <c r="E107" s="43">
        <v>35653943</v>
      </c>
      <c r="F107" s="43">
        <f t="shared" si="15"/>
        <v>135421393</v>
      </c>
      <c r="H107" s="72">
        <v>2003</v>
      </c>
      <c r="I107" s="136">
        <f t="shared" si="17"/>
        <v>10.650401584039367</v>
      </c>
      <c r="J107" s="136">
        <f t="shared" si="17"/>
        <v>10.409731277166395</v>
      </c>
      <c r="K107" s="136">
        <f t="shared" si="16"/>
        <v>11.548460434944984</v>
      </c>
    </row>
    <row r="108" spans="1:11" x14ac:dyDescent="0.5">
      <c r="A108">
        <v>16</v>
      </c>
      <c r="B108">
        <v>2004</v>
      </c>
      <c r="C108" s="43">
        <v>81632033</v>
      </c>
      <c r="D108" s="43">
        <v>14959922</v>
      </c>
      <c r="E108" s="43">
        <v>35809678</v>
      </c>
      <c r="F108" s="43">
        <f t="shared" si="15"/>
        <v>132401633</v>
      </c>
      <c r="H108" s="72">
        <v>2004</v>
      </c>
      <c r="I108" s="136">
        <f t="shared" si="17"/>
        <v>10.730456412270614</v>
      </c>
      <c r="J108" s="136">
        <f t="shared" si="17"/>
        <v>9.4329613095238098</v>
      </c>
      <c r="K108" s="136">
        <f t="shared" si="16"/>
        <v>11.499963229331753</v>
      </c>
    </row>
    <row r="109" spans="1:11" x14ac:dyDescent="0.5">
      <c r="A109">
        <v>17</v>
      </c>
      <c r="B109">
        <v>2005</v>
      </c>
      <c r="C109" s="43">
        <v>74748807</v>
      </c>
      <c r="D109" s="43">
        <v>16101168</v>
      </c>
      <c r="E109" s="43">
        <v>29995276</v>
      </c>
      <c r="F109" s="43">
        <f t="shared" si="15"/>
        <v>120845251</v>
      </c>
      <c r="H109" s="72">
        <v>2005</v>
      </c>
      <c r="I109" s="136">
        <f t="shared" si="17"/>
        <v>10.182201935289473</v>
      </c>
      <c r="J109" s="136">
        <f t="shared" si="17"/>
        <v>7.8615683130493546</v>
      </c>
      <c r="K109" s="136">
        <f t="shared" si="16"/>
        <v>11.223970693339021</v>
      </c>
    </row>
    <row r="110" spans="1:11" x14ac:dyDescent="0.5">
      <c r="A110">
        <v>18</v>
      </c>
      <c r="B110">
        <v>2006</v>
      </c>
      <c r="C110" s="43">
        <v>71466387</v>
      </c>
      <c r="D110" s="43">
        <v>15025321</v>
      </c>
      <c r="E110" s="43">
        <v>26181770</v>
      </c>
      <c r="F110" s="43">
        <f>SUM(C110:D110)</f>
        <v>86491708</v>
      </c>
      <c r="H110" s="72">
        <v>2006</v>
      </c>
      <c r="I110" s="136">
        <f t="shared" si="17"/>
        <v>9.8471712580889843</v>
      </c>
      <c r="J110" s="136">
        <f t="shared" si="17"/>
        <v>8.0178277460540048</v>
      </c>
      <c r="K110" s="136">
        <f t="shared" si="16"/>
        <v>11.160512530430376</v>
      </c>
    </row>
    <row r="111" spans="1:11" x14ac:dyDescent="0.5">
      <c r="A111">
        <v>19</v>
      </c>
      <c r="B111">
        <v>2007</v>
      </c>
      <c r="C111" s="43">
        <v>73025651</v>
      </c>
      <c r="D111" s="43">
        <v>14793744</v>
      </c>
      <c r="E111" s="43">
        <v>25403258</v>
      </c>
      <c r="F111" s="43">
        <f>SUM(C111:D111)</f>
        <v>87819395</v>
      </c>
      <c r="H111" s="72">
        <v>2007</v>
      </c>
      <c r="I111" s="136">
        <f t="shared" si="17"/>
        <v>9.8874366833967411</v>
      </c>
      <c r="J111" s="136">
        <f t="shared" si="17"/>
        <v>7.9905930393027962</v>
      </c>
      <c r="K111" s="136">
        <f t="shared" si="16"/>
        <v>11.14515269972053</v>
      </c>
    </row>
    <row r="112" spans="1:11" x14ac:dyDescent="0.5">
      <c r="A112">
        <v>21</v>
      </c>
      <c r="B112" s="63">
        <v>2008</v>
      </c>
      <c r="C112" s="64">
        <v>77993202</v>
      </c>
      <c r="D112" s="64">
        <v>16002288</v>
      </c>
      <c r="E112" s="64">
        <v>27914612</v>
      </c>
      <c r="F112" s="64">
        <f>SUM(C112:E112)</f>
        <v>121910102</v>
      </c>
      <c r="H112" s="135">
        <v>2008</v>
      </c>
      <c r="I112" s="133">
        <f t="shared" ref="I112:I120" si="18">C112/C73</f>
        <v>10.958153766694902</v>
      </c>
      <c r="J112" s="133">
        <f t="shared" ref="J112:J120" si="19">D112/D73</f>
        <v>8.3986125376505818</v>
      </c>
      <c r="K112" s="133">
        <f t="shared" ref="K112:K120" si="20">E112/E73</f>
        <v>12.332771653891184</v>
      </c>
    </row>
    <row r="113" spans="1:11" x14ac:dyDescent="0.5">
      <c r="A113">
        <v>22</v>
      </c>
      <c r="B113" s="63">
        <v>2009</v>
      </c>
      <c r="C113" s="64">
        <v>66531612</v>
      </c>
      <c r="D113" s="64">
        <v>15610874</v>
      </c>
      <c r="E113" s="64">
        <v>25552697</v>
      </c>
      <c r="F113" s="64">
        <f t="shared" ref="F113:F114" si="21">SUM(C113:E113)</f>
        <v>107695183</v>
      </c>
      <c r="H113" s="135">
        <v>2009</v>
      </c>
      <c r="I113" s="133">
        <f t="shared" si="18"/>
        <v>10.527766806674819</v>
      </c>
      <c r="J113" s="133">
        <f t="shared" si="19"/>
        <v>9.0333335069302798</v>
      </c>
      <c r="K113" s="133">
        <f t="shared" si="20"/>
        <v>11.373217586524138</v>
      </c>
    </row>
    <row r="114" spans="1:11" x14ac:dyDescent="0.5">
      <c r="A114">
        <v>23</v>
      </c>
      <c r="B114" s="63">
        <v>2010</v>
      </c>
      <c r="C114" s="64">
        <v>64816445</v>
      </c>
      <c r="D114" s="64">
        <v>10628696</v>
      </c>
      <c r="E114" s="64">
        <v>26024223</v>
      </c>
      <c r="F114" s="64">
        <f t="shared" si="21"/>
        <v>101469364</v>
      </c>
      <c r="H114" s="135">
        <v>2010</v>
      </c>
      <c r="I114" s="133">
        <f t="shared" si="18"/>
        <v>9.9770117472595956</v>
      </c>
      <c r="J114" s="133">
        <f t="shared" si="19"/>
        <v>11.233401221134914</v>
      </c>
      <c r="K114" s="133">
        <f t="shared" si="20"/>
        <v>11.420579511329422</v>
      </c>
    </row>
    <row r="115" spans="1:11" x14ac:dyDescent="0.5">
      <c r="A115">
        <v>23</v>
      </c>
      <c r="B115">
        <v>2011</v>
      </c>
      <c r="C115" s="43">
        <v>68854548</v>
      </c>
      <c r="D115" s="43">
        <v>9179791</v>
      </c>
      <c r="E115" s="43">
        <v>28072963</v>
      </c>
      <c r="F115" s="43">
        <f>SUM(C115:E115)</f>
        <v>106107302</v>
      </c>
      <c r="H115" s="72">
        <v>2011</v>
      </c>
      <c r="I115" s="133">
        <f t="shared" si="18"/>
        <v>10.749053880347281</v>
      </c>
      <c r="J115" s="133">
        <f t="shared" si="19"/>
        <v>12.75917277536395</v>
      </c>
      <c r="K115" s="133">
        <f t="shared" si="20"/>
        <v>12.095858284422162</v>
      </c>
    </row>
    <row r="116" spans="1:11" x14ac:dyDescent="0.5">
      <c r="A116">
        <v>24</v>
      </c>
      <c r="B116">
        <v>2012</v>
      </c>
      <c r="C116" s="43">
        <v>70334500</v>
      </c>
      <c r="D116" s="43">
        <v>9537119</v>
      </c>
      <c r="E116" s="43">
        <v>28562701</v>
      </c>
      <c r="F116" s="43">
        <f t="shared" ref="F116:F120" si="22">SUM(C116:E116)</f>
        <v>108434320</v>
      </c>
      <c r="H116" s="72">
        <v>2012</v>
      </c>
      <c r="I116" s="133">
        <f t="shared" si="18"/>
        <v>11.315929615012719</v>
      </c>
      <c r="J116" s="133">
        <f t="shared" si="19"/>
        <v>13.301606716969554</v>
      </c>
      <c r="K116" s="133">
        <f t="shared" si="20"/>
        <v>12.596088349499578</v>
      </c>
    </row>
    <row r="117" spans="1:11" x14ac:dyDescent="0.5">
      <c r="A117">
        <v>25</v>
      </c>
      <c r="B117">
        <v>2013</v>
      </c>
      <c r="C117" s="43">
        <v>93981867</v>
      </c>
      <c r="D117" s="43">
        <v>17757243</v>
      </c>
      <c r="E117" s="43">
        <v>29862644</v>
      </c>
      <c r="F117" s="43">
        <f t="shared" si="22"/>
        <v>141601754</v>
      </c>
      <c r="H117" s="72">
        <v>2013</v>
      </c>
      <c r="I117" s="133">
        <f t="shared" si="18"/>
        <v>13.292166857365917</v>
      </c>
      <c r="J117" s="133">
        <f t="shared" si="19"/>
        <v>12.385173844812554</v>
      </c>
      <c r="K117" s="133">
        <f t="shared" si="20"/>
        <v>15.075169265127849</v>
      </c>
    </row>
    <row r="118" spans="1:11" x14ac:dyDescent="0.5">
      <c r="A118">
        <v>26</v>
      </c>
      <c r="B118">
        <v>2014</v>
      </c>
      <c r="C118" s="43">
        <v>89619155</v>
      </c>
      <c r="D118" s="43">
        <v>18766925</v>
      </c>
      <c r="E118" s="43">
        <v>31877183</v>
      </c>
      <c r="F118" s="43">
        <f t="shared" si="22"/>
        <v>140263263</v>
      </c>
      <c r="H118" s="72">
        <v>2014</v>
      </c>
      <c r="I118" s="133">
        <f t="shared" si="18"/>
        <v>14.808335013235425</v>
      </c>
      <c r="J118" s="133">
        <f t="shared" si="19"/>
        <v>13.48586159816039</v>
      </c>
      <c r="K118" s="133">
        <f t="shared" si="20"/>
        <v>16.152400829783847</v>
      </c>
    </row>
    <row r="119" spans="1:11" x14ac:dyDescent="0.5">
      <c r="A119">
        <v>27</v>
      </c>
      <c r="B119">
        <v>2015</v>
      </c>
      <c r="C119" s="43">
        <v>85571714</v>
      </c>
      <c r="D119" s="43">
        <v>18406760</v>
      </c>
      <c r="E119" s="43">
        <v>29983902</v>
      </c>
      <c r="F119" s="43">
        <f t="shared" si="22"/>
        <v>133962376</v>
      </c>
      <c r="H119" s="72">
        <v>2015</v>
      </c>
      <c r="I119" s="133">
        <f t="shared" si="18"/>
        <v>14.20402359045692</v>
      </c>
      <c r="J119" s="133">
        <f t="shared" si="19"/>
        <v>12.621980237398084</v>
      </c>
      <c r="K119" s="133">
        <f t="shared" si="20"/>
        <v>15.007573884413675</v>
      </c>
    </row>
    <row r="120" spans="1:11" x14ac:dyDescent="0.5">
      <c r="A120">
        <v>28</v>
      </c>
      <c r="B120">
        <v>2016</v>
      </c>
      <c r="C120" s="43">
        <v>100386141</v>
      </c>
      <c r="D120" s="43">
        <v>17569241</v>
      </c>
      <c r="E120" s="43">
        <v>25098500</v>
      </c>
      <c r="F120" s="43">
        <f t="shared" si="22"/>
        <v>143053882</v>
      </c>
      <c r="H120" s="72">
        <v>2016</v>
      </c>
      <c r="I120" s="133">
        <f t="shared" si="18"/>
        <v>14.121819619772376</v>
      </c>
      <c r="J120" s="133">
        <f t="shared" si="19"/>
        <v>11.480642813081571</v>
      </c>
      <c r="K120" s="133">
        <f t="shared" si="20"/>
        <v>14.934969494543054</v>
      </c>
    </row>
    <row r="121" spans="1:11" x14ac:dyDescent="0.5">
      <c r="B121" s="48"/>
      <c r="C121" s="43"/>
      <c r="D121" s="43"/>
      <c r="E121" s="22" t="s">
        <v>188</v>
      </c>
      <c r="F121" s="75">
        <f>AVERAGE(F116:F120)</f>
        <v>133463119</v>
      </c>
      <c r="H121" s="72"/>
      <c r="I121" s="136"/>
      <c r="J121" s="137" t="s">
        <v>196</v>
      </c>
      <c r="K121" s="136">
        <f>AVERAGE(I120:K120)</f>
        <v>13.512477309132334</v>
      </c>
    </row>
  </sheetData>
  <phoneticPr fontId="21"/>
  <hyperlinks>
    <hyperlink ref="A2" r:id="rId1" xr:uid="{00000000-0004-0000-0200-000000000000}"/>
    <hyperlink ref="A3" r:id="rId2" xr:uid="{00000000-0004-0000-0200-000001000000}"/>
  </hyperlinks>
  <pageMargins left="0.7" right="0.7" top="0.75" bottom="0.75" header="0.3" footer="0.3"/>
  <ignoredErrors>
    <ignoredError sqref="F37:F42 F115:F120 F32:F36 F112:F114 F73:F81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21"/>
  <sheetViews>
    <sheetView workbookViewId="0">
      <selection activeCell="H14" sqref="H14"/>
    </sheetView>
  </sheetViews>
  <sheetFormatPr defaultColWidth="10.90625" defaultRowHeight="19.8" x14ac:dyDescent="0.5"/>
  <cols>
    <col min="1" max="1" width="20.453125" customWidth="1"/>
    <col min="2" max="2" width="30.453125" customWidth="1"/>
    <col min="3" max="3" width="12.36328125" bestFit="1" customWidth="1"/>
    <col min="4" max="4" width="14.36328125" bestFit="1" customWidth="1"/>
    <col min="7" max="7" width="13" bestFit="1" customWidth="1"/>
    <col min="8" max="8" width="25.81640625" bestFit="1" customWidth="1"/>
  </cols>
  <sheetData>
    <row r="1" spans="1:8" x14ac:dyDescent="0.5">
      <c r="A1" t="s">
        <v>119</v>
      </c>
    </row>
    <row r="3" spans="1:8" ht="64.95" customHeight="1" x14ac:dyDescent="0.5">
      <c r="A3" s="8" t="s">
        <v>106</v>
      </c>
      <c r="B3" s="8" t="s">
        <v>107</v>
      </c>
      <c r="C3" s="8" t="s">
        <v>108</v>
      </c>
      <c r="D3" s="50" t="s">
        <v>109</v>
      </c>
      <c r="E3" s="50" t="s">
        <v>110</v>
      </c>
      <c r="F3" s="50" t="s">
        <v>111</v>
      </c>
      <c r="G3" s="50" t="s">
        <v>112</v>
      </c>
    </row>
    <row r="4" spans="1:8" x14ac:dyDescent="0.5">
      <c r="A4" s="178" t="s">
        <v>113</v>
      </c>
      <c r="B4" s="176" t="s">
        <v>114</v>
      </c>
      <c r="C4" t="s">
        <v>117</v>
      </c>
      <c r="D4">
        <v>2036</v>
      </c>
      <c r="E4">
        <v>2036</v>
      </c>
      <c r="F4">
        <v>2036</v>
      </c>
      <c r="G4">
        <v>2036</v>
      </c>
    </row>
    <row r="5" spans="1:8" x14ac:dyDescent="0.5">
      <c r="A5" s="176"/>
      <c r="B5" s="177"/>
      <c r="C5" t="s">
        <v>118</v>
      </c>
      <c r="D5">
        <v>5.52</v>
      </c>
      <c r="E5">
        <v>5.52</v>
      </c>
      <c r="F5">
        <v>5.52</v>
      </c>
      <c r="G5">
        <v>5.52</v>
      </c>
    </row>
    <row r="6" spans="1:8" x14ac:dyDescent="0.5">
      <c r="A6" s="176"/>
      <c r="B6" s="176" t="s">
        <v>115</v>
      </c>
      <c r="C6" t="s">
        <v>117</v>
      </c>
      <c r="D6">
        <v>749</v>
      </c>
      <c r="E6">
        <v>750</v>
      </c>
      <c r="F6">
        <v>750</v>
      </c>
      <c r="G6">
        <v>750</v>
      </c>
    </row>
    <row r="7" spans="1:8" x14ac:dyDescent="0.5">
      <c r="A7" s="177"/>
      <c r="B7" s="177"/>
      <c r="C7" t="s">
        <v>118</v>
      </c>
      <c r="D7">
        <v>2.0299999999999998</v>
      </c>
      <c r="E7">
        <v>2.0299999999999998</v>
      </c>
      <c r="F7">
        <v>2.0299999999999998</v>
      </c>
      <c r="G7">
        <v>2.0299999999999998</v>
      </c>
    </row>
    <row r="8" spans="1:8" x14ac:dyDescent="0.5">
      <c r="A8" s="177"/>
      <c r="B8" s="178" t="s">
        <v>116</v>
      </c>
      <c r="C8" t="s">
        <v>117</v>
      </c>
      <c r="D8">
        <v>1576</v>
      </c>
      <c r="E8">
        <v>1690</v>
      </c>
      <c r="F8">
        <v>1657</v>
      </c>
      <c r="G8">
        <v>1668</v>
      </c>
    </row>
    <row r="9" spans="1:8" x14ac:dyDescent="0.5">
      <c r="A9" s="177"/>
      <c r="B9" s="177"/>
      <c r="C9" t="s">
        <v>118</v>
      </c>
      <c r="D9">
        <v>4.2699999999999996</v>
      </c>
      <c r="E9">
        <v>4.58</v>
      </c>
      <c r="F9">
        <v>4.49</v>
      </c>
      <c r="G9">
        <v>4.5199999999999996</v>
      </c>
    </row>
    <row r="10" spans="1:8" x14ac:dyDescent="0.5">
      <c r="A10" s="178" t="s">
        <v>120</v>
      </c>
      <c r="B10" s="176" t="s">
        <v>121</v>
      </c>
      <c r="C10" t="s">
        <v>117</v>
      </c>
      <c r="D10">
        <v>490</v>
      </c>
      <c r="E10">
        <v>582</v>
      </c>
      <c r="F10">
        <v>552</v>
      </c>
      <c r="G10">
        <v>557</v>
      </c>
    </row>
    <row r="11" spans="1:8" x14ac:dyDescent="0.5">
      <c r="A11" s="177"/>
      <c r="B11" s="177"/>
      <c r="C11" t="s">
        <v>118</v>
      </c>
      <c r="D11">
        <v>1.33</v>
      </c>
      <c r="E11">
        <v>1.58</v>
      </c>
      <c r="F11">
        <v>1.5</v>
      </c>
      <c r="G11">
        <v>1.51</v>
      </c>
    </row>
    <row r="12" spans="1:8" x14ac:dyDescent="0.5">
      <c r="A12" s="177"/>
      <c r="B12" s="176" t="s">
        <v>122</v>
      </c>
      <c r="C12" t="s">
        <v>117</v>
      </c>
      <c r="D12">
        <v>158</v>
      </c>
      <c r="E12">
        <v>158</v>
      </c>
      <c r="F12">
        <v>158</v>
      </c>
      <c r="G12">
        <v>158</v>
      </c>
      <c r="H12" s="52" t="s">
        <v>123</v>
      </c>
    </row>
    <row r="13" spans="1:8" x14ac:dyDescent="0.5">
      <c r="A13" s="177"/>
      <c r="B13" s="177"/>
      <c r="C13" t="s">
        <v>118</v>
      </c>
      <c r="D13">
        <v>0.43</v>
      </c>
      <c r="E13">
        <v>0.43</v>
      </c>
      <c r="F13">
        <v>0.43</v>
      </c>
      <c r="G13">
        <v>0.43</v>
      </c>
    </row>
    <row r="14" spans="1:8" x14ac:dyDescent="0.5">
      <c r="A14" s="178" t="s">
        <v>124</v>
      </c>
      <c r="B14" s="178" t="s">
        <v>125</v>
      </c>
      <c r="C14" t="s">
        <v>117</v>
      </c>
      <c r="D14">
        <v>288</v>
      </c>
      <c r="E14">
        <v>415</v>
      </c>
      <c r="F14">
        <v>367</v>
      </c>
      <c r="G14">
        <v>377</v>
      </c>
      <c r="H14" s="53" t="s">
        <v>154</v>
      </c>
    </row>
    <row r="15" spans="1:8" x14ac:dyDescent="0.5">
      <c r="A15" s="177"/>
      <c r="B15" s="179"/>
      <c r="C15" t="s">
        <v>118</v>
      </c>
      <c r="D15">
        <v>8.3699999999999992</v>
      </c>
      <c r="E15">
        <v>12.03</v>
      </c>
      <c r="F15">
        <v>10.65</v>
      </c>
      <c r="G15">
        <v>10.94</v>
      </c>
    </row>
    <row r="16" spans="1:8" x14ac:dyDescent="0.5">
      <c r="A16" s="177"/>
      <c r="B16" s="180" t="s">
        <v>126</v>
      </c>
      <c r="C16" s="47" t="s">
        <v>117</v>
      </c>
      <c r="D16" s="47">
        <v>144</v>
      </c>
      <c r="E16" s="47">
        <v>236</v>
      </c>
      <c r="F16" s="47">
        <v>206</v>
      </c>
      <c r="G16" s="47">
        <v>212</v>
      </c>
      <c r="H16" t="s">
        <v>185</v>
      </c>
    </row>
    <row r="17" spans="1:7" x14ac:dyDescent="0.5">
      <c r="A17" s="177"/>
      <c r="B17" s="181"/>
      <c r="C17" s="47" t="s">
        <v>118</v>
      </c>
      <c r="D17" s="47">
        <v>4.17</v>
      </c>
      <c r="E17" s="47">
        <v>6.86</v>
      </c>
      <c r="F17" s="47">
        <v>5.96</v>
      </c>
      <c r="G17" s="47">
        <v>6.14</v>
      </c>
    </row>
    <row r="18" spans="1:7" ht="19.95" customHeight="1" x14ac:dyDescent="0.5">
      <c r="A18" s="178" t="s">
        <v>127</v>
      </c>
      <c r="B18" s="50" t="s">
        <v>128</v>
      </c>
      <c r="C18" t="s">
        <v>117</v>
      </c>
      <c r="D18">
        <v>159</v>
      </c>
      <c r="E18">
        <v>181</v>
      </c>
      <c r="F18">
        <v>174</v>
      </c>
      <c r="G18">
        <v>175</v>
      </c>
    </row>
    <row r="19" spans="1:7" ht="16.95" customHeight="1" x14ac:dyDescent="0.5">
      <c r="A19" s="177"/>
      <c r="B19" s="50" t="s">
        <v>129</v>
      </c>
      <c r="C19" t="s">
        <v>117</v>
      </c>
      <c r="D19">
        <v>162</v>
      </c>
      <c r="E19">
        <v>185</v>
      </c>
      <c r="F19">
        <v>178</v>
      </c>
      <c r="G19">
        <v>179</v>
      </c>
    </row>
    <row r="20" spans="1:7" x14ac:dyDescent="0.5">
      <c r="A20" s="1"/>
    </row>
    <row r="21" spans="1:7" x14ac:dyDescent="0.5">
      <c r="A21" s="1"/>
    </row>
  </sheetData>
  <mergeCells count="11">
    <mergeCell ref="B4:B5"/>
    <mergeCell ref="B6:B7"/>
    <mergeCell ref="B8:B9"/>
    <mergeCell ref="A4:A9"/>
    <mergeCell ref="A18:A19"/>
    <mergeCell ref="B10:B11"/>
    <mergeCell ref="B12:B13"/>
    <mergeCell ref="B14:B15"/>
    <mergeCell ref="A10:A13"/>
    <mergeCell ref="A14:A17"/>
    <mergeCell ref="B16:B17"/>
  </mergeCells>
  <phoneticPr fontId="2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19"/>
  <sheetViews>
    <sheetView workbookViewId="0">
      <selection activeCell="C36" sqref="C36"/>
    </sheetView>
  </sheetViews>
  <sheetFormatPr defaultColWidth="10.90625" defaultRowHeight="19.8" x14ac:dyDescent="0.5"/>
  <cols>
    <col min="1" max="1" width="18.36328125" bestFit="1" customWidth="1"/>
    <col min="2" max="2" width="24.1796875" bestFit="1" customWidth="1"/>
    <col min="3" max="3" width="15.6328125" bestFit="1" customWidth="1"/>
  </cols>
  <sheetData>
    <row r="1" spans="1:4" x14ac:dyDescent="0.5">
      <c r="A1" s="20" t="s">
        <v>15</v>
      </c>
      <c r="B1" s="20" t="s">
        <v>24</v>
      </c>
      <c r="C1" s="20" t="s">
        <v>25</v>
      </c>
    </row>
    <row r="2" spans="1:4" x14ac:dyDescent="0.5">
      <c r="A2" s="21" t="s">
        <v>29</v>
      </c>
      <c r="B2" t="s">
        <v>26</v>
      </c>
      <c r="C2" s="21">
        <v>0.5</v>
      </c>
    </row>
    <row r="3" spans="1:4" x14ac:dyDescent="0.5">
      <c r="A3" t="s">
        <v>16</v>
      </c>
      <c r="B3" t="s">
        <v>27</v>
      </c>
      <c r="C3">
        <v>0.3</v>
      </c>
    </row>
    <row r="4" spans="1:4" x14ac:dyDescent="0.5">
      <c r="A4" t="s">
        <v>17</v>
      </c>
      <c r="B4" t="s">
        <v>28</v>
      </c>
      <c r="C4">
        <v>0.3</v>
      </c>
    </row>
    <row r="5" spans="1:4" x14ac:dyDescent="0.5">
      <c r="A5" t="s">
        <v>18</v>
      </c>
      <c r="B5" t="s">
        <v>28</v>
      </c>
      <c r="C5">
        <v>0.3</v>
      </c>
    </row>
    <row r="6" spans="1:4" x14ac:dyDescent="0.5">
      <c r="A6" t="s">
        <v>19</v>
      </c>
      <c r="B6" t="s">
        <v>26</v>
      </c>
      <c r="C6">
        <v>0.2</v>
      </c>
    </row>
    <row r="7" spans="1:4" x14ac:dyDescent="0.5">
      <c r="A7" t="s">
        <v>20</v>
      </c>
      <c r="B7" t="s">
        <v>30</v>
      </c>
      <c r="C7">
        <v>0.01</v>
      </c>
    </row>
    <row r="8" spans="1:4" x14ac:dyDescent="0.5">
      <c r="A8" t="s">
        <v>21</v>
      </c>
      <c r="B8" t="s">
        <v>31</v>
      </c>
      <c r="C8">
        <v>0.03</v>
      </c>
      <c r="D8" s="53" t="s">
        <v>140</v>
      </c>
    </row>
    <row r="9" spans="1:4" x14ac:dyDescent="0.5">
      <c r="A9" s="47" t="s">
        <v>22</v>
      </c>
      <c r="B9" s="47" t="s">
        <v>32</v>
      </c>
      <c r="C9" s="47">
        <v>0.2</v>
      </c>
    </row>
    <row r="10" spans="1:4" x14ac:dyDescent="0.5">
      <c r="A10" t="s">
        <v>23</v>
      </c>
      <c r="B10" t="s">
        <v>28</v>
      </c>
      <c r="C10">
        <v>0.1</v>
      </c>
    </row>
    <row r="11" spans="1:4" x14ac:dyDescent="0.5">
      <c r="B11" s="22" t="s">
        <v>33</v>
      </c>
      <c r="C11" s="23">
        <f>AVERAGE(C2:C10)</f>
        <v>0.21555555555555558</v>
      </c>
    </row>
    <row r="12" spans="1:4" x14ac:dyDescent="0.5">
      <c r="A12" t="s">
        <v>139</v>
      </c>
      <c r="B12" s="22"/>
      <c r="C12" s="23"/>
    </row>
    <row r="13" spans="1:4" x14ac:dyDescent="0.5">
      <c r="B13" s="22"/>
      <c r="C13" s="23"/>
    </row>
    <row r="15" spans="1:4" x14ac:dyDescent="0.5">
      <c r="A15" t="s">
        <v>130</v>
      </c>
      <c r="B15">
        <v>945</v>
      </c>
      <c r="C15" t="s">
        <v>131</v>
      </c>
    </row>
    <row r="16" spans="1:4" x14ac:dyDescent="0.5">
      <c r="A16" t="s">
        <v>133</v>
      </c>
      <c r="B16" s="43">
        <v>1000000</v>
      </c>
      <c r="C16" t="s">
        <v>135</v>
      </c>
    </row>
    <row r="17" spans="1:3" x14ac:dyDescent="0.5">
      <c r="A17" t="s">
        <v>134</v>
      </c>
      <c r="B17" s="43">
        <f>B15*B16</f>
        <v>945000000</v>
      </c>
      <c r="C17" t="s">
        <v>132</v>
      </c>
    </row>
    <row r="18" spans="1:3" x14ac:dyDescent="0.5">
      <c r="A18" t="s">
        <v>136</v>
      </c>
      <c r="B18" s="48" t="s">
        <v>137</v>
      </c>
      <c r="C18" t="s">
        <v>86</v>
      </c>
    </row>
    <row r="19" spans="1:3" x14ac:dyDescent="0.5">
      <c r="A19" t="s">
        <v>138</v>
      </c>
    </row>
  </sheetData>
  <phoneticPr fontId="2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2"/>
  <sheetViews>
    <sheetView workbookViewId="0"/>
  </sheetViews>
  <sheetFormatPr defaultColWidth="10.90625" defaultRowHeight="19.8" x14ac:dyDescent="0.5"/>
  <cols>
    <col min="1" max="1" width="5.81640625" customWidth="1"/>
    <col min="2" max="2" width="7.6328125" customWidth="1"/>
    <col min="3" max="6" width="12.6328125" bestFit="1" customWidth="1"/>
    <col min="8" max="8" width="6.36328125" customWidth="1"/>
    <col min="9" max="9" width="30.453125" customWidth="1"/>
    <col min="10" max="10" width="12.6328125" bestFit="1" customWidth="1"/>
    <col min="11" max="11" width="12.453125" bestFit="1" customWidth="1"/>
    <col min="12" max="13" width="12.6328125" bestFit="1" customWidth="1"/>
  </cols>
  <sheetData>
    <row r="1" spans="1:13" ht="21.6" x14ac:dyDescent="0.5">
      <c r="C1" s="182" t="s">
        <v>361</v>
      </c>
      <c r="D1" s="182"/>
      <c r="E1" s="182"/>
      <c r="F1" s="183"/>
      <c r="G1" s="183"/>
      <c r="I1" s="20" t="s">
        <v>101</v>
      </c>
      <c r="J1" s="20" t="s">
        <v>56</v>
      </c>
      <c r="K1" s="20" t="s">
        <v>59</v>
      </c>
      <c r="L1" s="20" t="s">
        <v>60</v>
      </c>
      <c r="M1" s="20" t="s">
        <v>61</v>
      </c>
    </row>
    <row r="2" spans="1:13" x14ac:dyDescent="0.5">
      <c r="B2" s="20" t="s">
        <v>58</v>
      </c>
      <c r="C2" s="20" t="s">
        <v>56</v>
      </c>
      <c r="D2" s="20" t="s">
        <v>59</v>
      </c>
      <c r="E2" s="20" t="s">
        <v>60</v>
      </c>
      <c r="F2" s="20" t="s">
        <v>61</v>
      </c>
      <c r="G2" s="20" t="s">
        <v>9</v>
      </c>
      <c r="I2" t="s">
        <v>97</v>
      </c>
      <c r="J2" s="48" t="s">
        <v>98</v>
      </c>
      <c r="K2" s="48" t="s">
        <v>103</v>
      </c>
      <c r="L2" s="48" t="s">
        <v>104</v>
      </c>
      <c r="M2" s="48" t="s">
        <v>105</v>
      </c>
    </row>
    <row r="3" spans="1:13" x14ac:dyDescent="0.5">
      <c r="A3">
        <v>354</v>
      </c>
      <c r="B3">
        <v>1979</v>
      </c>
      <c r="C3" s="43">
        <v>328899</v>
      </c>
      <c r="D3" s="44">
        <v>328899</v>
      </c>
      <c r="F3" s="43"/>
      <c r="G3" s="43">
        <f>SUM(C3:F3)</f>
        <v>657798</v>
      </c>
      <c r="I3" t="s">
        <v>99</v>
      </c>
      <c r="J3">
        <v>100</v>
      </c>
      <c r="K3">
        <v>100</v>
      </c>
      <c r="L3">
        <v>114.4</v>
      </c>
      <c r="M3">
        <v>130</v>
      </c>
    </row>
    <row r="4" spans="1:13" x14ac:dyDescent="0.5">
      <c r="A4">
        <v>355</v>
      </c>
      <c r="B4">
        <v>1980</v>
      </c>
      <c r="C4" s="43">
        <v>187076</v>
      </c>
      <c r="D4" s="44">
        <v>187076</v>
      </c>
      <c r="F4" s="43"/>
      <c r="G4" s="43">
        <f t="shared" ref="G4:G40" si="0">SUM(C4:F4)</f>
        <v>374152</v>
      </c>
      <c r="I4" t="s">
        <v>96</v>
      </c>
      <c r="J4">
        <v>365</v>
      </c>
      <c r="K4">
        <v>365</v>
      </c>
      <c r="L4">
        <v>365</v>
      </c>
      <c r="M4">
        <v>365</v>
      </c>
    </row>
    <row r="5" spans="1:13" x14ac:dyDescent="0.5">
      <c r="A5">
        <v>356</v>
      </c>
      <c r="B5">
        <v>1981</v>
      </c>
      <c r="C5" s="43">
        <v>192910</v>
      </c>
      <c r="D5" s="44">
        <v>192910</v>
      </c>
      <c r="F5" s="43"/>
      <c r="G5" s="43">
        <f t="shared" si="0"/>
        <v>385820</v>
      </c>
      <c r="I5" t="s">
        <v>100</v>
      </c>
      <c r="J5">
        <v>921</v>
      </c>
      <c r="K5">
        <v>855</v>
      </c>
      <c r="L5">
        <v>1771</v>
      </c>
      <c r="M5">
        <v>1256</v>
      </c>
    </row>
    <row r="6" spans="1:13" x14ac:dyDescent="0.5">
      <c r="A6">
        <v>357</v>
      </c>
      <c r="B6">
        <v>1982</v>
      </c>
      <c r="C6" s="43">
        <v>255692</v>
      </c>
      <c r="D6" s="44">
        <v>255692</v>
      </c>
      <c r="F6" s="43"/>
      <c r="G6" s="43">
        <f t="shared" si="0"/>
        <v>511384</v>
      </c>
      <c r="I6" t="s">
        <v>102</v>
      </c>
      <c r="J6" s="43">
        <f>J5*J4</f>
        <v>336165</v>
      </c>
      <c r="K6" s="43">
        <f>K5*K4</f>
        <v>312075</v>
      </c>
      <c r="L6" s="43">
        <f>L5*L4</f>
        <v>646415</v>
      </c>
      <c r="M6" s="43">
        <f>M5*M4</f>
        <v>458440</v>
      </c>
    </row>
    <row r="7" spans="1:13" x14ac:dyDescent="0.5">
      <c r="A7">
        <v>358</v>
      </c>
      <c r="B7">
        <v>1983</v>
      </c>
      <c r="C7" s="43">
        <v>261924</v>
      </c>
      <c r="D7" s="44">
        <v>261924</v>
      </c>
      <c r="E7" s="43"/>
      <c r="F7" s="43"/>
      <c r="G7" s="43">
        <f t="shared" si="0"/>
        <v>523848</v>
      </c>
    </row>
    <row r="8" spans="1:13" x14ac:dyDescent="0.5">
      <c r="A8">
        <v>359</v>
      </c>
      <c r="B8">
        <v>1984</v>
      </c>
      <c r="C8" s="43">
        <v>290590</v>
      </c>
      <c r="D8" s="44">
        <v>290590</v>
      </c>
      <c r="E8" s="43"/>
      <c r="F8" s="43"/>
      <c r="G8" s="43">
        <f t="shared" si="0"/>
        <v>581180</v>
      </c>
    </row>
    <row r="9" spans="1:13" x14ac:dyDescent="0.5">
      <c r="A9">
        <v>360</v>
      </c>
      <c r="B9">
        <v>1985</v>
      </c>
      <c r="C9" s="43">
        <v>384308</v>
      </c>
      <c r="D9" s="44">
        <v>384308</v>
      </c>
      <c r="E9" s="43"/>
      <c r="F9" s="43"/>
      <c r="G9" s="43">
        <f t="shared" si="0"/>
        <v>768616</v>
      </c>
      <c r="I9" s="62"/>
    </row>
    <row r="10" spans="1:13" x14ac:dyDescent="0.5">
      <c r="A10">
        <v>361</v>
      </c>
      <c r="B10">
        <v>1986</v>
      </c>
      <c r="C10" s="43">
        <v>361788</v>
      </c>
      <c r="D10" s="44">
        <v>361788</v>
      </c>
      <c r="E10" s="43"/>
      <c r="F10" s="43"/>
      <c r="G10" s="43">
        <f t="shared" si="0"/>
        <v>723576</v>
      </c>
    </row>
    <row r="11" spans="1:13" x14ac:dyDescent="0.5">
      <c r="A11">
        <v>362</v>
      </c>
      <c r="B11">
        <v>1987</v>
      </c>
      <c r="C11" s="43">
        <v>417797</v>
      </c>
      <c r="D11" s="44">
        <v>417797</v>
      </c>
      <c r="E11" s="43"/>
      <c r="F11" s="43"/>
      <c r="G11" s="43">
        <f t="shared" si="0"/>
        <v>835594</v>
      </c>
    </row>
    <row r="12" spans="1:13" x14ac:dyDescent="0.5">
      <c r="A12">
        <v>363</v>
      </c>
      <c r="B12">
        <v>1988</v>
      </c>
      <c r="C12" s="43">
        <v>321765</v>
      </c>
      <c r="D12" s="44">
        <v>321765</v>
      </c>
      <c r="E12" s="43"/>
      <c r="F12" s="43"/>
      <c r="G12" s="43">
        <f t="shared" si="0"/>
        <v>643530</v>
      </c>
    </row>
    <row r="13" spans="1:13" x14ac:dyDescent="0.5">
      <c r="A13">
        <v>401</v>
      </c>
      <c r="B13">
        <v>1989</v>
      </c>
      <c r="C13" s="43">
        <v>437905</v>
      </c>
      <c r="D13" s="44">
        <v>437905</v>
      </c>
      <c r="E13" s="43"/>
      <c r="F13" s="43"/>
      <c r="G13" s="43">
        <f t="shared" si="0"/>
        <v>875810</v>
      </c>
    </row>
    <row r="14" spans="1:13" x14ac:dyDescent="0.5">
      <c r="A14">
        <v>402</v>
      </c>
      <c r="B14">
        <v>1990</v>
      </c>
      <c r="C14" s="43">
        <v>432262</v>
      </c>
      <c r="D14" s="44">
        <v>432262</v>
      </c>
      <c r="E14" s="43"/>
      <c r="F14" s="43"/>
      <c r="G14" s="43">
        <f t="shared" si="0"/>
        <v>864524</v>
      </c>
    </row>
    <row r="15" spans="1:13" x14ac:dyDescent="0.5">
      <c r="A15">
        <v>403</v>
      </c>
      <c r="B15">
        <v>1991</v>
      </c>
      <c r="C15" s="43">
        <v>452658</v>
      </c>
      <c r="D15" s="44">
        <v>452049</v>
      </c>
      <c r="E15" s="43"/>
      <c r="F15" s="43"/>
      <c r="G15" s="43">
        <f t="shared" si="0"/>
        <v>904707</v>
      </c>
    </row>
    <row r="16" spans="1:13" x14ac:dyDescent="0.5">
      <c r="A16">
        <v>404</v>
      </c>
      <c r="B16">
        <v>1992</v>
      </c>
      <c r="C16" s="43">
        <v>500754</v>
      </c>
      <c r="D16" s="44">
        <v>501667</v>
      </c>
      <c r="E16" s="43"/>
      <c r="F16" s="43"/>
      <c r="G16" s="43">
        <f t="shared" si="0"/>
        <v>1002421</v>
      </c>
    </row>
    <row r="17" spans="1:7" x14ac:dyDescent="0.5">
      <c r="A17">
        <v>405</v>
      </c>
      <c r="B17">
        <v>1993</v>
      </c>
      <c r="C17" s="43">
        <v>462703</v>
      </c>
      <c r="D17" s="44">
        <v>496188</v>
      </c>
      <c r="E17" s="43"/>
      <c r="F17" s="43"/>
      <c r="G17" s="43">
        <f t="shared" si="0"/>
        <v>958891</v>
      </c>
    </row>
    <row r="18" spans="1:7" x14ac:dyDescent="0.5">
      <c r="A18">
        <v>406</v>
      </c>
      <c r="B18">
        <v>1994</v>
      </c>
      <c r="C18" s="43">
        <v>547938</v>
      </c>
      <c r="D18" s="44">
        <v>550982</v>
      </c>
      <c r="E18" s="43"/>
      <c r="F18" s="43"/>
      <c r="G18" s="43">
        <f t="shared" si="0"/>
        <v>1098920</v>
      </c>
    </row>
    <row r="19" spans="1:7" x14ac:dyDescent="0.5">
      <c r="A19">
        <v>407</v>
      </c>
      <c r="B19">
        <v>1995</v>
      </c>
      <c r="C19" s="43">
        <v>457866</v>
      </c>
      <c r="D19" s="44">
        <v>579963</v>
      </c>
      <c r="E19" s="43"/>
      <c r="F19" s="43"/>
      <c r="G19" s="43">
        <f t="shared" si="0"/>
        <v>1037829</v>
      </c>
    </row>
    <row r="20" spans="1:7" x14ac:dyDescent="0.5">
      <c r="A20">
        <v>408</v>
      </c>
      <c r="B20">
        <v>1996</v>
      </c>
      <c r="C20" s="43">
        <v>548736</v>
      </c>
      <c r="D20" s="44">
        <v>434416</v>
      </c>
      <c r="E20" s="43">
        <v>823104</v>
      </c>
      <c r="F20" s="43"/>
      <c r="G20" s="43">
        <f t="shared" si="0"/>
        <v>1806256</v>
      </c>
    </row>
    <row r="21" spans="1:7" x14ac:dyDescent="0.5">
      <c r="A21">
        <v>409</v>
      </c>
      <c r="B21">
        <v>1997</v>
      </c>
      <c r="C21" s="43">
        <v>505250</v>
      </c>
      <c r="D21" s="44">
        <v>353493</v>
      </c>
      <c r="E21" s="43">
        <v>732536</v>
      </c>
      <c r="F21" s="43"/>
      <c r="G21" s="43">
        <f t="shared" si="0"/>
        <v>1591279</v>
      </c>
    </row>
    <row r="22" spans="1:7" x14ac:dyDescent="0.5">
      <c r="A22">
        <v>410</v>
      </c>
      <c r="B22">
        <v>1998</v>
      </c>
      <c r="C22" s="43">
        <v>481197</v>
      </c>
      <c r="D22" s="44">
        <v>365105</v>
      </c>
      <c r="E22" s="43">
        <v>732544</v>
      </c>
      <c r="F22" s="43"/>
      <c r="G22" s="43">
        <f t="shared" si="0"/>
        <v>1578846</v>
      </c>
    </row>
    <row r="23" spans="1:7" x14ac:dyDescent="0.5">
      <c r="A23">
        <v>411</v>
      </c>
      <c r="B23">
        <v>1999</v>
      </c>
      <c r="C23" s="43">
        <v>491445</v>
      </c>
      <c r="D23" s="44">
        <v>326807</v>
      </c>
      <c r="E23" s="43">
        <v>762190</v>
      </c>
      <c r="F23" s="43"/>
      <c r="G23" s="43">
        <f t="shared" si="0"/>
        <v>1580442</v>
      </c>
    </row>
    <row r="24" spans="1:7" x14ac:dyDescent="0.5">
      <c r="A24">
        <v>412</v>
      </c>
      <c r="B24">
        <v>2000</v>
      </c>
      <c r="C24" s="43">
        <v>502060</v>
      </c>
      <c r="D24" s="44">
        <v>327192</v>
      </c>
      <c r="E24" s="43">
        <v>763014</v>
      </c>
      <c r="F24" s="43"/>
      <c r="G24" s="43">
        <f t="shared" si="0"/>
        <v>1592266</v>
      </c>
    </row>
    <row r="25" spans="1:7" x14ac:dyDescent="0.5">
      <c r="A25">
        <v>413</v>
      </c>
      <c r="B25">
        <v>2001</v>
      </c>
      <c r="C25" s="43">
        <v>582226</v>
      </c>
      <c r="D25" s="44">
        <v>530445</v>
      </c>
      <c r="E25" s="43">
        <v>868826</v>
      </c>
      <c r="F25" s="43"/>
      <c r="G25" s="43">
        <f t="shared" si="0"/>
        <v>1981497</v>
      </c>
    </row>
    <row r="26" spans="1:7" x14ac:dyDescent="0.5">
      <c r="A26">
        <v>414</v>
      </c>
      <c r="B26">
        <v>2002</v>
      </c>
      <c r="C26" s="43">
        <v>638096</v>
      </c>
      <c r="D26" s="44">
        <v>569768</v>
      </c>
      <c r="E26" s="43">
        <v>792161</v>
      </c>
      <c r="F26" s="43"/>
      <c r="G26" s="43">
        <f t="shared" si="0"/>
        <v>2000025</v>
      </c>
    </row>
    <row r="27" spans="1:7" x14ac:dyDescent="0.5">
      <c r="A27">
        <v>415</v>
      </c>
      <c r="B27">
        <v>2003</v>
      </c>
      <c r="C27" s="43">
        <v>458908</v>
      </c>
      <c r="D27" s="44">
        <v>351108</v>
      </c>
      <c r="E27" s="43">
        <v>804221</v>
      </c>
      <c r="F27" s="43">
        <v>223530</v>
      </c>
      <c r="G27" s="43">
        <f t="shared" si="0"/>
        <v>1837767</v>
      </c>
    </row>
    <row r="28" spans="1:7" x14ac:dyDescent="0.5">
      <c r="A28">
        <v>416</v>
      </c>
      <c r="B28">
        <v>2004</v>
      </c>
      <c r="C28" s="43">
        <v>485252</v>
      </c>
      <c r="D28" s="44">
        <v>374576</v>
      </c>
      <c r="E28" s="43">
        <v>812385</v>
      </c>
      <c r="F28" s="43">
        <v>396493</v>
      </c>
      <c r="G28" s="43">
        <f t="shared" si="0"/>
        <v>2068706</v>
      </c>
    </row>
    <row r="29" spans="1:7" x14ac:dyDescent="0.5">
      <c r="A29">
        <v>417</v>
      </c>
      <c r="B29">
        <v>2005</v>
      </c>
      <c r="C29" s="43"/>
      <c r="D29" s="44"/>
      <c r="E29" s="43"/>
      <c r="F29" s="43"/>
      <c r="G29" s="43"/>
    </row>
    <row r="30" spans="1:7" x14ac:dyDescent="0.5">
      <c r="A30">
        <v>418</v>
      </c>
      <c r="B30">
        <v>2006</v>
      </c>
      <c r="C30" s="43">
        <v>464078</v>
      </c>
      <c r="D30" s="44">
        <v>363627</v>
      </c>
      <c r="E30" s="43">
        <v>750560</v>
      </c>
      <c r="F30" s="43">
        <v>366111</v>
      </c>
      <c r="G30" s="43">
        <f t="shared" si="0"/>
        <v>1944376</v>
      </c>
    </row>
    <row r="31" spans="1:7" x14ac:dyDescent="0.5">
      <c r="A31">
        <v>419</v>
      </c>
      <c r="B31">
        <v>2007</v>
      </c>
      <c r="C31" s="43">
        <v>476714</v>
      </c>
      <c r="D31" s="44">
        <v>328839</v>
      </c>
      <c r="E31" s="43">
        <v>789763</v>
      </c>
      <c r="F31" s="43">
        <v>351349</v>
      </c>
      <c r="G31" s="43">
        <f t="shared" si="0"/>
        <v>1946665</v>
      </c>
    </row>
    <row r="32" spans="1:7" x14ac:dyDescent="0.5">
      <c r="A32">
        <v>420</v>
      </c>
      <c r="B32">
        <v>2008</v>
      </c>
      <c r="C32" s="43">
        <v>447043</v>
      </c>
      <c r="D32" s="44">
        <v>373041</v>
      </c>
      <c r="E32" s="43">
        <v>785242</v>
      </c>
      <c r="F32" s="43">
        <v>418061</v>
      </c>
      <c r="G32" s="43">
        <f t="shared" si="0"/>
        <v>2023387</v>
      </c>
    </row>
    <row r="33" spans="1:7" x14ac:dyDescent="0.5">
      <c r="A33">
        <v>421</v>
      </c>
      <c r="B33">
        <v>2009</v>
      </c>
      <c r="C33" s="43">
        <v>465729</v>
      </c>
      <c r="D33" s="44">
        <v>397704</v>
      </c>
      <c r="E33" s="43">
        <v>782238</v>
      </c>
      <c r="F33" s="43">
        <v>438744</v>
      </c>
      <c r="G33" s="43">
        <f t="shared" si="0"/>
        <v>2084415</v>
      </c>
    </row>
    <row r="34" spans="1:7" x14ac:dyDescent="0.5">
      <c r="A34">
        <v>422</v>
      </c>
      <c r="B34">
        <v>2010</v>
      </c>
      <c r="C34" s="43">
        <v>461637</v>
      </c>
      <c r="D34" s="44">
        <v>377979</v>
      </c>
      <c r="E34" s="43">
        <v>776234</v>
      </c>
      <c r="F34" s="43">
        <v>437704</v>
      </c>
      <c r="G34" s="43">
        <f t="shared" si="0"/>
        <v>2053554</v>
      </c>
    </row>
    <row r="35" spans="1:7" x14ac:dyDescent="0.5">
      <c r="A35">
        <v>423</v>
      </c>
      <c r="B35">
        <v>2011</v>
      </c>
      <c r="C35" s="43">
        <v>398587</v>
      </c>
      <c r="D35" s="44">
        <v>334041</v>
      </c>
      <c r="E35" s="43">
        <v>776875</v>
      </c>
      <c r="F35" s="43">
        <v>382043</v>
      </c>
      <c r="G35" s="43">
        <f t="shared" si="0"/>
        <v>1891546</v>
      </c>
    </row>
    <row r="36" spans="1:7" x14ac:dyDescent="0.5">
      <c r="A36">
        <v>424</v>
      </c>
      <c r="B36">
        <v>2012</v>
      </c>
      <c r="C36" s="43">
        <v>336254</v>
      </c>
      <c r="D36" s="44">
        <v>312292</v>
      </c>
      <c r="E36" s="43">
        <v>646658</v>
      </c>
      <c r="F36" s="43">
        <v>458693</v>
      </c>
      <c r="G36" s="43">
        <f t="shared" si="0"/>
        <v>1753897</v>
      </c>
    </row>
    <row r="37" spans="1:7" x14ac:dyDescent="0.5">
      <c r="A37">
        <v>425</v>
      </c>
      <c r="B37">
        <v>2013</v>
      </c>
      <c r="C37" s="43">
        <v>252684</v>
      </c>
      <c r="D37" s="44">
        <v>306859</v>
      </c>
      <c r="E37" s="43">
        <v>548183</v>
      </c>
      <c r="F37" s="43">
        <v>438537</v>
      </c>
      <c r="G37" s="43">
        <f t="shared" si="0"/>
        <v>1546263</v>
      </c>
    </row>
    <row r="38" spans="1:7" x14ac:dyDescent="0.5">
      <c r="A38">
        <v>426</v>
      </c>
      <c r="B38">
        <v>2014</v>
      </c>
      <c r="C38" s="43">
        <v>246510</v>
      </c>
      <c r="D38" s="44">
        <v>294268</v>
      </c>
      <c r="E38" s="43">
        <v>475181</v>
      </c>
      <c r="F38" s="43">
        <v>458766</v>
      </c>
      <c r="G38" s="43">
        <f t="shared" si="0"/>
        <v>1474725</v>
      </c>
    </row>
    <row r="39" spans="1:7" x14ac:dyDescent="0.5">
      <c r="A39">
        <v>427</v>
      </c>
      <c r="B39">
        <v>2015</v>
      </c>
      <c r="C39" s="43">
        <v>373332</v>
      </c>
      <c r="D39" s="44">
        <v>379530</v>
      </c>
      <c r="E39" s="43">
        <v>469683</v>
      </c>
      <c r="F39" s="43">
        <v>388903</v>
      </c>
      <c r="G39" s="43">
        <f t="shared" si="0"/>
        <v>1611448</v>
      </c>
    </row>
    <row r="40" spans="1:7" x14ac:dyDescent="0.5">
      <c r="A40">
        <v>428</v>
      </c>
      <c r="B40">
        <v>2016</v>
      </c>
      <c r="C40" s="43">
        <v>723481</v>
      </c>
      <c r="D40" s="44">
        <v>419071</v>
      </c>
      <c r="E40" s="43">
        <v>668388</v>
      </c>
      <c r="F40" s="43">
        <v>505715</v>
      </c>
      <c r="G40" s="43">
        <f t="shared" si="0"/>
        <v>2316655</v>
      </c>
    </row>
    <row r="41" spans="1:7" x14ac:dyDescent="0.5">
      <c r="B41" s="43"/>
      <c r="F41" s="22" t="s">
        <v>188</v>
      </c>
      <c r="G41" s="75">
        <f>AVERAGE(G36:G40)</f>
        <v>1740597.6</v>
      </c>
    </row>
    <row r="42" spans="1:7" x14ac:dyDescent="0.5">
      <c r="B42" s="43"/>
    </row>
  </sheetData>
  <mergeCells count="1">
    <mergeCell ref="C1:G1"/>
  </mergeCells>
  <phoneticPr fontId="2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25"/>
  <sheetViews>
    <sheetView workbookViewId="0"/>
  </sheetViews>
  <sheetFormatPr defaultColWidth="8.81640625" defaultRowHeight="19.8" x14ac:dyDescent="0.5"/>
  <cols>
    <col min="1" max="1" width="40.36328125" style="1" bestFit="1" customWidth="1"/>
    <col min="2" max="2" width="10.36328125" style="1" bestFit="1" customWidth="1"/>
    <col min="3" max="15" width="10.1796875" style="1" bestFit="1" customWidth="1"/>
    <col min="16" max="16" width="13.36328125" style="1" customWidth="1"/>
    <col min="17" max="17" width="11.36328125" style="1" bestFit="1" customWidth="1"/>
    <col min="18" max="18" width="10.453125" style="1" customWidth="1"/>
    <col min="19" max="19" width="7.6328125" style="1" bestFit="1" customWidth="1"/>
    <col min="20" max="20" width="12.453125" style="1" bestFit="1" customWidth="1"/>
    <col min="21" max="21" width="3.36328125" style="1" bestFit="1" customWidth="1"/>
    <col min="22" max="22" width="5" style="1" customWidth="1"/>
    <col min="23" max="23" width="5.36328125" style="1" bestFit="1" customWidth="1"/>
    <col min="24" max="16384" width="8.81640625" style="1"/>
  </cols>
  <sheetData>
    <row r="2" spans="1:23" x14ac:dyDescent="0.5">
      <c r="A2" s="16"/>
      <c r="B2" s="14">
        <v>2004</v>
      </c>
      <c r="C2" s="14">
        <v>2005</v>
      </c>
      <c r="D2" s="14">
        <v>2006</v>
      </c>
      <c r="E2" s="14">
        <v>2007</v>
      </c>
      <c r="F2" s="14">
        <v>2008</v>
      </c>
      <c r="G2" s="14">
        <v>2009</v>
      </c>
      <c r="H2" s="14">
        <v>2010</v>
      </c>
      <c r="I2" s="14">
        <v>2011</v>
      </c>
      <c r="J2" s="14">
        <v>2012</v>
      </c>
      <c r="K2" s="14">
        <v>2013</v>
      </c>
      <c r="L2" s="14">
        <v>2014</v>
      </c>
      <c r="M2" s="14">
        <v>2015</v>
      </c>
      <c r="N2" s="14">
        <v>2016</v>
      </c>
      <c r="O2" s="14">
        <v>2017</v>
      </c>
      <c r="P2" s="14" t="s">
        <v>8</v>
      </c>
      <c r="Q2" s="14" t="s">
        <v>9</v>
      </c>
      <c r="R2" s="16"/>
      <c r="S2" s="16"/>
      <c r="T2" s="16"/>
      <c r="U2" s="16"/>
      <c r="V2" s="16"/>
      <c r="W2" s="16"/>
    </row>
    <row r="3" spans="1:23" x14ac:dyDescent="0.5">
      <c r="A3" s="16" t="s">
        <v>7</v>
      </c>
      <c r="B3" s="18">
        <v>347</v>
      </c>
      <c r="C3" s="18">
        <v>422</v>
      </c>
      <c r="D3" s="18">
        <v>467</v>
      </c>
      <c r="E3" s="18">
        <v>525</v>
      </c>
      <c r="F3" s="18">
        <v>512</v>
      </c>
      <c r="G3" s="18">
        <v>534</v>
      </c>
      <c r="H3" s="18">
        <v>506</v>
      </c>
      <c r="I3" s="18">
        <v>549</v>
      </c>
      <c r="J3" s="18">
        <v>547</v>
      </c>
      <c r="K3" s="18">
        <v>527</v>
      </c>
      <c r="L3" s="18">
        <v>473</v>
      </c>
      <c r="M3" s="18">
        <v>445</v>
      </c>
      <c r="N3" s="18">
        <v>138</v>
      </c>
      <c r="O3" s="18">
        <v>392</v>
      </c>
      <c r="P3" s="18">
        <f>AVERAGE(B3:O3)</f>
        <v>456</v>
      </c>
      <c r="Q3" s="18">
        <f>SUM(B3:O3)</f>
        <v>6384</v>
      </c>
      <c r="R3" s="16"/>
      <c r="S3" s="16"/>
      <c r="T3" s="16"/>
      <c r="U3" s="16"/>
      <c r="V3" s="16"/>
      <c r="W3" s="16"/>
    </row>
    <row r="4" spans="1:23" x14ac:dyDescent="0.5">
      <c r="A4" s="16" t="s">
        <v>55</v>
      </c>
      <c r="B4" s="18">
        <v>31364108</v>
      </c>
      <c r="C4" s="18">
        <v>34051948</v>
      </c>
      <c r="D4" s="18">
        <v>41221931</v>
      </c>
      <c r="E4" s="18">
        <v>49362278</v>
      </c>
      <c r="F4" s="18">
        <v>55227934</v>
      </c>
      <c r="G4" s="18">
        <v>56268711</v>
      </c>
      <c r="H4" s="18">
        <v>55990563</v>
      </c>
      <c r="I4" s="18">
        <v>63546447</v>
      </c>
      <c r="J4" s="18">
        <v>55730870</v>
      </c>
      <c r="K4" s="18">
        <v>60461553</v>
      </c>
      <c r="L4" s="18">
        <v>54849860</v>
      </c>
      <c r="M4" s="18">
        <v>56299609</v>
      </c>
      <c r="N4" s="18">
        <v>15476688</v>
      </c>
      <c r="O4" s="18">
        <v>50592662</v>
      </c>
      <c r="P4" s="18">
        <f>AVERAGE(B4:O4)</f>
        <v>48603225.857142858</v>
      </c>
      <c r="Q4" s="18">
        <f>SUM(B4:O4)</f>
        <v>680445162</v>
      </c>
      <c r="R4" s="17" t="s">
        <v>10</v>
      </c>
      <c r="S4" s="18">
        <f>P4/'Pumping synergy loss'!D3</f>
        <v>427920.63617840165</v>
      </c>
      <c r="T4" s="16" t="s">
        <v>333</v>
      </c>
      <c r="U4" s="16"/>
      <c r="V4" s="16"/>
      <c r="W4" s="16"/>
    </row>
    <row r="5" spans="1:23" ht="21.6" x14ac:dyDescent="0.5">
      <c r="A5" s="16" t="s">
        <v>362</v>
      </c>
      <c r="B5" s="18">
        <v>2910822</v>
      </c>
      <c r="C5" s="18">
        <v>2844143</v>
      </c>
      <c r="D5" s="18">
        <v>3885146</v>
      </c>
      <c r="E5" s="18">
        <v>4742595</v>
      </c>
      <c r="F5" s="18">
        <v>5455642</v>
      </c>
      <c r="G5" s="18">
        <v>5590673</v>
      </c>
      <c r="H5" s="18">
        <v>5502774</v>
      </c>
      <c r="I5" s="18">
        <v>6292725</v>
      </c>
      <c r="J5" s="18">
        <v>4871436</v>
      </c>
      <c r="K5" s="18">
        <v>5719611</v>
      </c>
      <c r="L5" s="18">
        <v>5166533</v>
      </c>
      <c r="M5" s="18">
        <v>5225645</v>
      </c>
      <c r="N5" s="18">
        <v>1310616</v>
      </c>
      <c r="O5" s="18">
        <v>4489711</v>
      </c>
      <c r="P5" s="18">
        <f>AVERAGE(B5:O5)</f>
        <v>4572005.1428571427</v>
      </c>
      <c r="Q5" s="18">
        <f>SUM(B5:O5)</f>
        <v>64008072</v>
      </c>
      <c r="R5" s="17" t="s">
        <v>10</v>
      </c>
      <c r="S5" s="18">
        <v>15815</v>
      </c>
      <c r="T5" s="16" t="s">
        <v>11</v>
      </c>
      <c r="U5" s="16"/>
      <c r="V5" s="16"/>
      <c r="W5" s="16"/>
    </row>
    <row r="6" spans="1:23" ht="21.6" x14ac:dyDescent="0.5">
      <c r="A6" s="16" t="s">
        <v>363</v>
      </c>
      <c r="B6" s="18">
        <v>8732000</v>
      </c>
      <c r="C6" s="18">
        <v>8532000</v>
      </c>
      <c r="D6" s="18">
        <v>11655000</v>
      </c>
      <c r="E6" s="18">
        <v>14228000</v>
      </c>
      <c r="F6" s="18">
        <v>16367000</v>
      </c>
      <c r="G6" s="18">
        <v>16772000</v>
      </c>
      <c r="H6" s="18">
        <v>16508000</v>
      </c>
      <c r="I6" s="18">
        <v>18878000</v>
      </c>
      <c r="J6" s="18">
        <v>14614000</v>
      </c>
      <c r="K6" s="18">
        <v>17159000</v>
      </c>
      <c r="L6" s="18">
        <v>15500000</v>
      </c>
      <c r="M6" s="18">
        <v>15677000</v>
      </c>
      <c r="N6" s="18">
        <v>3932000</v>
      </c>
      <c r="O6" s="18">
        <v>13469000</v>
      </c>
      <c r="P6" s="18">
        <f>AVERAGE(B6:O6)</f>
        <v>13715928.571428571</v>
      </c>
      <c r="Q6" s="18">
        <f>SUM(B6:O6)</f>
        <v>192023000</v>
      </c>
      <c r="R6" s="17" t="s">
        <v>10</v>
      </c>
      <c r="S6" s="16">
        <v>50.7</v>
      </c>
      <c r="T6" s="16" t="s">
        <v>12</v>
      </c>
      <c r="U6" s="17" t="s">
        <v>13</v>
      </c>
      <c r="V6" s="19">
        <f>50721034052.8/(14*365)/1000000</f>
        <v>9.9258383664970662</v>
      </c>
      <c r="W6" s="16" t="s">
        <v>14</v>
      </c>
    </row>
    <row r="8" spans="1:23" x14ac:dyDescent="0.5">
      <c r="T8" s="67"/>
    </row>
    <row r="25" spans="20:20" x14ac:dyDescent="0.5">
      <c r="T25" s="15"/>
    </row>
  </sheetData>
  <phoneticPr fontId="21"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H45"/>
  <sheetViews>
    <sheetView workbookViewId="0">
      <selection activeCell="G40" sqref="G40"/>
    </sheetView>
  </sheetViews>
  <sheetFormatPr defaultColWidth="10.90625" defaultRowHeight="19.8" x14ac:dyDescent="0.5"/>
  <cols>
    <col min="2" max="2" width="13.6328125" bestFit="1" customWidth="1"/>
    <col min="6" max="6" width="12" customWidth="1"/>
    <col min="7" max="7" width="11.1796875" bestFit="1" customWidth="1"/>
    <col min="8" max="8" width="17.36328125" bestFit="1" customWidth="1"/>
  </cols>
  <sheetData>
    <row r="1" spans="1:3" x14ac:dyDescent="0.5">
      <c r="A1" t="s">
        <v>62</v>
      </c>
      <c r="C1" t="s">
        <v>63</v>
      </c>
    </row>
    <row r="3" spans="1:3" x14ac:dyDescent="0.5">
      <c r="A3" t="s">
        <v>64</v>
      </c>
      <c r="B3" t="s">
        <v>65</v>
      </c>
    </row>
    <row r="4" spans="1:3" x14ac:dyDescent="0.5">
      <c r="A4" t="s">
        <v>66</v>
      </c>
      <c r="B4" t="s">
        <v>67</v>
      </c>
    </row>
    <row r="5" spans="1:3" x14ac:dyDescent="0.5">
      <c r="A5" t="s">
        <v>68</v>
      </c>
      <c r="B5" t="s">
        <v>69</v>
      </c>
    </row>
    <row r="6" spans="1:3" x14ac:dyDescent="0.5">
      <c r="A6" t="s">
        <v>70</v>
      </c>
      <c r="B6" t="s">
        <v>71</v>
      </c>
    </row>
    <row r="7" spans="1:3" x14ac:dyDescent="0.5">
      <c r="A7" t="s">
        <v>72</v>
      </c>
      <c r="B7" t="s">
        <v>74</v>
      </c>
    </row>
    <row r="8" spans="1:3" x14ac:dyDescent="0.5">
      <c r="A8" t="s">
        <v>73</v>
      </c>
      <c r="B8" t="s">
        <v>75</v>
      </c>
    </row>
    <row r="9" spans="1:3" x14ac:dyDescent="0.5">
      <c r="B9" t="s">
        <v>76</v>
      </c>
    </row>
    <row r="11" spans="1:3" x14ac:dyDescent="0.5">
      <c r="A11" t="s">
        <v>77</v>
      </c>
    </row>
    <row r="12" spans="1:3" x14ac:dyDescent="0.5">
      <c r="A12" t="s">
        <v>78</v>
      </c>
    </row>
    <row r="13" spans="1:3" x14ac:dyDescent="0.5">
      <c r="A13" t="s">
        <v>79</v>
      </c>
    </row>
    <row r="15" spans="1:3" x14ac:dyDescent="0.5">
      <c r="A15" t="s">
        <v>80</v>
      </c>
    </row>
    <row r="17" spans="1:8" x14ac:dyDescent="0.5">
      <c r="A17" t="s">
        <v>81</v>
      </c>
    </row>
    <row r="18" spans="1:8" x14ac:dyDescent="0.5">
      <c r="A18" t="s">
        <v>82</v>
      </c>
    </row>
    <row r="20" spans="1:8" x14ac:dyDescent="0.5">
      <c r="A20" t="s">
        <v>83</v>
      </c>
    </row>
    <row r="21" spans="1:8" x14ac:dyDescent="0.5">
      <c r="A21" t="s">
        <v>142</v>
      </c>
      <c r="B21" s="43">
        <f>'Hydrology parameters'!B17</f>
        <v>945000000</v>
      </c>
      <c r="C21" t="s">
        <v>86</v>
      </c>
      <c r="G21" s="43"/>
      <c r="H21" s="43"/>
    </row>
    <row r="22" spans="1:8" x14ac:dyDescent="0.5">
      <c r="A22" t="s">
        <v>68</v>
      </c>
      <c r="B22" s="45">
        <f>'Hydrology parameters'!C9</f>
        <v>0.2</v>
      </c>
    </row>
    <row r="23" spans="1:8" x14ac:dyDescent="0.5">
      <c r="A23" t="s">
        <v>84</v>
      </c>
      <c r="B23" s="43">
        <f>'Subsidy and recharge'!P6</f>
        <v>13715928.571428571</v>
      </c>
      <c r="C23" t="s">
        <v>57</v>
      </c>
      <c r="D23" t="s">
        <v>90</v>
      </c>
    </row>
    <row r="25" spans="1:8" x14ac:dyDescent="0.5">
      <c r="A25" t="s">
        <v>85</v>
      </c>
      <c r="B25">
        <f>B23/(41*B21*B22)</f>
        <v>1.7700256254263222E-3</v>
      </c>
      <c r="C25" t="s">
        <v>86</v>
      </c>
    </row>
    <row r="27" spans="1:8" x14ac:dyDescent="0.5">
      <c r="A27" t="s">
        <v>64</v>
      </c>
      <c r="B27" s="43">
        <f>41*B21*B22*10</f>
        <v>77490000000</v>
      </c>
      <c r="C27" t="s">
        <v>57</v>
      </c>
      <c r="D27" t="s">
        <v>88</v>
      </c>
    </row>
    <row r="28" spans="1:8" x14ac:dyDescent="0.5">
      <c r="A28" t="s">
        <v>89</v>
      </c>
      <c r="B28">
        <f>B23/B27</f>
        <v>1.7700256254263221E-4</v>
      </c>
      <c r="D28" t="s">
        <v>143</v>
      </c>
    </row>
    <row r="30" spans="1:8" x14ac:dyDescent="0.5">
      <c r="A30" t="s">
        <v>156</v>
      </c>
    </row>
    <row r="31" spans="1:8" x14ac:dyDescent="0.5">
      <c r="A31" s="51" t="s">
        <v>145</v>
      </c>
      <c r="B31" s="51"/>
    </row>
    <row r="32" spans="1:8" x14ac:dyDescent="0.5">
      <c r="A32" t="s">
        <v>91</v>
      </c>
      <c r="B32" t="s">
        <v>87</v>
      </c>
    </row>
    <row r="33" spans="1:8" x14ac:dyDescent="0.5">
      <c r="A33" t="s">
        <v>92</v>
      </c>
      <c r="B33" t="s">
        <v>86</v>
      </c>
    </row>
    <row r="35" spans="1:8" x14ac:dyDescent="0.5">
      <c r="A35" t="s">
        <v>93</v>
      </c>
      <c r="B35" s="46">
        <f>-0.0044*B25</f>
        <v>-7.7881127518758179E-6</v>
      </c>
      <c r="C35" t="s">
        <v>87</v>
      </c>
    </row>
    <row r="37" spans="1:8" x14ac:dyDescent="0.5">
      <c r="A37" t="s">
        <v>146</v>
      </c>
      <c r="G37" s="43">
        <f>'Kumamoto pumping'!F43+'Mashiki pumping'!G41</f>
        <v>32911668</v>
      </c>
      <c r="H37" t="s">
        <v>150</v>
      </c>
    </row>
    <row r="38" spans="1:8" x14ac:dyDescent="0.5">
      <c r="A38" t="s">
        <v>155</v>
      </c>
      <c r="G38" s="45">
        <f>B35*G37</f>
        <v>-256.3197812363033</v>
      </c>
      <c r="H38" t="s">
        <v>152</v>
      </c>
    </row>
    <row r="39" spans="1:8" x14ac:dyDescent="0.5">
      <c r="A39" t="s">
        <v>147</v>
      </c>
      <c r="G39" s="45">
        <f>AVERAGE('Kumamoto pumping'!I120:K120)</f>
        <v>13.512477309132334</v>
      </c>
      <c r="H39" t="s">
        <v>148</v>
      </c>
    </row>
    <row r="40" spans="1:8" x14ac:dyDescent="0.5">
      <c r="A40" t="s">
        <v>149</v>
      </c>
      <c r="G40" s="58">
        <f>G38*G39</f>
        <v>-3463.5152278373121</v>
      </c>
      <c r="H40" t="s">
        <v>153</v>
      </c>
    </row>
    <row r="42" spans="1:8" x14ac:dyDescent="0.5">
      <c r="A42" t="s">
        <v>151</v>
      </c>
    </row>
    <row r="43" spans="1:8" x14ac:dyDescent="0.5">
      <c r="A43" t="s">
        <v>157</v>
      </c>
      <c r="E43">
        <f>-0.0044*1</f>
        <v>-4.4000000000000003E-3</v>
      </c>
      <c r="F43" t="s">
        <v>87</v>
      </c>
    </row>
    <row r="44" spans="1:8" x14ac:dyDescent="0.5">
      <c r="A44" t="s">
        <v>155</v>
      </c>
      <c r="E44" s="43">
        <f>E43*G37</f>
        <v>-144811.33920000002</v>
      </c>
      <c r="F44" t="s">
        <v>152</v>
      </c>
    </row>
    <row r="45" spans="1:8" x14ac:dyDescent="0.5">
      <c r="A45" t="s">
        <v>149</v>
      </c>
      <c r="E45" s="43">
        <f>E44*G39</f>
        <v>-1956759.9350450661</v>
      </c>
      <c r="F45" t="s">
        <v>153</v>
      </c>
    </row>
  </sheetData>
  <phoneticPr fontId="2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33"/>
  <sheetViews>
    <sheetView workbookViewId="0"/>
  </sheetViews>
  <sheetFormatPr defaultColWidth="10.90625" defaultRowHeight="19.8" x14ac:dyDescent="0.5"/>
  <cols>
    <col min="1" max="1" width="7.36328125" bestFit="1" customWidth="1"/>
    <col min="2" max="2" width="5.1796875" bestFit="1" customWidth="1"/>
    <col min="3" max="4" width="15.6328125" bestFit="1" customWidth="1"/>
    <col min="5" max="5" width="16.81640625" bestFit="1" customWidth="1"/>
    <col min="6" max="6" width="12.6328125" bestFit="1" customWidth="1"/>
    <col min="7" max="8" width="15.36328125" bestFit="1" customWidth="1"/>
    <col min="9" max="9" width="16.453125" bestFit="1" customWidth="1"/>
  </cols>
  <sheetData>
    <row r="1" spans="1:10" ht="24" x14ac:dyDescent="0.55000000000000004">
      <c r="A1" s="54" t="s">
        <v>364</v>
      </c>
    </row>
    <row r="2" spans="1:10" x14ac:dyDescent="0.5">
      <c r="A2" s="20" t="s">
        <v>170</v>
      </c>
      <c r="B2" s="20" t="s">
        <v>58</v>
      </c>
      <c r="C2" s="20" t="s">
        <v>56</v>
      </c>
      <c r="D2" s="20" t="s">
        <v>59</v>
      </c>
      <c r="E2" s="20" t="s">
        <v>60</v>
      </c>
      <c r="F2" s="20" t="s">
        <v>61</v>
      </c>
      <c r="G2" s="20" t="s">
        <v>171</v>
      </c>
      <c r="H2" s="20" t="s">
        <v>172</v>
      </c>
      <c r="I2" s="20" t="s">
        <v>174</v>
      </c>
      <c r="J2" s="20" t="s">
        <v>9</v>
      </c>
    </row>
    <row r="3" spans="1:10" x14ac:dyDescent="0.5">
      <c r="A3">
        <f>'Mashiki pumping'!A3</f>
        <v>354</v>
      </c>
      <c r="B3">
        <f>'Mashiki pumping'!B3</f>
        <v>1979</v>
      </c>
      <c r="C3" s="43">
        <f>'Mashiki pumping'!C3</f>
        <v>328899</v>
      </c>
      <c r="D3" s="43">
        <f>'Mashiki pumping'!D3</f>
        <v>328899</v>
      </c>
      <c r="F3" s="43"/>
      <c r="J3" s="43">
        <f>SUM(C3:I3)</f>
        <v>657798</v>
      </c>
    </row>
    <row r="4" spans="1:10" x14ac:dyDescent="0.5">
      <c r="A4">
        <f>'Mashiki pumping'!A4</f>
        <v>355</v>
      </c>
      <c r="B4">
        <f>'Mashiki pumping'!B4</f>
        <v>1980</v>
      </c>
      <c r="C4" s="43">
        <f>'Mashiki pumping'!C4</f>
        <v>187076</v>
      </c>
      <c r="D4" s="43">
        <f>'Mashiki pumping'!D4</f>
        <v>187076</v>
      </c>
      <c r="F4" s="43"/>
      <c r="J4" s="43">
        <f t="shared" ref="J4:J40" si="0">SUM(C4:I4)</f>
        <v>374152</v>
      </c>
    </row>
    <row r="5" spans="1:10" x14ac:dyDescent="0.5">
      <c r="A5">
        <f>'Mashiki pumping'!A5</f>
        <v>356</v>
      </c>
      <c r="B5">
        <f>'Mashiki pumping'!B5</f>
        <v>1981</v>
      </c>
      <c r="C5" s="43">
        <f>'Mashiki pumping'!C5</f>
        <v>192910</v>
      </c>
      <c r="D5" s="43">
        <f>'Mashiki pumping'!D5</f>
        <v>192910</v>
      </c>
      <c r="F5" s="43"/>
      <c r="J5" s="43">
        <f t="shared" si="0"/>
        <v>385820</v>
      </c>
    </row>
    <row r="6" spans="1:10" x14ac:dyDescent="0.5">
      <c r="A6">
        <f>'Mashiki pumping'!A6</f>
        <v>357</v>
      </c>
      <c r="B6">
        <f>'Mashiki pumping'!B6</f>
        <v>1982</v>
      </c>
      <c r="C6" s="43">
        <f>'Mashiki pumping'!C6</f>
        <v>255692</v>
      </c>
      <c r="D6" s="43">
        <f>'Mashiki pumping'!D6</f>
        <v>255692</v>
      </c>
      <c r="F6" s="43"/>
      <c r="J6" s="43">
        <f t="shared" si="0"/>
        <v>511384</v>
      </c>
    </row>
    <row r="7" spans="1:10" x14ac:dyDescent="0.5">
      <c r="A7">
        <f>'Mashiki pumping'!A7</f>
        <v>358</v>
      </c>
      <c r="B7">
        <f>'Mashiki pumping'!B7</f>
        <v>1983</v>
      </c>
      <c r="C7" s="43">
        <f>'Mashiki pumping'!C7</f>
        <v>261924</v>
      </c>
      <c r="D7" s="43">
        <f>'Mashiki pumping'!D7</f>
        <v>261924</v>
      </c>
      <c r="F7" s="43"/>
      <c r="J7" s="43">
        <f t="shared" si="0"/>
        <v>523848</v>
      </c>
    </row>
    <row r="8" spans="1:10" x14ac:dyDescent="0.5">
      <c r="A8">
        <f>'Mashiki pumping'!A8</f>
        <v>359</v>
      </c>
      <c r="B8">
        <f>'Mashiki pumping'!B8</f>
        <v>1984</v>
      </c>
      <c r="C8" s="43">
        <f>'Mashiki pumping'!C8</f>
        <v>290590</v>
      </c>
      <c r="D8" s="43">
        <f>'Mashiki pumping'!D8</f>
        <v>290590</v>
      </c>
      <c r="F8" s="43"/>
      <c r="J8" s="43">
        <f t="shared" si="0"/>
        <v>581180</v>
      </c>
    </row>
    <row r="9" spans="1:10" x14ac:dyDescent="0.5">
      <c r="A9">
        <f>'Mashiki pumping'!A9</f>
        <v>360</v>
      </c>
      <c r="B9">
        <f>'Mashiki pumping'!B9</f>
        <v>1985</v>
      </c>
      <c r="C9" s="43">
        <f>'Mashiki pumping'!C9</f>
        <v>384308</v>
      </c>
      <c r="D9" s="43">
        <f>'Mashiki pumping'!D9</f>
        <v>384308</v>
      </c>
      <c r="F9" s="43"/>
      <c r="J9" s="43">
        <f t="shared" si="0"/>
        <v>768616</v>
      </c>
    </row>
    <row r="10" spans="1:10" x14ac:dyDescent="0.5">
      <c r="A10">
        <f>'Mashiki pumping'!A10</f>
        <v>361</v>
      </c>
      <c r="B10">
        <f>'Mashiki pumping'!B10</f>
        <v>1986</v>
      </c>
      <c r="C10" s="43">
        <f>'Mashiki pumping'!C10</f>
        <v>361788</v>
      </c>
      <c r="D10" s="43">
        <f>'Mashiki pumping'!D10</f>
        <v>361788</v>
      </c>
      <c r="F10" s="43"/>
      <c r="J10" s="43">
        <f t="shared" si="0"/>
        <v>723576</v>
      </c>
    </row>
    <row r="11" spans="1:10" x14ac:dyDescent="0.5">
      <c r="A11">
        <f>'Mashiki pumping'!A11</f>
        <v>362</v>
      </c>
      <c r="B11">
        <f>'Mashiki pumping'!B11</f>
        <v>1987</v>
      </c>
      <c r="C11" s="43">
        <f>'Mashiki pumping'!C11</f>
        <v>417797</v>
      </c>
      <c r="D11" s="43">
        <f>'Mashiki pumping'!D11</f>
        <v>417797</v>
      </c>
      <c r="F11" s="43"/>
      <c r="J11" s="43">
        <f t="shared" si="0"/>
        <v>835594</v>
      </c>
    </row>
    <row r="12" spans="1:10" x14ac:dyDescent="0.5">
      <c r="A12">
        <f>'Mashiki pumping'!A12</f>
        <v>363</v>
      </c>
      <c r="B12">
        <f>'Mashiki pumping'!B12</f>
        <v>1988</v>
      </c>
      <c r="C12" s="43">
        <f>'Mashiki pumping'!C12</f>
        <v>321765</v>
      </c>
      <c r="D12" s="43">
        <f>'Mashiki pumping'!D12</f>
        <v>321765</v>
      </c>
      <c r="F12" s="43"/>
      <c r="J12" s="43">
        <f t="shared" si="0"/>
        <v>643530</v>
      </c>
    </row>
    <row r="13" spans="1:10" x14ac:dyDescent="0.5">
      <c r="A13">
        <f>'Mashiki pumping'!A13</f>
        <v>401</v>
      </c>
      <c r="B13">
        <f>'Mashiki pumping'!B13</f>
        <v>1989</v>
      </c>
      <c r="C13" s="43">
        <f>'Mashiki pumping'!C13</f>
        <v>437905</v>
      </c>
      <c r="D13" s="43">
        <f>'Mashiki pumping'!D13</f>
        <v>437905</v>
      </c>
      <c r="F13" s="43"/>
      <c r="J13" s="43">
        <f t="shared" si="0"/>
        <v>875810</v>
      </c>
    </row>
    <row r="14" spans="1:10" x14ac:dyDescent="0.5">
      <c r="A14">
        <f>'Mashiki pumping'!A14</f>
        <v>402</v>
      </c>
      <c r="B14">
        <f>'Mashiki pumping'!B14</f>
        <v>1990</v>
      </c>
      <c r="C14" s="43">
        <f>'Mashiki pumping'!C14</f>
        <v>432262</v>
      </c>
      <c r="D14" s="43">
        <f>'Mashiki pumping'!D14</f>
        <v>432262</v>
      </c>
      <c r="F14" s="43"/>
      <c r="J14" s="43">
        <f t="shared" si="0"/>
        <v>864524</v>
      </c>
    </row>
    <row r="15" spans="1:10" x14ac:dyDescent="0.5">
      <c r="A15">
        <f>'Mashiki pumping'!A15</f>
        <v>403</v>
      </c>
      <c r="B15">
        <f>'Mashiki pumping'!B15</f>
        <v>1991</v>
      </c>
      <c r="C15" s="43">
        <f>'Mashiki pumping'!C15</f>
        <v>452658</v>
      </c>
      <c r="D15" s="43">
        <f>'Mashiki pumping'!D15</f>
        <v>452049</v>
      </c>
      <c r="F15" s="43"/>
      <c r="J15" s="43">
        <f t="shared" si="0"/>
        <v>904707</v>
      </c>
    </row>
    <row r="16" spans="1:10" x14ac:dyDescent="0.5">
      <c r="A16">
        <f>'Mashiki pumping'!A16</f>
        <v>404</v>
      </c>
      <c r="B16">
        <f>'Mashiki pumping'!B16</f>
        <v>1992</v>
      </c>
      <c r="C16" s="43">
        <f>'Mashiki pumping'!C16</f>
        <v>500754</v>
      </c>
      <c r="D16" s="43">
        <f>'Mashiki pumping'!D16</f>
        <v>501667</v>
      </c>
      <c r="F16" s="43"/>
      <c r="J16" s="43">
        <f t="shared" si="0"/>
        <v>1002421</v>
      </c>
    </row>
    <row r="17" spans="1:31" x14ac:dyDescent="0.5">
      <c r="A17">
        <f>'Mashiki pumping'!A17</f>
        <v>405</v>
      </c>
      <c r="B17">
        <f>'Mashiki pumping'!B17</f>
        <v>1993</v>
      </c>
      <c r="C17" s="43">
        <f>'Mashiki pumping'!C17</f>
        <v>462703</v>
      </c>
      <c r="D17" s="43">
        <f>'Mashiki pumping'!D17</f>
        <v>496188</v>
      </c>
      <c r="F17" s="43"/>
      <c r="J17" s="43">
        <f t="shared" si="0"/>
        <v>958891</v>
      </c>
    </row>
    <row r="18" spans="1:31" x14ac:dyDescent="0.5">
      <c r="A18">
        <f>'Mashiki pumping'!A18</f>
        <v>406</v>
      </c>
      <c r="B18">
        <f>'Mashiki pumping'!B18</f>
        <v>1994</v>
      </c>
      <c r="C18" s="43">
        <f>'Mashiki pumping'!C18</f>
        <v>547938</v>
      </c>
      <c r="D18" s="43">
        <f>'Mashiki pumping'!D18</f>
        <v>550982</v>
      </c>
      <c r="F18" s="43"/>
      <c r="J18" s="43">
        <f t="shared" si="0"/>
        <v>1098920</v>
      </c>
    </row>
    <row r="19" spans="1:31" x14ac:dyDescent="0.5">
      <c r="A19">
        <f>'Mashiki pumping'!A19</f>
        <v>407</v>
      </c>
      <c r="B19">
        <f>'Mashiki pumping'!B19</f>
        <v>1995</v>
      </c>
      <c r="C19" s="43">
        <f>'Mashiki pumping'!C19</f>
        <v>457866</v>
      </c>
      <c r="D19" s="43">
        <f>'Mashiki pumping'!D19</f>
        <v>579963</v>
      </c>
      <c r="F19" s="43"/>
      <c r="J19" s="43">
        <f t="shared" si="0"/>
        <v>1037829</v>
      </c>
    </row>
    <row r="20" spans="1:31" x14ac:dyDescent="0.5">
      <c r="A20">
        <f>'Mashiki pumping'!A20</f>
        <v>408</v>
      </c>
      <c r="B20">
        <f>'Mashiki pumping'!B20</f>
        <v>1996</v>
      </c>
      <c r="C20" s="43">
        <f>'Mashiki pumping'!C20</f>
        <v>548736</v>
      </c>
      <c r="D20" s="43">
        <f>'Mashiki pumping'!D20</f>
        <v>434416</v>
      </c>
      <c r="E20" s="43">
        <f>'Mashiki pumping'!E20</f>
        <v>823104</v>
      </c>
      <c r="F20" s="43"/>
      <c r="J20" s="43">
        <f t="shared" si="0"/>
        <v>1806256</v>
      </c>
    </row>
    <row r="21" spans="1:31" x14ac:dyDescent="0.5">
      <c r="A21">
        <f>'Mashiki pumping'!A21</f>
        <v>409</v>
      </c>
      <c r="B21">
        <f>'Mashiki pumping'!B21</f>
        <v>1997</v>
      </c>
      <c r="C21" s="43">
        <f>'Mashiki pumping'!C21</f>
        <v>505250</v>
      </c>
      <c r="D21" s="43">
        <f>'Mashiki pumping'!D21</f>
        <v>353493</v>
      </c>
      <c r="E21" s="43">
        <f>'Mashiki pumping'!E21</f>
        <v>732536</v>
      </c>
      <c r="F21" s="43"/>
      <c r="J21" s="43">
        <f t="shared" si="0"/>
        <v>1591279</v>
      </c>
    </row>
    <row r="22" spans="1:31" x14ac:dyDescent="0.5">
      <c r="A22">
        <f>'Mashiki pumping'!A22</f>
        <v>410</v>
      </c>
      <c r="B22">
        <f>'Mashiki pumping'!B22</f>
        <v>1998</v>
      </c>
      <c r="C22" s="43">
        <f>'Mashiki pumping'!C22</f>
        <v>481197</v>
      </c>
      <c r="D22" s="43">
        <f>'Mashiki pumping'!D22</f>
        <v>365105</v>
      </c>
      <c r="E22" s="43">
        <f>'Mashiki pumping'!E22</f>
        <v>732544</v>
      </c>
      <c r="F22" s="43"/>
      <c r="J22" s="43">
        <f t="shared" si="0"/>
        <v>1578846</v>
      </c>
    </row>
    <row r="23" spans="1:31" x14ac:dyDescent="0.5">
      <c r="A23">
        <f>'Mashiki pumping'!A23</f>
        <v>411</v>
      </c>
      <c r="B23">
        <f>'Mashiki pumping'!B23</f>
        <v>1999</v>
      </c>
      <c r="C23" s="43">
        <f>'Mashiki pumping'!C23</f>
        <v>491445</v>
      </c>
      <c r="D23" s="43">
        <f>'Mashiki pumping'!D23</f>
        <v>326807</v>
      </c>
      <c r="E23" s="43">
        <f>'Mashiki pumping'!E23</f>
        <v>762190</v>
      </c>
      <c r="F23" s="43"/>
      <c r="J23" s="43">
        <f t="shared" si="0"/>
        <v>1580442</v>
      </c>
    </row>
    <row r="24" spans="1:31" x14ac:dyDescent="0.5">
      <c r="A24">
        <f>'Mashiki pumping'!A24</f>
        <v>412</v>
      </c>
      <c r="B24">
        <f>'Mashiki pumping'!B24</f>
        <v>2000</v>
      </c>
      <c r="C24" s="43">
        <f>'Mashiki pumping'!C24</f>
        <v>502060</v>
      </c>
      <c r="D24" s="43">
        <f>'Mashiki pumping'!D24</f>
        <v>327192</v>
      </c>
      <c r="E24" s="43">
        <f>'Mashiki pumping'!E24</f>
        <v>763014</v>
      </c>
      <c r="F24" s="43"/>
      <c r="J24" s="43">
        <f t="shared" si="0"/>
        <v>1592266</v>
      </c>
    </row>
    <row r="25" spans="1:31" x14ac:dyDescent="0.5">
      <c r="A25">
        <f>'Mashiki pumping'!A25</f>
        <v>413</v>
      </c>
      <c r="B25">
        <f>'Mashiki pumping'!B25</f>
        <v>2001</v>
      </c>
      <c r="C25" s="43">
        <f>'Mashiki pumping'!C25</f>
        <v>582226</v>
      </c>
      <c r="D25" s="43">
        <f>'Mashiki pumping'!D25</f>
        <v>530445</v>
      </c>
      <c r="E25" s="43">
        <f>'Mashiki pumping'!E25</f>
        <v>868826</v>
      </c>
      <c r="F25" s="43"/>
      <c r="J25" s="43">
        <f t="shared" si="0"/>
        <v>1981497</v>
      </c>
    </row>
    <row r="26" spans="1:31" x14ac:dyDescent="0.5">
      <c r="A26">
        <f>'Mashiki pumping'!A26</f>
        <v>414</v>
      </c>
      <c r="B26">
        <f>'Mashiki pumping'!B26</f>
        <v>2002</v>
      </c>
      <c r="C26" s="43">
        <f>'Mashiki pumping'!C26</f>
        <v>638096</v>
      </c>
      <c r="D26" s="43">
        <f>'Mashiki pumping'!D26</f>
        <v>569768</v>
      </c>
      <c r="E26" s="43">
        <f>'Mashiki pumping'!E26</f>
        <v>792161</v>
      </c>
      <c r="F26" s="43"/>
      <c r="J26" s="43">
        <f t="shared" si="0"/>
        <v>2000025</v>
      </c>
    </row>
    <row r="27" spans="1:31" x14ac:dyDescent="0.5">
      <c r="A27">
        <f>'Mashiki pumping'!A27</f>
        <v>415</v>
      </c>
      <c r="B27">
        <f>'Mashiki pumping'!B27</f>
        <v>2003</v>
      </c>
      <c r="C27" s="43">
        <f>'Mashiki pumping'!C27</f>
        <v>458908</v>
      </c>
      <c r="D27" s="43">
        <f>'Mashiki pumping'!D27</f>
        <v>351108</v>
      </c>
      <c r="E27" s="43">
        <f>'Mashiki pumping'!E27</f>
        <v>804221</v>
      </c>
      <c r="F27" s="43">
        <f>'Mashiki pumping'!F27</f>
        <v>223530</v>
      </c>
      <c r="J27" s="43">
        <f t="shared" si="0"/>
        <v>1837767</v>
      </c>
    </row>
    <row r="28" spans="1:31" x14ac:dyDescent="0.5">
      <c r="A28">
        <f>'Mashiki pumping'!A28</f>
        <v>416</v>
      </c>
      <c r="B28">
        <f>'Mashiki pumping'!B28</f>
        <v>2004</v>
      </c>
      <c r="C28" s="43">
        <f>'Mashiki pumping'!C28</f>
        <v>485252</v>
      </c>
      <c r="D28" s="43">
        <f>'Mashiki pumping'!D28</f>
        <v>374576</v>
      </c>
      <c r="E28" s="43">
        <f>'Mashiki pumping'!E28</f>
        <v>812385</v>
      </c>
      <c r="F28" s="43">
        <f>'Mashiki pumping'!F28</f>
        <v>396493</v>
      </c>
      <c r="J28" s="43">
        <f t="shared" si="0"/>
        <v>2068706</v>
      </c>
    </row>
    <row r="29" spans="1:31" x14ac:dyDescent="0.5">
      <c r="A29">
        <f>'Mashiki pumping'!A29</f>
        <v>417</v>
      </c>
      <c r="B29">
        <f>'Mashiki pumping'!B29</f>
        <v>2005</v>
      </c>
      <c r="C29" s="43"/>
      <c r="D29" s="43"/>
      <c r="E29" s="43"/>
      <c r="F29" s="43"/>
      <c r="J29" s="43"/>
    </row>
    <row r="30" spans="1:31" x14ac:dyDescent="0.5">
      <c r="A30">
        <f>'Mashiki pumping'!A30</f>
        <v>418</v>
      </c>
      <c r="B30">
        <f>'Mashiki pumping'!B30</f>
        <v>2006</v>
      </c>
      <c r="C30" s="43">
        <f>'Mashiki pumping'!C30</f>
        <v>464078</v>
      </c>
      <c r="D30" s="43">
        <f>'Mashiki pumping'!D30</f>
        <v>363627</v>
      </c>
      <c r="E30" s="43">
        <f>'Mashiki pumping'!E30</f>
        <v>750560</v>
      </c>
      <c r="F30" s="43">
        <f>'Mashiki pumping'!F30</f>
        <v>366111</v>
      </c>
      <c r="G30" s="43">
        <f>'Kumamoto pumping'!C32</f>
        <v>24080742</v>
      </c>
      <c r="H30" s="43">
        <f>'Kumamoto pumping'!D32</f>
        <v>10515917</v>
      </c>
      <c r="I30" s="43">
        <f>'Kumamoto pumping'!E32</f>
        <v>2703221</v>
      </c>
      <c r="J30" s="43">
        <f t="shared" si="0"/>
        <v>39244256</v>
      </c>
    </row>
    <row r="31" spans="1:31" x14ac:dyDescent="0.5">
      <c r="A31">
        <f>'Mashiki pumping'!A31</f>
        <v>419</v>
      </c>
      <c r="B31">
        <f>'Mashiki pumping'!B31</f>
        <v>2007</v>
      </c>
      <c r="C31" s="43">
        <f>'Mashiki pumping'!C31</f>
        <v>476714</v>
      </c>
      <c r="D31" s="43">
        <f>'Mashiki pumping'!D31</f>
        <v>328839</v>
      </c>
      <c r="E31" s="43">
        <f>'Mashiki pumping'!E31</f>
        <v>789763</v>
      </c>
      <c r="F31" s="43">
        <f>'Mashiki pumping'!F31</f>
        <v>351349</v>
      </c>
      <c r="G31" s="43">
        <f>'Kumamoto pumping'!C33</f>
        <v>24249082</v>
      </c>
      <c r="H31" s="43">
        <f>'Kumamoto pumping'!D33</f>
        <v>10077958</v>
      </c>
      <c r="I31" s="43">
        <f>'Kumamoto pumping'!E33</f>
        <v>2594457</v>
      </c>
      <c r="J31" s="43">
        <f t="shared" si="0"/>
        <v>38868162</v>
      </c>
      <c r="AE31" s="62" t="s">
        <v>183</v>
      </c>
    </row>
    <row r="32" spans="1:31" x14ac:dyDescent="0.5">
      <c r="A32">
        <f>'Mashiki pumping'!A32</f>
        <v>420</v>
      </c>
      <c r="B32">
        <f>'Mashiki pumping'!B32</f>
        <v>2008</v>
      </c>
      <c r="C32" s="43">
        <f>'Mashiki pumping'!C32</f>
        <v>447043</v>
      </c>
      <c r="D32" s="43">
        <f>'Mashiki pumping'!D32</f>
        <v>373041</v>
      </c>
      <c r="E32" s="43">
        <f>'Mashiki pumping'!E32</f>
        <v>785242</v>
      </c>
      <c r="F32" s="43">
        <f>'Mashiki pumping'!F32</f>
        <v>418061</v>
      </c>
      <c r="G32" s="43">
        <f>'Kumamoto pumping'!C34</f>
        <v>23948719</v>
      </c>
      <c r="H32" s="43">
        <f>'Kumamoto pumping'!D34</f>
        <v>10475826</v>
      </c>
      <c r="I32" s="43">
        <f>'Kumamoto pumping'!E34</f>
        <v>2691097</v>
      </c>
      <c r="J32" s="43">
        <f t="shared" si="0"/>
        <v>39139029</v>
      </c>
      <c r="AE32" s="62"/>
    </row>
    <row r="33" spans="1:31" x14ac:dyDescent="0.5">
      <c r="A33">
        <f>'Mashiki pumping'!A33</f>
        <v>421</v>
      </c>
      <c r="B33">
        <f>'Mashiki pumping'!B33</f>
        <v>2009</v>
      </c>
      <c r="C33" s="43">
        <f>'Mashiki pumping'!C33</f>
        <v>465729</v>
      </c>
      <c r="D33" s="43">
        <f>'Mashiki pumping'!D33</f>
        <v>397704</v>
      </c>
      <c r="E33" s="43">
        <f>'Mashiki pumping'!E33</f>
        <v>782238</v>
      </c>
      <c r="F33" s="43">
        <f>'Mashiki pumping'!F33</f>
        <v>438744</v>
      </c>
      <c r="G33" s="43">
        <f>'Kumamoto pumping'!C35</f>
        <v>21652624</v>
      </c>
      <c r="H33" s="43">
        <f>'Kumamoto pumping'!D35</f>
        <v>9489222</v>
      </c>
      <c r="I33" s="43">
        <f>'Kumamoto pumping'!E35</f>
        <v>2548596</v>
      </c>
      <c r="J33" s="43">
        <f t="shared" si="0"/>
        <v>35774857</v>
      </c>
      <c r="AE33" s="62"/>
    </row>
    <row r="34" spans="1:31" x14ac:dyDescent="0.5">
      <c r="A34">
        <f>'Mashiki pumping'!A34</f>
        <v>422</v>
      </c>
      <c r="B34">
        <f>'Mashiki pumping'!B34</f>
        <v>2010</v>
      </c>
      <c r="C34" s="43">
        <f>'Mashiki pumping'!C34</f>
        <v>461637</v>
      </c>
      <c r="D34" s="43">
        <f>'Mashiki pumping'!D34</f>
        <v>377979</v>
      </c>
      <c r="E34" s="43">
        <f>'Mashiki pumping'!E34</f>
        <v>776234</v>
      </c>
      <c r="F34" s="43">
        <f>'Mashiki pumping'!F34</f>
        <v>437704</v>
      </c>
      <c r="G34" s="43">
        <f>'Kumamoto pumping'!C36</f>
        <v>22171524</v>
      </c>
      <c r="H34" s="43">
        <f>'Kumamoto pumping'!D36</f>
        <v>5120033</v>
      </c>
      <c r="I34" s="43">
        <f>'Kumamoto pumping'!E36</f>
        <v>2511594</v>
      </c>
      <c r="J34" s="43">
        <f t="shared" si="0"/>
        <v>31856705</v>
      </c>
      <c r="AE34" s="62"/>
    </row>
    <row r="35" spans="1:31" x14ac:dyDescent="0.5">
      <c r="A35">
        <f>'Mashiki pumping'!A35</f>
        <v>423</v>
      </c>
      <c r="B35">
        <f>'Mashiki pumping'!B35</f>
        <v>2011</v>
      </c>
      <c r="C35" s="43">
        <f>'Mashiki pumping'!C35</f>
        <v>398587</v>
      </c>
      <c r="D35" s="43">
        <f>'Mashiki pumping'!D35</f>
        <v>334041</v>
      </c>
      <c r="E35" s="43">
        <f>'Mashiki pumping'!E35</f>
        <v>776875</v>
      </c>
      <c r="F35" s="43">
        <f>'Mashiki pumping'!F35</f>
        <v>382043</v>
      </c>
      <c r="G35" s="43">
        <f>'Kumamoto pumping'!C37</f>
        <v>21493431</v>
      </c>
      <c r="H35" s="43">
        <f>'Kumamoto pumping'!D37</f>
        <v>3825518</v>
      </c>
      <c r="I35" s="43">
        <f>'Kumamoto pumping'!E37</f>
        <v>2509376</v>
      </c>
      <c r="J35" s="43">
        <f t="shared" si="0"/>
        <v>29719871</v>
      </c>
      <c r="AE35" s="62"/>
    </row>
    <row r="36" spans="1:31" x14ac:dyDescent="0.5">
      <c r="A36">
        <f>'Mashiki pumping'!A36</f>
        <v>424</v>
      </c>
      <c r="B36">
        <f>'Mashiki pumping'!B36</f>
        <v>2012</v>
      </c>
      <c r="C36" s="43">
        <f>'Mashiki pumping'!C36</f>
        <v>336254</v>
      </c>
      <c r="D36" s="43">
        <f>'Mashiki pumping'!D36</f>
        <v>312292</v>
      </c>
      <c r="E36" s="43">
        <f>'Mashiki pumping'!E36</f>
        <v>646658</v>
      </c>
      <c r="F36" s="43">
        <f>'Mashiki pumping'!F36</f>
        <v>458693</v>
      </c>
      <c r="G36" s="43">
        <f>'Kumamoto pumping'!C38</f>
        <v>20783665</v>
      </c>
      <c r="H36" s="43">
        <f>'Kumamoto pumping'!D38</f>
        <v>3812458</v>
      </c>
      <c r="I36" s="43">
        <f>'Kumamoto pumping'!E38</f>
        <v>2455185</v>
      </c>
      <c r="J36" s="43">
        <f t="shared" si="0"/>
        <v>28805205</v>
      </c>
      <c r="AE36" s="62" t="s">
        <v>182</v>
      </c>
    </row>
    <row r="37" spans="1:31" x14ac:dyDescent="0.5">
      <c r="A37">
        <f>'Mashiki pumping'!A37</f>
        <v>425</v>
      </c>
      <c r="B37">
        <f>'Mashiki pumping'!B37</f>
        <v>2013</v>
      </c>
      <c r="C37" s="43">
        <f>'Mashiki pumping'!C37</f>
        <v>252684</v>
      </c>
      <c r="D37" s="43">
        <f>'Mashiki pumping'!D37</f>
        <v>306859</v>
      </c>
      <c r="E37" s="43">
        <f>'Mashiki pumping'!E37</f>
        <v>548183</v>
      </c>
      <c r="F37" s="43">
        <f>'Mashiki pumping'!F37</f>
        <v>438537</v>
      </c>
      <c r="G37" s="43">
        <f>'Kumamoto pumping'!C39</f>
        <v>22426438</v>
      </c>
      <c r="H37" s="43">
        <f>'Kumamoto pumping'!D39</f>
        <v>7736448</v>
      </c>
      <c r="I37" s="43">
        <f>'Kumamoto pumping'!E39</f>
        <v>2186401</v>
      </c>
      <c r="J37" s="43">
        <f t="shared" si="0"/>
        <v>33895550</v>
      </c>
      <c r="AE37" s="62"/>
    </row>
    <row r="38" spans="1:31" x14ac:dyDescent="0.5">
      <c r="A38">
        <f>'Mashiki pumping'!A38</f>
        <v>426</v>
      </c>
      <c r="B38">
        <f>'Mashiki pumping'!B38</f>
        <v>2014</v>
      </c>
      <c r="C38" s="43">
        <f>'Mashiki pumping'!C38</f>
        <v>246510</v>
      </c>
      <c r="D38" s="43">
        <f>'Mashiki pumping'!D38</f>
        <v>294268</v>
      </c>
      <c r="E38" s="43">
        <f>'Mashiki pumping'!E38</f>
        <v>475181</v>
      </c>
      <c r="F38" s="43">
        <f>'Mashiki pumping'!F38</f>
        <v>458766</v>
      </c>
      <c r="G38" s="43">
        <f>'Kumamoto pumping'!C40</f>
        <v>20998675</v>
      </c>
      <c r="H38" s="43">
        <f>'Kumamoto pumping'!D40</f>
        <v>7589501</v>
      </c>
      <c r="I38" s="43">
        <f>'Kumamoto pumping'!E40</f>
        <v>2081060</v>
      </c>
      <c r="J38" s="43">
        <f t="shared" si="0"/>
        <v>32143961</v>
      </c>
      <c r="AE38" s="62"/>
    </row>
    <row r="39" spans="1:31" x14ac:dyDescent="0.5">
      <c r="A39">
        <f>'Mashiki pumping'!A39</f>
        <v>427</v>
      </c>
      <c r="B39">
        <f>'Mashiki pumping'!B39</f>
        <v>2015</v>
      </c>
      <c r="C39" s="43">
        <f>'Mashiki pumping'!C39</f>
        <v>373332</v>
      </c>
      <c r="D39" s="43">
        <f>'Mashiki pumping'!D39</f>
        <v>379530</v>
      </c>
      <c r="E39" s="43">
        <f>'Mashiki pumping'!E39</f>
        <v>469683</v>
      </c>
      <c r="F39" s="43">
        <f>'Mashiki pumping'!F39</f>
        <v>388903</v>
      </c>
      <c r="G39" s="43">
        <f>'Kumamoto pumping'!C41</f>
        <v>21400492</v>
      </c>
      <c r="H39" s="43">
        <f>'Kumamoto pumping'!D41</f>
        <v>7928191</v>
      </c>
      <c r="I39" s="43">
        <f>'Kumamoto pumping'!E41</f>
        <v>2101404</v>
      </c>
      <c r="J39" s="43">
        <f t="shared" si="0"/>
        <v>33041535</v>
      </c>
      <c r="AE39" s="62"/>
    </row>
    <row r="40" spans="1:31" x14ac:dyDescent="0.5">
      <c r="A40">
        <f>'Mashiki pumping'!A40</f>
        <v>428</v>
      </c>
      <c r="B40">
        <f>'Mashiki pumping'!B40</f>
        <v>2016</v>
      </c>
      <c r="C40" s="43">
        <f>'Mashiki pumping'!C40</f>
        <v>723481</v>
      </c>
      <c r="D40" s="43">
        <f>'Mashiki pumping'!D40</f>
        <v>419071</v>
      </c>
      <c r="E40" s="43">
        <f>'Mashiki pumping'!E40</f>
        <v>668388</v>
      </c>
      <c r="F40" s="43">
        <f>'Mashiki pumping'!F40</f>
        <v>505715</v>
      </c>
      <c r="G40" s="43">
        <f>'Kumamoto pumping'!C42</f>
        <v>23568054</v>
      </c>
      <c r="H40" s="43">
        <f>'Kumamoto pumping'!D42</f>
        <v>8990455</v>
      </c>
      <c r="I40" s="43">
        <f>'Kumamoto pumping'!E42</f>
        <v>1796925</v>
      </c>
      <c r="J40" s="43">
        <f t="shared" si="0"/>
        <v>36672089</v>
      </c>
      <c r="AE40" s="62"/>
    </row>
    <row r="41" spans="1:31" x14ac:dyDescent="0.5">
      <c r="C41" s="43"/>
      <c r="D41" s="43"/>
      <c r="F41" s="43"/>
      <c r="AE41" s="62" t="s">
        <v>184</v>
      </c>
    </row>
    <row r="43" spans="1:31" ht="22.2" x14ac:dyDescent="0.55000000000000004">
      <c r="A43" s="54" t="s">
        <v>175</v>
      </c>
    </row>
    <row r="44" spans="1:31" x14ac:dyDescent="0.5">
      <c r="A44" s="20" t="s">
        <v>170</v>
      </c>
      <c r="B44" s="20" t="s">
        <v>58</v>
      </c>
      <c r="C44" s="20" t="s">
        <v>176</v>
      </c>
      <c r="D44" s="20" t="s">
        <v>177</v>
      </c>
      <c r="E44" s="20" t="s">
        <v>178</v>
      </c>
    </row>
    <row r="45" spans="1:31" x14ac:dyDescent="0.5">
      <c r="A45">
        <v>357</v>
      </c>
      <c r="B45">
        <v>1982</v>
      </c>
      <c r="C45" s="45">
        <f>'Obs wells head and precip'!N3</f>
        <v>7.5322973967326341</v>
      </c>
      <c r="D45" s="45">
        <f>'Obs wells head and precip'!O3</f>
        <v>28.265594535052912</v>
      </c>
      <c r="E45" s="45"/>
    </row>
    <row r="46" spans="1:31" x14ac:dyDescent="0.5">
      <c r="A46">
        <v>358</v>
      </c>
      <c r="B46">
        <v>1983</v>
      </c>
      <c r="C46" s="45">
        <f>'Obs wells head and precip'!N4</f>
        <v>7.3822002795698891</v>
      </c>
      <c r="D46" s="45">
        <f>'Obs wells head and precip'!O4</f>
        <v>27.04792092831542</v>
      </c>
      <c r="E46" s="45"/>
    </row>
    <row r="47" spans="1:31" x14ac:dyDescent="0.5">
      <c r="A47">
        <v>359</v>
      </c>
      <c r="B47">
        <v>1984</v>
      </c>
      <c r="C47" s="45">
        <f>'Obs wells head and precip'!N5</f>
        <v>7.1836422898550696</v>
      </c>
      <c r="D47" s="45">
        <f>'Obs wells head and precip'!O5</f>
        <v>24.467798591768641</v>
      </c>
      <c r="E47" s="45"/>
    </row>
    <row r="48" spans="1:31" x14ac:dyDescent="0.5">
      <c r="A48">
        <v>360</v>
      </c>
      <c r="B48">
        <v>1985</v>
      </c>
      <c r="C48" s="45">
        <f>'Obs wells head and precip'!N6</f>
        <v>7.1864056042472209</v>
      </c>
      <c r="D48" s="45">
        <f>'Obs wells head and precip'!O6</f>
        <v>24.87321132130057</v>
      </c>
      <c r="E48" s="45"/>
    </row>
    <row r="49" spans="1:5" x14ac:dyDescent="0.5">
      <c r="A49">
        <v>361</v>
      </c>
      <c r="B49">
        <v>1986</v>
      </c>
      <c r="C49" s="45">
        <f>'Obs wells head and precip'!N7</f>
        <v>7.1629148990237939</v>
      </c>
      <c r="D49" s="45">
        <f>'Obs wells head and precip'!O7</f>
        <v>24.513259058755768</v>
      </c>
      <c r="E49" s="45"/>
    </row>
    <row r="50" spans="1:5" x14ac:dyDescent="0.5">
      <c r="A50">
        <v>362</v>
      </c>
      <c r="B50">
        <v>1987</v>
      </c>
      <c r="C50" s="45">
        <f>'Obs wells head and precip'!N8</f>
        <v>7.3507308677675347</v>
      </c>
      <c r="D50" s="45">
        <f>'Obs wells head and precip'!O8</f>
        <v>27.07678518202766</v>
      </c>
      <c r="E50" s="45">
        <f>'Obs wells head and precip'!P8</f>
        <v>17.682210976434721</v>
      </c>
    </row>
    <row r="51" spans="1:5" x14ac:dyDescent="0.5">
      <c r="A51">
        <v>363</v>
      </c>
      <c r="B51">
        <v>1988</v>
      </c>
      <c r="C51" s="45">
        <f>'Obs wells head and precip'!N9</f>
        <v>7.3729769221357033</v>
      </c>
      <c r="D51" s="45">
        <f>'Obs wells head and precip'!O9</f>
        <v>27.800693294215804</v>
      </c>
      <c r="E51" s="45">
        <f>'Obs wells head and precip'!P9</f>
        <v>17.680484418118898</v>
      </c>
    </row>
    <row r="52" spans="1:5" x14ac:dyDescent="0.5">
      <c r="A52">
        <v>401</v>
      </c>
      <c r="B52">
        <v>1989</v>
      </c>
      <c r="C52" s="45">
        <f>'Obs wells head and precip'!N10</f>
        <v>7.2315701177872276</v>
      </c>
      <c r="D52" s="45">
        <f>'Obs wells head and precip'!O10</f>
        <v>25.406366684843842</v>
      </c>
      <c r="E52" s="45">
        <f>'Obs wells head and precip'!P10</f>
        <v>16.461038237839222</v>
      </c>
    </row>
    <row r="53" spans="1:5" x14ac:dyDescent="0.5">
      <c r="A53">
        <v>402</v>
      </c>
      <c r="B53">
        <v>1990</v>
      </c>
      <c r="C53" s="45">
        <f>'Obs wells head and precip'!N11</f>
        <v>7.1429290852534537</v>
      </c>
      <c r="D53" s="45">
        <f>'Obs wells head and precip'!O11</f>
        <v>24.197013478238613</v>
      </c>
      <c r="E53" s="45">
        <f>'Obs wells head and precip'!P11</f>
        <v>15.925954136456737</v>
      </c>
    </row>
    <row r="54" spans="1:5" x14ac:dyDescent="0.5">
      <c r="A54">
        <v>403</v>
      </c>
      <c r="B54">
        <v>1991</v>
      </c>
      <c r="C54" s="45">
        <f>'Obs wells head and precip'!N12</f>
        <v>7.1344057493599555</v>
      </c>
      <c r="D54" s="45">
        <f>'Obs wells head and precip'!O12</f>
        <v>21.363996385628205</v>
      </c>
      <c r="E54" s="45">
        <f>'Obs wells head and precip'!P12</f>
        <v>15.862324509401979</v>
      </c>
    </row>
    <row r="55" spans="1:5" x14ac:dyDescent="0.5">
      <c r="A55">
        <v>404</v>
      </c>
      <c r="B55">
        <v>1992</v>
      </c>
      <c r="C55" s="45">
        <f>'Obs wells head and precip'!N13</f>
        <v>7.0406642753676891</v>
      </c>
      <c r="D55" s="45">
        <f>'Obs wells head and precip'!O13</f>
        <v>23.046140560117308</v>
      </c>
      <c r="E55" s="45">
        <f>'Obs wells head and precip'!P13</f>
        <v>15.167365879001363</v>
      </c>
    </row>
    <row r="56" spans="1:5" x14ac:dyDescent="0.5">
      <c r="A56">
        <v>405</v>
      </c>
      <c r="B56">
        <v>1993</v>
      </c>
      <c r="C56" s="45">
        <f>'Obs wells head and precip'!N14</f>
        <v>7.3825442478238577</v>
      </c>
      <c r="D56" s="45">
        <f>'Obs wells head and precip'!O14</f>
        <v>27.428503429595498</v>
      </c>
      <c r="E56" s="45">
        <f>'Obs wells head and precip'!P14</f>
        <v>17.563238024121201</v>
      </c>
    </row>
    <row r="57" spans="1:5" x14ac:dyDescent="0.5">
      <c r="A57">
        <v>406</v>
      </c>
      <c r="B57">
        <v>1994</v>
      </c>
      <c r="C57" s="45">
        <f>'Obs wells head and precip'!N15</f>
        <v>7.1743427949308725</v>
      </c>
      <c r="D57" s="45">
        <f>'Obs wells head and precip'!O15</f>
        <v>25.954800184587825</v>
      </c>
      <c r="E57" s="45">
        <f>'Obs wells head and precip'!P15</f>
        <v>16.731439691742803</v>
      </c>
    </row>
    <row r="58" spans="1:5" x14ac:dyDescent="0.5">
      <c r="A58">
        <v>407</v>
      </c>
      <c r="B58">
        <v>1995</v>
      </c>
      <c r="C58" s="45">
        <f>'Obs wells head and precip'!N16</f>
        <v>6.9409968527905734</v>
      </c>
      <c r="D58" s="45">
        <f>'Obs wells head and precip'!O16</f>
        <v>21.952493252944205</v>
      </c>
      <c r="E58" s="45">
        <f>'Obs wells head and precip'!P16</f>
        <v>14.710396532770099</v>
      </c>
    </row>
    <row r="59" spans="1:5" x14ac:dyDescent="0.5">
      <c r="A59">
        <v>408</v>
      </c>
      <c r="B59">
        <v>1996</v>
      </c>
      <c r="C59" s="45">
        <f>'Obs wells head and precip'!N17</f>
        <v>6.9439240393029253</v>
      </c>
      <c r="D59" s="45">
        <f>'Obs wells head and precip'!O17</f>
        <v>22.220342224611713</v>
      </c>
      <c r="E59" s="45">
        <f>'Obs wells head and precip'!P17</f>
        <v>14.858635898158449</v>
      </c>
    </row>
    <row r="60" spans="1:5" x14ac:dyDescent="0.5">
      <c r="A60">
        <v>409</v>
      </c>
      <c r="B60">
        <v>1997</v>
      </c>
      <c r="C60" s="45">
        <f>'Obs wells head and precip'!N18</f>
        <v>7.0802312719673139</v>
      </c>
      <c r="D60" s="45">
        <f>'Obs wells head and precip'!O18</f>
        <v>23.700325869431651</v>
      </c>
      <c r="E60" s="45">
        <f>'Obs wells head and precip'!P18</f>
        <v>15.699576480286742</v>
      </c>
    </row>
    <row r="61" spans="1:5" x14ac:dyDescent="0.5">
      <c r="A61">
        <v>410</v>
      </c>
      <c r="B61">
        <v>1998</v>
      </c>
      <c r="C61" s="45">
        <f>'Obs wells head and precip'!N19</f>
        <v>7.2142588215565757</v>
      </c>
      <c r="D61" s="45">
        <f>'Obs wells head and precip'!O19</f>
        <v>25.641066537634419</v>
      </c>
      <c r="E61" s="45">
        <f>'Obs wells head and precip'!P19</f>
        <v>16.455036157706093</v>
      </c>
    </row>
    <row r="62" spans="1:5" x14ac:dyDescent="0.5">
      <c r="A62">
        <v>411</v>
      </c>
      <c r="B62">
        <v>1999</v>
      </c>
      <c r="C62" s="45">
        <f>'Obs wells head and precip'!N20</f>
        <v>7.076411087301584</v>
      </c>
      <c r="D62" s="45">
        <f>'Obs wells head and precip'!O20</f>
        <v>23.403106214355546</v>
      </c>
      <c r="E62" s="45">
        <f>'Obs wells head and precip'!P20</f>
        <v>15.550904757296466</v>
      </c>
    </row>
    <row r="63" spans="1:5" x14ac:dyDescent="0.5">
      <c r="A63">
        <v>412</v>
      </c>
      <c r="B63">
        <v>2000</v>
      </c>
      <c r="C63" s="45">
        <f>'Obs wells head and precip'!N21</f>
        <v>7.0021841236424764</v>
      </c>
      <c r="D63" s="45">
        <f>'Obs wells head and precip'!O21</f>
        <v>23.198478762416809</v>
      </c>
      <c r="E63" s="45">
        <f>'Obs wells head and precip'!P21</f>
        <v>15.224814707947104</v>
      </c>
    </row>
    <row r="64" spans="1:5" x14ac:dyDescent="0.5">
      <c r="A64">
        <v>413</v>
      </c>
      <c r="B64">
        <v>2001</v>
      </c>
      <c r="C64" s="45">
        <f>'Obs wells head and precip'!N22</f>
        <v>6.9737946958525319</v>
      </c>
      <c r="D64" s="45">
        <f>'Obs wells head and precip'!O22</f>
        <v>23.051740884792636</v>
      </c>
      <c r="E64" s="45">
        <f>'Obs wells head and precip'!P22</f>
        <v>15.048893633384537</v>
      </c>
    </row>
    <row r="65" spans="1:5" x14ac:dyDescent="0.5">
      <c r="A65">
        <v>414</v>
      </c>
      <c r="B65">
        <v>2002</v>
      </c>
      <c r="C65" s="45">
        <f>'Obs wells head and precip'!N23</f>
        <v>6.9339694270353265</v>
      </c>
      <c r="D65" s="45">
        <f>'Obs wells head and precip'!O23</f>
        <v>22.388391518433185</v>
      </c>
      <c r="E65" s="45">
        <f>'Obs wells head and precip'!P23</f>
        <v>14.776661834113019</v>
      </c>
    </row>
    <row r="66" spans="1:5" x14ac:dyDescent="0.5">
      <c r="A66">
        <v>415</v>
      </c>
      <c r="B66">
        <v>2003</v>
      </c>
      <c r="C66" s="45">
        <f>'Obs wells head and precip'!N24</f>
        <v>6.993834282386068</v>
      </c>
      <c r="D66" s="45">
        <f>'Obs wells head and precip'!O24</f>
        <v>23.193433793138766</v>
      </c>
      <c r="E66" s="45">
        <f>'Obs wells head and precip'!P24</f>
        <v>15.051685799283154</v>
      </c>
    </row>
    <row r="67" spans="1:5" x14ac:dyDescent="0.5">
      <c r="A67">
        <v>416</v>
      </c>
      <c r="B67">
        <v>2004</v>
      </c>
      <c r="C67" s="45">
        <f>'Obs wells head and precip'!N25</f>
        <v>6.9996290961047229</v>
      </c>
      <c r="D67" s="45">
        <f>'Obs wells head and precip'!O25</f>
        <v>22.87704129026271</v>
      </c>
      <c r="E67" s="45">
        <f>'Obs wells head and precip'!P25</f>
        <v>15.230308351862154</v>
      </c>
    </row>
    <row r="68" spans="1:5" x14ac:dyDescent="0.5">
      <c r="A68">
        <v>417</v>
      </c>
      <c r="B68">
        <v>2005</v>
      </c>
      <c r="C68" s="45">
        <f>'Obs wells head and precip'!N26</f>
        <v>6.9281962015488956</v>
      </c>
      <c r="D68" s="45">
        <f>'Obs wells head and precip'!O26</f>
        <v>22.124073589641309</v>
      </c>
      <c r="E68" s="45">
        <f>'Obs wells head and precip'!P26</f>
        <v>14.894827269670595</v>
      </c>
    </row>
    <row r="69" spans="1:5" x14ac:dyDescent="0.5">
      <c r="A69">
        <v>418</v>
      </c>
      <c r="B69">
        <v>2006</v>
      </c>
      <c r="C69" s="45">
        <f>'Obs wells head and precip'!N27</f>
        <v>7.1477571648708382</v>
      </c>
      <c r="D69" s="45">
        <f>'Obs wells head and precip'!O27</f>
        <v>24.892460173528409</v>
      </c>
      <c r="E69" s="45">
        <f>'Obs wells head and precip'!P27</f>
        <v>16.160461840949825</v>
      </c>
    </row>
    <row r="70" spans="1:5" x14ac:dyDescent="0.5">
      <c r="A70">
        <v>419</v>
      </c>
      <c r="B70">
        <v>2007</v>
      </c>
      <c r="C70" s="45">
        <f>'Obs wells head and precip'!N28</f>
        <v>7.1507345053336699</v>
      </c>
      <c r="D70" s="45">
        <f>'Obs wells head and precip'!O28</f>
        <v>24.858539842592606</v>
      </c>
      <c r="E70" s="45">
        <f>'Obs wells head and precip'!P28</f>
        <v>16.272489082693294</v>
      </c>
    </row>
    <row r="71" spans="1:5" x14ac:dyDescent="0.5">
      <c r="A71">
        <v>420</v>
      </c>
      <c r="B71">
        <v>2008</v>
      </c>
      <c r="C71" s="45">
        <f>'Obs wells head and precip'!N29</f>
        <v>7.1016296085053314</v>
      </c>
      <c r="D71" s="45">
        <f>'Obs wells head and precip'!O29</f>
        <v>23.477364635321322</v>
      </c>
      <c r="E71" s="45">
        <f>'Obs wells head and precip'!P29</f>
        <v>15.619662581613317</v>
      </c>
    </row>
    <row r="72" spans="1:5" x14ac:dyDescent="0.5">
      <c r="A72">
        <v>421</v>
      </c>
      <c r="B72">
        <v>2009</v>
      </c>
      <c r="C72" s="45">
        <f>'Obs wells head and precip'!N30</f>
        <v>7.0725829356332106</v>
      </c>
      <c r="D72" s="45">
        <f>'Obs wells head and precip'!O30</f>
        <v>23.479749723661353</v>
      </c>
      <c r="E72" s="45">
        <f>'Obs wells head and precip'!P30</f>
        <v>15.532213281041988</v>
      </c>
    </row>
    <row r="73" spans="1:5" x14ac:dyDescent="0.5">
      <c r="A73">
        <v>422</v>
      </c>
      <c r="B73">
        <v>2010</v>
      </c>
      <c r="C73" s="45">
        <f>'Obs wells head and precip'!N31</f>
        <v>7.1449894389827584</v>
      </c>
      <c r="D73" s="45">
        <f>'Obs wells head and precip'!O31</f>
        <v>24.089275310995912</v>
      </c>
      <c r="E73" s="45">
        <f>'Obs wells head and precip'!P31</f>
        <v>15.687445941265574</v>
      </c>
    </row>
    <row r="74" spans="1:5" x14ac:dyDescent="0.5">
      <c r="A74">
        <v>423</v>
      </c>
      <c r="B74">
        <v>2011</v>
      </c>
      <c r="C74" s="45">
        <f>'Obs wells head and precip'!N32</f>
        <v>7.1290938126191916</v>
      </c>
      <c r="D74" s="45">
        <f>'Obs wells head and precip'!O32</f>
        <v>23.827250670146174</v>
      </c>
      <c r="E74" s="45">
        <f>'Obs wells head and precip'!P32</f>
        <v>15.632374600699778</v>
      </c>
    </row>
    <row r="75" spans="1:5" x14ac:dyDescent="0.5">
      <c r="A75">
        <v>424</v>
      </c>
      <c r="B75">
        <v>2012</v>
      </c>
      <c r="C75" s="45">
        <f>'Obs wells head and precip'!N33</f>
        <v>7.2455179847790383</v>
      </c>
      <c r="D75" s="45">
        <f>'Obs wells head and precip'!O33</f>
        <v>24.82955836621316</v>
      </c>
      <c r="E75" s="45">
        <f>'Obs wells head and precip'!P33</f>
        <v>16.30742370621801</v>
      </c>
    </row>
    <row r="76" spans="1:5" x14ac:dyDescent="0.5">
      <c r="A76">
        <v>425</v>
      </c>
      <c r="B76">
        <v>2013</v>
      </c>
      <c r="C76" s="45">
        <f>'Obs wells head and precip'!N34</f>
        <v>7.1622038607057492</v>
      </c>
      <c r="D76" s="45">
        <f>'Obs wells head and precip'!O34</f>
        <v>24.0366101406333</v>
      </c>
      <c r="E76" s="45">
        <f>'Obs wells head and precip'!P34</f>
        <v>15.825029414607869</v>
      </c>
    </row>
    <row r="77" spans="1:5" x14ac:dyDescent="0.5">
      <c r="A77">
        <v>426</v>
      </c>
      <c r="B77">
        <v>2014</v>
      </c>
      <c r="C77" s="45">
        <f>'Obs wells head and precip'!N35</f>
        <v>7.0685089282300702</v>
      </c>
      <c r="D77" s="45">
        <f>'Obs wells head and precip'!O35</f>
        <v>22.703968722833071</v>
      </c>
      <c r="E77" s="45">
        <f>'Obs wells head and precip'!P35</f>
        <v>15.136797349311246</v>
      </c>
    </row>
    <row r="78" spans="1:5" x14ac:dyDescent="0.5">
      <c r="A78">
        <v>427</v>
      </c>
      <c r="B78">
        <v>2015</v>
      </c>
      <c r="C78" s="45">
        <f>'Obs wells head and precip'!N36</f>
        <v>7.1108518523994384</v>
      </c>
      <c r="D78" s="45">
        <f>'Obs wells head and precip'!O36</f>
        <v>23.353230640359214</v>
      </c>
      <c r="E78" s="45">
        <f>'Obs wells head and precip'!P36</f>
        <v>15.355331880864258</v>
      </c>
    </row>
    <row r="79" spans="1:5" x14ac:dyDescent="0.5">
      <c r="A79">
        <v>428</v>
      </c>
      <c r="B79">
        <v>2016</v>
      </c>
      <c r="C79" s="45">
        <f>'Obs wells head and precip'!N37</f>
        <v>7.0516213190813843</v>
      </c>
      <c r="D79" s="45">
        <f>'Obs wells head and precip'!O37</f>
        <v>26.377997353043636</v>
      </c>
      <c r="E79" s="45">
        <f>'Obs wells head and precip'!P37</f>
        <v>16.48662649063689</v>
      </c>
    </row>
    <row r="80" spans="1:5" x14ac:dyDescent="0.5">
      <c r="A80">
        <v>429</v>
      </c>
      <c r="B80">
        <v>2017</v>
      </c>
      <c r="C80" s="45">
        <f>'Obs wells head and precip'!N38</f>
        <v>7.0018113414814103</v>
      </c>
      <c r="D80" s="45">
        <f>'Obs wells head and precip'!O38</f>
        <v>27.14050995024532</v>
      </c>
      <c r="E80" s="45">
        <f>'Obs wells head and precip'!P38</f>
        <v>16.697098771723688</v>
      </c>
    </row>
    <row r="83" spans="1:3" ht="22.2" x14ac:dyDescent="0.55000000000000004">
      <c r="A83" s="54" t="s">
        <v>5</v>
      </c>
    </row>
    <row r="84" spans="1:3" x14ac:dyDescent="0.5">
      <c r="A84" s="20" t="s">
        <v>170</v>
      </c>
      <c r="B84" s="20" t="s">
        <v>58</v>
      </c>
      <c r="C84" s="20" t="s">
        <v>179</v>
      </c>
    </row>
    <row r="85" spans="1:3" x14ac:dyDescent="0.5">
      <c r="A85">
        <v>357</v>
      </c>
      <c r="B85">
        <f>'Obs wells head and precip'!L3</f>
        <v>1982</v>
      </c>
      <c r="C85" s="58">
        <f>'Obs wells head and precip'!M3</f>
        <v>2050</v>
      </c>
    </row>
    <row r="86" spans="1:3" x14ac:dyDescent="0.5">
      <c r="A86">
        <v>358</v>
      </c>
      <c r="B86">
        <f>'Obs wells head and precip'!L4</f>
        <v>1983</v>
      </c>
      <c r="C86" s="58">
        <f>'Obs wells head and precip'!M4</f>
        <v>1716</v>
      </c>
    </row>
    <row r="87" spans="1:3" x14ac:dyDescent="0.5">
      <c r="A87">
        <v>359</v>
      </c>
      <c r="B87">
        <f>'Obs wells head and precip'!L5</f>
        <v>1984</v>
      </c>
      <c r="C87" s="58">
        <f>'Obs wells head and precip'!M5</f>
        <v>1724.5</v>
      </c>
    </row>
    <row r="88" spans="1:3" x14ac:dyDescent="0.5">
      <c r="A88">
        <v>360</v>
      </c>
      <c r="B88">
        <f>'Obs wells head and precip'!L6</f>
        <v>1985</v>
      </c>
      <c r="C88" s="58">
        <f>'Obs wells head and precip'!M6</f>
        <v>2121</v>
      </c>
    </row>
    <row r="89" spans="1:3" x14ac:dyDescent="0.5">
      <c r="A89">
        <v>361</v>
      </c>
      <c r="B89">
        <f>'Obs wells head and precip'!L7</f>
        <v>1986</v>
      </c>
      <c r="C89" s="58">
        <f>'Obs wells head and precip'!M7</f>
        <v>1799.5</v>
      </c>
    </row>
    <row r="90" spans="1:3" x14ac:dyDescent="0.5">
      <c r="A90">
        <v>362</v>
      </c>
      <c r="B90">
        <f>'Obs wells head and precip'!L8</f>
        <v>1987</v>
      </c>
      <c r="C90" s="58">
        <f>'Obs wells head and precip'!M8</f>
        <v>2752.5</v>
      </c>
    </row>
    <row r="91" spans="1:3" x14ac:dyDescent="0.5">
      <c r="A91">
        <v>363</v>
      </c>
      <c r="B91">
        <f>'Obs wells head and precip'!L9</f>
        <v>1988</v>
      </c>
      <c r="C91" s="58">
        <f>'Obs wells head and precip'!M9</f>
        <v>2204</v>
      </c>
    </row>
    <row r="92" spans="1:3" x14ac:dyDescent="0.5">
      <c r="A92">
        <v>364</v>
      </c>
      <c r="B92">
        <f>'Obs wells head and precip'!L10</f>
        <v>1989</v>
      </c>
      <c r="C92" s="58">
        <f>'Obs wells head and precip'!M10</f>
        <v>2104.5</v>
      </c>
    </row>
    <row r="93" spans="1:3" x14ac:dyDescent="0.5">
      <c r="A93">
        <v>365</v>
      </c>
      <c r="B93">
        <f>'Obs wells head and precip'!L11</f>
        <v>1990</v>
      </c>
      <c r="C93" s="58">
        <f>'Obs wells head and precip'!M11</f>
        <v>1952.5</v>
      </c>
    </row>
    <row r="94" spans="1:3" x14ac:dyDescent="0.5">
      <c r="A94">
        <v>366</v>
      </c>
      <c r="B94">
        <f>'Obs wells head and precip'!L12</f>
        <v>1991</v>
      </c>
      <c r="C94" s="58">
        <f>'Obs wells head and precip'!M12</f>
        <v>2222.5</v>
      </c>
    </row>
    <row r="95" spans="1:3" x14ac:dyDescent="0.5">
      <c r="A95">
        <v>367</v>
      </c>
      <c r="B95">
        <f>'Obs wells head and precip'!L13</f>
        <v>1992</v>
      </c>
      <c r="C95" s="58">
        <f>'Obs wells head and precip'!M13</f>
        <v>1592.5</v>
      </c>
    </row>
    <row r="96" spans="1:3" x14ac:dyDescent="0.5">
      <c r="A96">
        <v>368</v>
      </c>
      <c r="B96">
        <f>'Obs wells head and precip'!L14</f>
        <v>1993</v>
      </c>
      <c r="C96" s="58">
        <f>'Obs wells head and precip'!M14</f>
        <v>3369</v>
      </c>
    </row>
    <row r="97" spans="1:3" x14ac:dyDescent="0.5">
      <c r="A97">
        <v>369</v>
      </c>
      <c r="B97">
        <f>'Obs wells head and precip'!L15</f>
        <v>1994</v>
      </c>
      <c r="C97" s="58">
        <f>'Obs wells head and precip'!M15</f>
        <v>920.5</v>
      </c>
    </row>
    <row r="98" spans="1:3" x14ac:dyDescent="0.5">
      <c r="A98">
        <v>370</v>
      </c>
      <c r="B98">
        <f>'Obs wells head and precip'!L16</f>
        <v>1995</v>
      </c>
      <c r="C98" s="58">
        <f>'Obs wells head and precip'!M16</f>
        <v>1875.5</v>
      </c>
    </row>
    <row r="99" spans="1:3" x14ac:dyDescent="0.5">
      <c r="A99">
        <v>371</v>
      </c>
      <c r="B99">
        <f>'Obs wells head and precip'!L17</f>
        <v>1996</v>
      </c>
      <c r="C99" s="58">
        <f>'Obs wells head and precip'!M17</f>
        <v>1489.5</v>
      </c>
    </row>
    <row r="100" spans="1:3" x14ac:dyDescent="0.5">
      <c r="A100">
        <v>372</v>
      </c>
      <c r="B100">
        <f>'Obs wells head and precip'!L18</f>
        <v>1997</v>
      </c>
      <c r="C100" s="58">
        <f>'Obs wells head and precip'!M18</f>
        <v>2395</v>
      </c>
    </row>
    <row r="101" spans="1:3" x14ac:dyDescent="0.5">
      <c r="A101">
        <v>373</v>
      </c>
      <c r="B101">
        <f>'Obs wells head and precip'!L19</f>
        <v>1998</v>
      </c>
      <c r="C101" s="58">
        <f>'Obs wells head and precip'!M19</f>
        <v>1905</v>
      </c>
    </row>
    <row r="102" spans="1:3" x14ac:dyDescent="0.5">
      <c r="A102">
        <v>374</v>
      </c>
      <c r="B102">
        <f>'Obs wells head and precip'!L20</f>
        <v>1999</v>
      </c>
      <c r="C102" s="58">
        <f>'Obs wells head and precip'!M20</f>
        <v>1946</v>
      </c>
    </row>
    <row r="103" spans="1:3" x14ac:dyDescent="0.5">
      <c r="A103">
        <v>375</v>
      </c>
      <c r="B103">
        <f>'Obs wells head and precip'!L21</f>
        <v>2000</v>
      </c>
      <c r="C103" s="58">
        <f>'Obs wells head and precip'!M21</f>
        <v>1825.5</v>
      </c>
    </row>
    <row r="104" spans="1:3" x14ac:dyDescent="0.5">
      <c r="A104">
        <v>376</v>
      </c>
      <c r="B104">
        <f>'Obs wells head and precip'!L22</f>
        <v>2001</v>
      </c>
      <c r="C104" s="58">
        <f>'Obs wells head and precip'!M22</f>
        <v>1798.5</v>
      </c>
    </row>
    <row r="105" spans="1:3" x14ac:dyDescent="0.5">
      <c r="A105">
        <v>377</v>
      </c>
      <c r="B105">
        <f>'Obs wells head and precip'!L23</f>
        <v>2002</v>
      </c>
      <c r="C105" s="58">
        <f>'Obs wells head and precip'!M23</f>
        <v>1543.5</v>
      </c>
    </row>
    <row r="106" spans="1:3" x14ac:dyDescent="0.5">
      <c r="A106">
        <v>378</v>
      </c>
      <c r="B106">
        <f>'Obs wells head and precip'!L24</f>
        <v>2003</v>
      </c>
      <c r="C106" s="58">
        <f>'Obs wells head and precip'!M24</f>
        <v>2256</v>
      </c>
    </row>
    <row r="107" spans="1:3" x14ac:dyDescent="0.5">
      <c r="A107">
        <v>379</v>
      </c>
      <c r="B107">
        <f>'Obs wells head and precip'!L25</f>
        <v>2004</v>
      </c>
      <c r="C107" s="58">
        <f>'Obs wells head and precip'!M25</f>
        <v>1804.5</v>
      </c>
    </row>
    <row r="108" spans="1:3" x14ac:dyDescent="0.5">
      <c r="A108">
        <v>380</v>
      </c>
      <c r="B108">
        <f>'Obs wells head and precip'!L26</f>
        <v>2005</v>
      </c>
      <c r="C108" s="58">
        <f>'Obs wells head and precip'!M26</f>
        <v>1324.5</v>
      </c>
    </row>
    <row r="109" spans="1:3" x14ac:dyDescent="0.5">
      <c r="A109">
        <v>381</v>
      </c>
      <c r="B109">
        <f>'Obs wells head and precip'!L27</f>
        <v>2006</v>
      </c>
      <c r="C109" s="58">
        <f>'Obs wells head and precip'!M27</f>
        <v>2800.5</v>
      </c>
    </row>
    <row r="110" spans="1:3" x14ac:dyDescent="0.5">
      <c r="A110">
        <v>382</v>
      </c>
      <c r="B110">
        <f>'Obs wells head and precip'!L28</f>
        <v>2007</v>
      </c>
      <c r="C110" s="58">
        <f>'Obs wells head and precip'!M28</f>
        <v>1810.5</v>
      </c>
    </row>
    <row r="111" spans="1:3" x14ac:dyDescent="0.5">
      <c r="A111">
        <v>383</v>
      </c>
      <c r="B111">
        <f>'Obs wells head and precip'!L29</f>
        <v>2008</v>
      </c>
      <c r="C111" s="58">
        <f>'Obs wells head and precip'!M29</f>
        <v>2353</v>
      </c>
    </row>
    <row r="112" spans="1:3" x14ac:dyDescent="0.5">
      <c r="A112">
        <v>384</v>
      </c>
      <c r="B112">
        <f>'Obs wells head and precip'!L30</f>
        <v>2009</v>
      </c>
      <c r="C112" s="58">
        <f>'Obs wells head and precip'!M30</f>
        <v>1565.5</v>
      </c>
    </row>
    <row r="113" spans="1:6" x14ac:dyDescent="0.5">
      <c r="A113">
        <v>385</v>
      </c>
      <c r="B113">
        <f>'Obs wells head and precip'!L31</f>
        <v>2010</v>
      </c>
      <c r="C113" s="58">
        <f>'Obs wells head and precip'!M31</f>
        <v>2072.5</v>
      </c>
    </row>
    <row r="114" spans="1:6" x14ac:dyDescent="0.5">
      <c r="A114">
        <v>386</v>
      </c>
      <c r="B114">
        <f>'Obs wells head and precip'!L32</f>
        <v>2011</v>
      </c>
      <c r="C114" s="58">
        <f>'Obs wells head and precip'!M32</f>
        <v>2154.5</v>
      </c>
    </row>
    <row r="115" spans="1:6" x14ac:dyDescent="0.5">
      <c r="A115">
        <v>387</v>
      </c>
      <c r="B115">
        <f>'Obs wells head and precip'!L33</f>
        <v>2012</v>
      </c>
      <c r="C115" s="58">
        <f>'Obs wells head and precip'!M33</f>
        <v>2209.5</v>
      </c>
    </row>
    <row r="116" spans="1:6" x14ac:dyDescent="0.5">
      <c r="A116">
        <v>388</v>
      </c>
      <c r="B116">
        <f>'Obs wells head and precip'!L34</f>
        <v>2013</v>
      </c>
      <c r="C116" s="58">
        <f>'Obs wells head and precip'!M34</f>
        <v>1930</v>
      </c>
    </row>
    <row r="117" spans="1:6" x14ac:dyDescent="0.5">
      <c r="A117">
        <v>389</v>
      </c>
      <c r="B117">
        <f>'Obs wells head and precip'!L35</f>
        <v>2014</v>
      </c>
      <c r="C117" s="58">
        <f>'Obs wells head and precip'!M35</f>
        <v>1694</v>
      </c>
    </row>
    <row r="118" spans="1:6" x14ac:dyDescent="0.5">
      <c r="A118">
        <v>390</v>
      </c>
      <c r="B118">
        <f>'Obs wells head and precip'!L36</f>
        <v>2015</v>
      </c>
      <c r="C118" s="58">
        <f>'Obs wells head and precip'!M36</f>
        <v>2292</v>
      </c>
    </row>
    <row r="119" spans="1:6" x14ac:dyDescent="0.5">
      <c r="A119">
        <v>391</v>
      </c>
      <c r="B119">
        <f>'Obs wells head and precip'!L37</f>
        <v>2016</v>
      </c>
      <c r="C119" s="58">
        <f>'Obs wells head and precip'!M37</f>
        <v>2504</v>
      </c>
    </row>
    <row r="120" spans="1:6" x14ac:dyDescent="0.5">
      <c r="A120">
        <v>392</v>
      </c>
      <c r="B120">
        <f>'Obs wells head and precip'!L38</f>
        <v>2017</v>
      </c>
      <c r="C120" s="58">
        <f>'Obs wells head and precip'!M38</f>
        <v>1818.5</v>
      </c>
    </row>
    <row r="123" spans="1:6" ht="22.2" x14ac:dyDescent="0.55000000000000004">
      <c r="A123" s="54" t="s">
        <v>180</v>
      </c>
    </row>
    <row r="124" spans="1:6" x14ac:dyDescent="0.5">
      <c r="A124" s="20" t="s">
        <v>170</v>
      </c>
      <c r="B124" s="20" t="s">
        <v>58</v>
      </c>
      <c r="C124" s="20" t="s">
        <v>171</v>
      </c>
      <c r="D124" s="20" t="s">
        <v>172</v>
      </c>
      <c r="E124" s="20" t="s">
        <v>174</v>
      </c>
      <c r="F124" s="20" t="s">
        <v>9</v>
      </c>
    </row>
    <row r="125" spans="1:6" x14ac:dyDescent="0.5">
      <c r="A125" s="21">
        <v>20</v>
      </c>
      <c r="B125" s="21">
        <v>2008</v>
      </c>
      <c r="C125" s="66">
        <f>'Kumamoto pumping'!C112</f>
        <v>77993202</v>
      </c>
      <c r="D125" s="66">
        <f>'Kumamoto pumping'!D112</f>
        <v>16002288</v>
      </c>
      <c r="E125" s="66">
        <f>'Kumamoto pumping'!E112</f>
        <v>27914612</v>
      </c>
      <c r="F125" s="66">
        <f>SUM(C125:E125)</f>
        <v>121910102</v>
      </c>
    </row>
    <row r="126" spans="1:6" x14ac:dyDescent="0.5">
      <c r="A126" s="21">
        <v>21</v>
      </c>
      <c r="B126" s="21">
        <v>2009</v>
      </c>
      <c r="C126" s="66">
        <f>'Kumamoto pumping'!C113</f>
        <v>66531612</v>
      </c>
      <c r="D126" s="66">
        <f>'Kumamoto pumping'!D113</f>
        <v>15610874</v>
      </c>
      <c r="E126" s="66">
        <f>'Kumamoto pumping'!E113</f>
        <v>25552697</v>
      </c>
      <c r="F126" s="66">
        <f t="shared" ref="F126:F127" si="1">SUM(C126:E126)</f>
        <v>107695183</v>
      </c>
    </row>
    <row r="127" spans="1:6" x14ac:dyDescent="0.5">
      <c r="A127" s="21">
        <v>22</v>
      </c>
      <c r="B127" s="21">
        <v>2010</v>
      </c>
      <c r="C127" s="66">
        <f>'Kumamoto pumping'!C114</f>
        <v>64816445</v>
      </c>
      <c r="D127" s="66">
        <f>'Kumamoto pumping'!D114</f>
        <v>10628696</v>
      </c>
      <c r="E127" s="66">
        <f>'Kumamoto pumping'!E114</f>
        <v>26024223</v>
      </c>
      <c r="F127" s="66">
        <f t="shared" si="1"/>
        <v>101469364</v>
      </c>
    </row>
    <row r="128" spans="1:6" x14ac:dyDescent="0.5">
      <c r="A128">
        <f>'Kumamoto pumping'!A115</f>
        <v>23</v>
      </c>
      <c r="B128">
        <f>'Kumamoto pumping'!B115</f>
        <v>2011</v>
      </c>
      <c r="C128" s="43">
        <f>'Kumamoto pumping'!C115</f>
        <v>68854548</v>
      </c>
      <c r="D128" s="43">
        <f>'Kumamoto pumping'!D115</f>
        <v>9179791</v>
      </c>
      <c r="E128" s="43">
        <f>'Kumamoto pumping'!E115</f>
        <v>28072963</v>
      </c>
      <c r="F128" s="43">
        <f>SUM(C128:E128)</f>
        <v>106107302</v>
      </c>
    </row>
    <row r="129" spans="1:6" x14ac:dyDescent="0.5">
      <c r="A129">
        <f>'Kumamoto pumping'!A116</f>
        <v>24</v>
      </c>
      <c r="B129">
        <f>'Kumamoto pumping'!B116</f>
        <v>2012</v>
      </c>
      <c r="C129" s="43">
        <f>'Kumamoto pumping'!C116</f>
        <v>70334500</v>
      </c>
      <c r="D129" s="43">
        <f>'Kumamoto pumping'!D116</f>
        <v>9537119</v>
      </c>
      <c r="E129" s="43">
        <f>'Kumamoto pumping'!E116</f>
        <v>28562701</v>
      </c>
      <c r="F129" s="43">
        <f t="shared" ref="F129:F133" si="2">SUM(C129:E129)</f>
        <v>108434320</v>
      </c>
    </row>
    <row r="130" spans="1:6" x14ac:dyDescent="0.5">
      <c r="A130">
        <f>'Kumamoto pumping'!A117</f>
        <v>25</v>
      </c>
      <c r="B130">
        <f>'Kumamoto pumping'!B117</f>
        <v>2013</v>
      </c>
      <c r="C130" s="43">
        <f>'Kumamoto pumping'!C117</f>
        <v>93981867</v>
      </c>
      <c r="D130" s="43">
        <f>'Kumamoto pumping'!D117</f>
        <v>17757243</v>
      </c>
      <c r="E130" s="43">
        <f>'Kumamoto pumping'!E117</f>
        <v>29862644</v>
      </c>
      <c r="F130" s="43">
        <f t="shared" si="2"/>
        <v>141601754</v>
      </c>
    </row>
    <row r="131" spans="1:6" x14ac:dyDescent="0.5">
      <c r="A131">
        <f>'Kumamoto pumping'!A118</f>
        <v>26</v>
      </c>
      <c r="B131">
        <f>'Kumamoto pumping'!B118</f>
        <v>2014</v>
      </c>
      <c r="C131" s="43">
        <f>'Kumamoto pumping'!C118</f>
        <v>89619155</v>
      </c>
      <c r="D131" s="43">
        <f>'Kumamoto pumping'!D118</f>
        <v>18766925</v>
      </c>
      <c r="E131" s="43">
        <f>'Kumamoto pumping'!E118</f>
        <v>31877183</v>
      </c>
      <c r="F131" s="43">
        <f t="shared" si="2"/>
        <v>140263263</v>
      </c>
    </row>
    <row r="132" spans="1:6" x14ac:dyDescent="0.5">
      <c r="A132">
        <f>'Kumamoto pumping'!A119</f>
        <v>27</v>
      </c>
      <c r="B132">
        <f>'Kumamoto pumping'!B119</f>
        <v>2015</v>
      </c>
      <c r="C132" s="43">
        <f>'Kumamoto pumping'!C119</f>
        <v>85571714</v>
      </c>
      <c r="D132" s="43">
        <f>'Kumamoto pumping'!D119</f>
        <v>18406760</v>
      </c>
      <c r="E132" s="43">
        <f>'Kumamoto pumping'!E119</f>
        <v>29983902</v>
      </c>
      <c r="F132" s="43">
        <f t="shared" si="2"/>
        <v>133962376</v>
      </c>
    </row>
    <row r="133" spans="1:6" x14ac:dyDescent="0.5">
      <c r="A133">
        <v>28</v>
      </c>
      <c r="B133">
        <v>2016</v>
      </c>
      <c r="C133" s="43">
        <f>'Kumamoto pumping'!C120</f>
        <v>100386141</v>
      </c>
      <c r="D133" s="43">
        <f>'Kumamoto pumping'!D120</f>
        <v>17569241</v>
      </c>
      <c r="E133" s="43">
        <f>'Kumamoto pumping'!E120</f>
        <v>25098500</v>
      </c>
      <c r="F133" s="43">
        <f t="shared" si="2"/>
        <v>143053882</v>
      </c>
    </row>
  </sheetData>
  <phoneticPr fontId="2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Obs wells head and precip</vt:lpstr>
      <vt:lpstr>Water depth and pump costs</vt:lpstr>
      <vt:lpstr>Kumamoto pumping</vt:lpstr>
      <vt:lpstr>Midstream area recharge</vt:lpstr>
      <vt:lpstr>Hydrology parameters</vt:lpstr>
      <vt:lpstr>Mashiki pumping</vt:lpstr>
      <vt:lpstr>Subsidy and recharge</vt:lpstr>
      <vt:lpstr>Sharp interface calcs</vt:lpstr>
      <vt:lpstr>Trends</vt:lpstr>
      <vt:lpstr>Farmer Income</vt:lpstr>
      <vt:lpstr>Scenarios</vt:lpstr>
      <vt:lpstr>Pumping synergy loss</vt:lpstr>
      <vt:lpstr>Farmer synergy loss</vt:lpstr>
      <vt:lpstr>5-m head drop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Wada</dc:creator>
  <cp:lastModifiedBy>Takahiro Hosono</cp:lastModifiedBy>
  <dcterms:created xsi:type="dcterms:W3CDTF">2018-02-23T23:22:25Z</dcterms:created>
  <dcterms:modified xsi:type="dcterms:W3CDTF">2018-11-29T00:52:18Z</dcterms:modified>
</cp:coreProperties>
</file>