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bkim\Dropbox\CLF shared\alt meat\product footprint data\"/>
    </mc:Choice>
  </mc:AlternateContent>
  <xr:revisionPtr revIDLastSave="0" documentId="13_ncr:1_{F0599325-311B-4936-BAAE-D15F7ADFCDD9}" xr6:coauthVersionLast="44" xr6:coauthVersionMax="45" xr10:uidLastSave="{00000000-0000-0000-0000-000000000000}"/>
  <bookViews>
    <workbookView xWindow="-120" yWindow="-120" windowWidth="29040" windowHeight="15840" xr2:uid="{D6F81B3F-CD57-F348-A689-30345B742D8D}"/>
  </bookViews>
  <sheets>
    <sheet name="about" sheetId="17" r:id="rId1"/>
    <sheet name="study details" sheetId="18" r:id="rId2"/>
    <sheet name="product footprints" sheetId="1" r:id="rId3"/>
    <sheet name="wtd avg by study" sheetId="14" r:id="rId4"/>
    <sheet name="product categories" sheetId="19" state="hidden" r:id="rId5"/>
    <sheet name="aggregated footprints" sheetId="16" state="hidden" r:id="rId6"/>
    <sheet name="avg by product type" sheetId="15" r:id="rId7"/>
  </sheets>
  <definedNames>
    <definedName name="ExternalData_1" localSheetId="3" hidden="1">'wtd avg by study'!$A$1:$F$42</definedName>
    <definedName name="ExternalData_2" localSheetId="6" hidden="1">'avg by product type'!$A$1:$P$39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6" i="1" l="1"/>
  <c r="P96" i="1"/>
  <c r="Q96" i="1"/>
  <c r="I95" i="1"/>
  <c r="P95" i="1"/>
  <c r="Q95" i="1"/>
  <c r="L95" i="1"/>
  <c r="S95" i="1"/>
  <c r="P74" i="1"/>
  <c r="P76" i="1"/>
  <c r="P26" i="1"/>
  <c r="P27" i="1"/>
  <c r="P6" i="1"/>
  <c r="P5" i="1"/>
  <c r="P75" i="1"/>
  <c r="P73" i="1"/>
  <c r="P89" i="1"/>
  <c r="P91" i="1"/>
  <c r="P90" i="1"/>
  <c r="P92" i="1"/>
  <c r="P94" i="1"/>
  <c r="P93" i="1"/>
  <c r="P87" i="1"/>
  <c r="P86" i="1"/>
  <c r="P88" i="1"/>
  <c r="P81" i="1"/>
  <c r="P80" i="1"/>
  <c r="P82" i="1"/>
  <c r="P84" i="1"/>
  <c r="P83" i="1"/>
  <c r="P85" i="1"/>
  <c r="P78" i="1"/>
  <c r="P77" i="1"/>
  <c r="P79" i="1"/>
  <c r="P35" i="1"/>
  <c r="P34" i="1"/>
  <c r="Q25" i="1"/>
  <c r="P32" i="1"/>
  <c r="P29" i="1"/>
  <c r="P22" i="1"/>
  <c r="P12" i="1"/>
  <c r="P14" i="1"/>
  <c r="P13" i="1"/>
  <c r="P11" i="1"/>
  <c r="S81" i="1"/>
  <c r="S80" i="1"/>
  <c r="S82" i="1"/>
  <c r="I22" i="1"/>
  <c r="I12" i="1"/>
  <c r="I14" i="1"/>
  <c r="I13" i="1"/>
  <c r="I11" i="1"/>
  <c r="I25" i="1"/>
  <c r="L25" i="1"/>
  <c r="I89" i="1"/>
  <c r="I91" i="1"/>
  <c r="I90" i="1"/>
  <c r="I81" i="1"/>
  <c r="I80" i="1"/>
  <c r="I82" i="1"/>
  <c r="L32" i="1"/>
  <c r="K32" i="1"/>
  <c r="G32" i="1"/>
  <c r="I32" i="1"/>
  <c r="G29" i="1"/>
  <c r="I29" i="1"/>
  <c r="K29" i="1"/>
  <c r="G36" i="1"/>
  <c r="I36" i="1"/>
  <c r="Q36" i="1"/>
  <c r="I76" i="1"/>
  <c r="I75" i="1"/>
  <c r="P70" i="1"/>
  <c r="P72" i="1"/>
  <c r="P71" i="1"/>
  <c r="P67" i="1"/>
  <c r="P68" i="1"/>
  <c r="P69" i="1"/>
  <c r="P33" i="1"/>
  <c r="P30" i="1"/>
  <c r="P23" i="1"/>
  <c r="P16" i="1"/>
  <c r="P18" i="1"/>
  <c r="P17" i="1"/>
  <c r="P15" i="1"/>
  <c r="R75" i="1"/>
  <c r="Q38" i="1"/>
  <c r="L33" i="1"/>
  <c r="K33" i="1"/>
  <c r="I30" i="1"/>
  <c r="L30" i="1"/>
  <c r="I70" i="1"/>
  <c r="I72" i="1"/>
  <c r="I71" i="1"/>
  <c r="I67" i="1"/>
  <c r="I68" i="1"/>
  <c r="I69" i="1"/>
  <c r="I33" i="1"/>
  <c r="I27" i="1"/>
  <c r="I23" i="1"/>
  <c r="I16" i="1"/>
  <c r="I18" i="1"/>
  <c r="I17" i="1"/>
  <c r="I15" i="1"/>
  <c r="I6" i="1"/>
  <c r="I38" i="1"/>
  <c r="I92" i="1"/>
  <c r="I94" i="1"/>
  <c r="I93" i="1"/>
  <c r="I84" i="1"/>
  <c r="I83" i="1"/>
  <c r="I85" i="1"/>
  <c r="I35" i="1"/>
  <c r="Q37" i="1"/>
  <c r="P4" i="1"/>
  <c r="Q4" i="1"/>
  <c r="Q76" i="1"/>
  <c r="Q81" i="1"/>
  <c r="R32" i="1"/>
  <c r="Q83" i="1"/>
  <c r="Q67" i="1"/>
  <c r="Q72" i="1"/>
  <c r="Q82" i="1"/>
  <c r="Q14" i="1"/>
  <c r="Q84" i="1"/>
  <c r="Q18" i="1"/>
  <c r="Q71" i="1"/>
  <c r="Q93" i="1"/>
  <c r="Q11" i="1"/>
  <c r="Q23" i="1"/>
  <c r="Q80" i="1"/>
  <c r="Q13" i="1"/>
  <c r="Q89" i="1"/>
  <c r="Q22" i="1"/>
  <c r="R29" i="1"/>
  <c r="R82" i="1"/>
  <c r="Q32" i="1"/>
  <c r="Q16" i="1"/>
  <c r="L29" i="1"/>
  <c r="S29" i="1"/>
  <c r="S32" i="1"/>
  <c r="Q90" i="1"/>
  <c r="Q12" i="1"/>
  <c r="Q91" i="1"/>
  <c r="Q85" i="1"/>
  <c r="R80" i="1"/>
  <c r="S75" i="1"/>
  <c r="Q75" i="1"/>
  <c r="R81" i="1"/>
  <c r="Q29" i="1"/>
  <c r="Q94" i="1"/>
  <c r="Q70" i="1"/>
  <c r="Q27" i="1"/>
  <c r="Q17" i="1"/>
  <c r="S33" i="1"/>
  <c r="Q69" i="1"/>
  <c r="Q15" i="1"/>
  <c r="Q68" i="1"/>
  <c r="Q92" i="1"/>
  <c r="S30" i="1"/>
  <c r="Q33" i="1"/>
  <c r="Q35" i="1"/>
  <c r="Q6" i="1"/>
  <c r="R33" i="1"/>
  <c r="K35" i="1"/>
  <c r="R35" i="1"/>
  <c r="L35" i="1"/>
  <c r="S35" i="1"/>
  <c r="K30" i="1"/>
  <c r="R30" i="1"/>
  <c r="Q30" i="1"/>
  <c r="L24" i="1"/>
  <c r="I73" i="1"/>
  <c r="I79" i="1"/>
  <c r="K79" i="1"/>
  <c r="L79" i="1"/>
  <c r="I77" i="1"/>
  <c r="K77" i="1"/>
  <c r="L77" i="1"/>
  <c r="I78" i="1"/>
  <c r="K78" i="1"/>
  <c r="L78" i="1"/>
  <c r="K88" i="1"/>
  <c r="L88" i="1"/>
  <c r="K86" i="1"/>
  <c r="L86" i="1"/>
  <c r="K87" i="1"/>
  <c r="L87" i="1"/>
  <c r="I5" i="1"/>
  <c r="G7" i="1"/>
  <c r="I7" i="1"/>
  <c r="G9" i="1"/>
  <c r="I9" i="1"/>
  <c r="G10" i="1"/>
  <c r="I10" i="1"/>
  <c r="G8" i="1"/>
  <c r="I20" i="1"/>
  <c r="K20" i="1"/>
  <c r="L20" i="1"/>
  <c r="I19" i="1"/>
  <c r="K19" i="1"/>
  <c r="L19" i="1"/>
  <c r="I21" i="1"/>
  <c r="G28" i="1"/>
  <c r="I28" i="1"/>
  <c r="G31" i="1"/>
  <c r="I31" i="1"/>
  <c r="K31" i="1"/>
  <c r="L31" i="1"/>
  <c r="I40" i="1"/>
  <c r="I41" i="1"/>
  <c r="I42" i="1"/>
  <c r="I50" i="1"/>
  <c r="I44" i="1"/>
  <c r="I47" i="1"/>
  <c r="I49" i="1"/>
  <c r="I39" i="1"/>
  <c r="I46" i="1"/>
  <c r="I58" i="1"/>
  <c r="I59" i="1"/>
  <c r="I55" i="1"/>
  <c r="I57" i="1"/>
  <c r="I74" i="1"/>
  <c r="I43" i="1"/>
  <c r="I56" i="1"/>
  <c r="I51" i="1"/>
  <c r="I52" i="1"/>
  <c r="I53" i="1"/>
  <c r="I97" i="1"/>
  <c r="Q24" i="1"/>
  <c r="I88" i="1"/>
  <c r="I86" i="1"/>
  <c r="I87" i="1"/>
  <c r="K28" i="1"/>
  <c r="L28" i="1"/>
  <c r="I8" i="1"/>
  <c r="S20" i="1"/>
  <c r="R20" i="1"/>
  <c r="S19" i="1"/>
  <c r="R19" i="1"/>
  <c r="R4" i="1"/>
  <c r="S4" i="1"/>
  <c r="P3" i="1"/>
  <c r="Q3" i="1"/>
  <c r="P97" i="1"/>
  <c r="Q20" i="1"/>
  <c r="Q19" i="1"/>
  <c r="P28" i="1"/>
  <c r="P31" i="1"/>
  <c r="P21" i="1"/>
  <c r="P48" i="1"/>
  <c r="P43" i="1"/>
  <c r="P40" i="1"/>
  <c r="P41" i="1"/>
  <c r="P42" i="1"/>
  <c r="P50" i="1"/>
  <c r="P44" i="1"/>
  <c r="P47" i="1"/>
  <c r="P49" i="1"/>
  <c r="P39" i="1"/>
  <c r="P46" i="1"/>
  <c r="P60" i="1"/>
  <c r="P54" i="1"/>
  <c r="P58" i="1"/>
  <c r="P56" i="1"/>
  <c r="P59" i="1"/>
  <c r="P51" i="1"/>
  <c r="P52" i="1"/>
  <c r="P53" i="1"/>
  <c r="P55" i="1"/>
  <c r="P57" i="1"/>
  <c r="P45" i="1"/>
  <c r="P8" i="1"/>
  <c r="P10" i="1"/>
  <c r="P9" i="1"/>
  <c r="P7" i="1"/>
  <c r="P64" i="1"/>
  <c r="P62" i="1"/>
  <c r="P61" i="1"/>
  <c r="P65" i="1"/>
  <c r="P66" i="1"/>
  <c r="P63" i="1"/>
  <c r="R87" i="1"/>
  <c r="S34" i="1"/>
  <c r="Q34" i="1"/>
  <c r="S86" i="1"/>
  <c r="R74" i="1"/>
  <c r="S74" i="1"/>
  <c r="S87" i="1"/>
  <c r="R86" i="1"/>
  <c r="R88" i="1"/>
  <c r="S88" i="1"/>
  <c r="Q97" i="1"/>
  <c r="R73" i="1"/>
  <c r="S73" i="1"/>
  <c r="R34" i="1"/>
  <c r="S24" i="1"/>
  <c r="Q63" i="1"/>
  <c r="Q62" i="1"/>
  <c r="Q61" i="1"/>
  <c r="Q65" i="1"/>
  <c r="Q66" i="1"/>
  <c r="Q64" i="1"/>
  <c r="Q26" i="1"/>
  <c r="Q45" i="1"/>
  <c r="Q48" i="1"/>
  <c r="Q60" i="1"/>
  <c r="Q54" i="1"/>
  <c r="Q86" i="1"/>
  <c r="Q88" i="1"/>
  <c r="Q73" i="1"/>
  <c r="Q74" i="1"/>
  <c r="Q87" i="1"/>
  <c r="Q78" i="1"/>
  <c r="Q77" i="1"/>
  <c r="Q79" i="1"/>
  <c r="S78" i="1"/>
  <c r="R78" i="1"/>
  <c r="S77" i="1"/>
  <c r="R77" i="1"/>
  <c r="S79" i="1"/>
  <c r="R79" i="1"/>
  <c r="Q21" i="1"/>
  <c r="Q8" i="1"/>
  <c r="R31" i="1"/>
  <c r="S31" i="1"/>
  <c r="Q55" i="1"/>
  <c r="Q5" i="1"/>
  <c r="Q31" i="1"/>
  <c r="Q58" i="1"/>
  <c r="Q39" i="1"/>
  <c r="Q50" i="1"/>
  <c r="Q59" i="1"/>
  <c r="Q56" i="1"/>
  <c r="Q57" i="1"/>
  <c r="Q49" i="1"/>
  <c r="Q53" i="1"/>
  <c r="Q42" i="1"/>
  <c r="Q43" i="1"/>
  <c r="Q47" i="1"/>
  <c r="Q52" i="1"/>
  <c r="Q41" i="1"/>
  <c r="Q46" i="1"/>
  <c r="Q44" i="1"/>
  <c r="Q51" i="1"/>
  <c r="Q40" i="1"/>
  <c r="Q9" i="1"/>
  <c r="Q7" i="1"/>
  <c r="Q10" i="1"/>
  <c r="Q28" i="1"/>
  <c r="R28" i="1"/>
  <c r="S2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B5FD29-CB26-43C3-96FC-400F15918FC7}" keepAlive="1" name="Query - aggregated footprints" description="Connection to the 'aggregated footprints' query in the workbook." type="5" refreshedVersion="0" background="1">
    <dbPr connection="Provider=Microsoft.Mashup.OleDb.1;Data Source=$Workbook$;Location=&quot;aggregated footprints&quot;;Extended Properties=&quot;&quot;" command="SELECT * FROM [aggregated footprints]"/>
  </connection>
  <connection id="2" xr16:uid="{6F429E78-1169-4E7B-9212-1936B9B58976}" keepAlive="1" name="Query - avg by product type" description="Connection to the 'avg by product type' query in the workbook." type="5" refreshedVersion="6" background="1" saveData="1">
    <dbPr connection="Provider=Microsoft.Mashup.OleDb.1;Data Source=$Workbook$;Location=avg by product type;Extended Properties=&quot;&quot;" command="SELECT * FROM [avg by product type]"/>
  </connection>
  <connection id="3" xr16:uid="{D61F6D38-1007-4908-BF0C-11F11E6CA54E}" keepAlive="1" name="Query - lower, higher by product type" description="Connection to the 'lower, higher by product type' query in the workbook." type="5" refreshedVersion="0" background="1">
    <dbPr connection="Provider=Microsoft.Mashup.OleDb.1;Data Source=$Workbook$;Location=&quot;lower, higher by product type&quot;;Extended Properties=&quot;&quot;" command="SELECT * FROM [lower, higher by product type]"/>
  </connection>
  <connection id="4" xr16:uid="{5F9BDDC9-3E19-499F-8555-2B2AE0612FBC}" keepAlive="1" name="Query - product categories" description="Connection to the 'product categories' query in the workbook." type="5" refreshedVersion="0" background="1">
    <dbPr connection="Provider=Microsoft.Mashup.OleDb.1;Data Source=$Workbook$;Location=&quot;product categories&quot;;Extended Properties=&quot;&quot;" command="SELECT * FROM [product categories]"/>
  </connection>
  <connection id="5" xr16:uid="{52D9EA53-FFAD-4627-9F0B-6ADDC4B18004}" keepAlive="1" name="Query - wtd avg by study" description="Connection to the 'wtd avg by study' query in the workbook." type="5" refreshedVersion="6" background="1" saveData="1">
    <dbPr connection="Provider=Microsoft.Mashup.OleDb.1;Data Source=$Workbook$;Location=wtd avg by study;Extended Properties=&quot;&quot;" command="SELECT * FROM [wtd avg by study]"/>
  </connection>
</connections>
</file>

<file path=xl/sharedStrings.xml><?xml version="1.0" encoding="utf-8"?>
<sst xmlns="http://schemas.openxmlformats.org/spreadsheetml/2006/main" count="1646" uniqueCount="268">
  <si>
    <t>Tuomisto &amp; Teixeira de Mattos (2011)</t>
  </si>
  <si>
    <t>Impossible Burger</t>
  </si>
  <si>
    <t>Beyond Burger</t>
  </si>
  <si>
    <t>Heller &amp; Keoleian (2018)</t>
  </si>
  <si>
    <t>95% confidence interval</t>
  </si>
  <si>
    <t>lowest, highest values from sensitivity analysis</t>
  </si>
  <si>
    <t>notes</t>
  </si>
  <si>
    <t>Quorn</t>
  </si>
  <si>
    <t>Quorn Foods (2019)</t>
  </si>
  <si>
    <t>min, max</t>
  </si>
  <si>
    <t>Quorn Mince (frozen)</t>
  </si>
  <si>
    <t>Quorn Pieces (frozen)</t>
  </si>
  <si>
    <t>Quorn Vegan Pieces (frozen)</t>
  </si>
  <si>
    <t>Quorn Vegan Breaded Fillet (frozen)</t>
  </si>
  <si>
    <t>Quorn Vegan Hot &amp; Spicy Burger (frozen)</t>
  </si>
  <si>
    <t>Quorn Fillets (frozen)</t>
  </si>
  <si>
    <t>Quorn Vegan Fillets (frozen)</t>
  </si>
  <si>
    <t>Quorn Vegan Nuggets (frozen)</t>
  </si>
  <si>
    <t>Quorn Battered Salt &amp; Vinegar Fishless Fillet (frozen)</t>
  </si>
  <si>
    <t>Quorn Fishless Fingers (frozen)</t>
  </si>
  <si>
    <t>Quorn Sausages (frozen)</t>
  </si>
  <si>
    <t>Quorn Mince (chilled)</t>
  </si>
  <si>
    <t>Quorn Pieces (chilled)</t>
  </si>
  <si>
    <t>Quorn Classic Burger (chilled)</t>
  </si>
  <si>
    <t>Quorn Sausages (chilled)</t>
  </si>
  <si>
    <t>Quorn Vegan Ham-Free Slices (chilled)</t>
  </si>
  <si>
    <t>Quorn Vegan Chicken-Free Slices (chilled)</t>
  </si>
  <si>
    <t>Quorn Mini Cocktail Sausage (chilled)</t>
  </si>
  <si>
    <t>Quorn Crispy Nuggets (frozen) - 260 g size</t>
  </si>
  <si>
    <t>Quorn Crispy Nuggets (frozen) - 476 g size</t>
  </si>
  <si>
    <t>Quorn Crispy Nuggets (frozen) - 300 g size</t>
  </si>
  <si>
    <t>Quorn Breaded Lemon &amp; Pepper Fishless Fillet (frozen)</t>
  </si>
  <si>
    <t>Morningstar Farms Grillers Crumbles</t>
  </si>
  <si>
    <t>Morningstar Farms Grillers Original Burgers</t>
  </si>
  <si>
    <t>Morningstar Farms Original Sausage Patties</t>
  </si>
  <si>
    <t>Morningstar Farms Original Chik Patties</t>
  </si>
  <si>
    <t>Multiplied percentage of carbon footprint contribution analysis related only to raw materials and manufacturing phases</t>
  </si>
  <si>
    <t>Although the product has been modified to no longer contain eggs (as of 09/2018), the LCA was done prior to this modification so it's categorized as containing eggs. Multiplied percentage of carbon footprint contribution analysis related only to raw materials and manufacturing phases</t>
  </si>
  <si>
    <t>Although the product has been modified to no longer contain eggs (as of 2019), the LCA was done prior to this modification so it's categorized as containing eggs. Multiplied percentage of carbon footprint contribution analysis related only to raw materials and manufacturing phases</t>
  </si>
  <si>
    <t>n/a</t>
  </si>
  <si>
    <t>beef (beef herd)</t>
  </si>
  <si>
    <t>beef (dairy herd)</t>
  </si>
  <si>
    <t>crustaceans (farmed)</t>
  </si>
  <si>
    <t>eggs</t>
  </si>
  <si>
    <t>peas</t>
  </si>
  <si>
    <t>pig meat</t>
  </si>
  <si>
    <t>poultry meat</t>
  </si>
  <si>
    <t>tofu</t>
  </si>
  <si>
    <t>Poore &amp; Nemecek (2019)</t>
  </si>
  <si>
    <t>not reported</t>
  </si>
  <si>
    <t>insects</t>
  </si>
  <si>
    <t>tuna (wild)</t>
  </si>
  <si>
    <t>fish (farmed)</t>
  </si>
  <si>
    <t>cell-based meat</t>
  </si>
  <si>
    <t>plant-based meat substitute</t>
  </si>
  <si>
    <t>single product</t>
  </si>
  <si>
    <t>canned tuna in vegetable oil from Ecuador fishery</t>
  </si>
  <si>
    <t>pouched tuna from Ecuador fishery</t>
  </si>
  <si>
    <t>farmed mealworms from Netherlands</t>
  </si>
  <si>
    <t>farmed crickets from Thailand</t>
  </si>
  <si>
    <t>0.79 - 0.84</t>
  </si>
  <si>
    <t>5.6-6.2</t>
  </si>
  <si>
    <t>Used protein content from product page on https://www.quorn.co.uk/products/ (reflects British products only)</t>
  </si>
  <si>
    <t>The kg CO2e per kg product values from this study were based on an extrapolated analysis of Tuomisto et al (2011) figures.</t>
  </si>
  <si>
    <t xml:space="preserve">Protein content was not reported; used protein content for mycoprotein meat analog (10% for final product, wet content), as reported in Smetana et al. (2015). </t>
  </si>
  <si>
    <t xml:space="preserve">The kg CO2e per kg product values from this study were based on an extrapolated analysis of Raats (2007) and Finnigan et al. (2010) figures. Protein content was not reported; used protein content for mycoprotein-based meat analog (10% for final product, wet content), as reported in Smetana et al. (2015). </t>
  </si>
  <si>
    <t>0.39–0.77</t>
  </si>
  <si>
    <t>CI reflects sensitivity analysis, which explored different energy grid and other variables. Only reported here emissions, land and water use from Impossible Burger mix and production phase.</t>
  </si>
  <si>
    <t>highest value from sensitivity analysis (no values were lower)</t>
  </si>
  <si>
    <t>Numbers reflected GHG emissions without air transportation. Protein content reported in Avadi et al. 2015 as 20.8%, using USDA numbers.</t>
  </si>
  <si>
    <t>282–292</t>
  </si>
  <si>
    <t>Mean value derived from average of min/max. Pretein content reported as 28.2–29.2%, using USDA numbers.</t>
  </si>
  <si>
    <t>Protein content reported as 26.5%, using USDA numbers.</t>
  </si>
  <si>
    <t>Tuomisto, H. L., Ellis, M., and Haastrup, P. (2014). “Environmental impacts of cultured meat: alternative production scenarios,” in 9th International Conference on Life Cycle Assessment in the Agri-Food Sector (San Francisco, CA). https://core.ac.uk/download/pdf/38629617.pdf</t>
  </si>
  <si>
    <t>2268–3381</t>
  </si>
  <si>
    <t>3266–4379</t>
  </si>
  <si>
    <t>2958–4071</t>
  </si>
  <si>
    <t>0.19 (0.05-0.46)</t>
  </si>
  <si>
    <t>0.29 (0.16-0.49)</t>
  </si>
  <si>
    <t>Seves, S. Marije, Janneke Verkaik-Kloosterman, Sander Biesbroek, and Elisabeth HM Temme. 2017. "Are more environmentally sustainable diets with less meat and dairy nutritionally adequate?" Public Health Nutrition 20 (11): 2050-2062. doi:10.1017/S1368980017000763.</t>
  </si>
  <si>
    <t>Dettling, Jon, Qingshi Tu, Mireille Faist, Andrea DelDuce, and Sarah Mandlebaum. 2016. A Comparative Life Cycle Assessment of Plant-Based Foods and Meat Foods. Boston, MA: Quantis USA. https://www.morningstarfarms.com/content/dam/morningstarfarms/pdf/MSFPlantBasedLCAReport_2016-04-10_Final.pdf</t>
  </si>
  <si>
    <t>Quorn Foods. 2019. Quorn: Carbon Footprinting Emissions Report. https://www.quorn.co.uk/files/content/Carbon_Footprint_Results_UK.pdf</t>
  </si>
  <si>
    <t>Smetana, Sergiy, Alexander Mathys, Achim Knoch, and Volker Heinz. 2015. "Meat alternatives: life cycle assessment of most known meat substitutes." The International Journal of Life Cycle Assessment 20 (9): 1254-1267. doi:10.1007/s11367-015-0931-6.</t>
  </si>
  <si>
    <t>Head, Marieke, Maartje Sevenster, and Harry Croezen. 2011. Life Cycle Impacts of Protein-Rich Foods for Superwijzer: CE Delft. https://www.cedelft.eu/en/publications/1264/life-cycle-impacts-of-protein-rich-foods-for-the-superwijzer-app</t>
  </si>
  <si>
    <t>Blonk, Hans, Anton Kool, Boki Luske, and Sytske de Waart. 2008. Environmental Effects of Protein-Rich Food Products in the Netherlands Consequences of Animal Protein Substitutes. http://www.bokiluske.com/publications/2008%20English%20summary%20protein-rich%20products.pdf</t>
  </si>
  <si>
    <t>Goldstein, Benjamin, Rebekah Moses, Norman Sammons, and Morten Birkved. 2017. "Potential to curb the environmental burdens of American beef consumption using a novel plant-based beef substitute." PloS One 12 (12). doi:10.1371/journal.pone.0189029.</t>
  </si>
  <si>
    <t>Khan, Sofia, Dettling, Jon, Loyola, Cristóbal, Hester, Joshua and Moses, Rebekah. 2019. "Environmental Life Cycle Analysis: Impossible Burger 2.0." Impossible Foods., last modified Mar 20, https://impossiblefoods.com/mission/lca-update-2019/.</t>
  </si>
  <si>
    <t>Heller, Martin C. and Gregory A. Keoleian. 2018. Beyond Meat’s Beyond Burger Life Cycle Assessment: A Detailed Comparison between a Plant-Based and an Animal-Based Protein Source. Ann Arbor, Michigan: University of Michigan Center for Sustainable Systems. http://css.umich.edu/sites/default/files/publication/CSS18-10.pdf</t>
  </si>
  <si>
    <t>Tuomisto, Hanna L. and Teixeira de Mattos, M Joost. 2011. "Environmental impacts of cultured meat production." Environmental Science &amp; Technology 45 (14): 6117-6123. doi:10.1021/es200130u.</t>
  </si>
  <si>
    <t>Fresán, Ujué, Maximino Alfredo Mejia, Winston J. Craig, Karen Jaceldo-Siegl, and Joan Sabaté. 2019b. "Meat analogs from different protein sources: a comparison of their sustainability and nutritional content." Sustainability 11 (12): 3231. doi:10.3390/su11123231.</t>
  </si>
  <si>
    <t>Mattick, Carolyn S., Amy E. Landis, Braden R. Allenby, and Nicholas J. Genovese. 2015b. "Anticipatory life cycle analysis of in vitro biomass cultivation for cultured meat production in the united states." Environmental Science &amp; Technology 49 (19): 11941-11949. doi:10.1021/acs.est.5b01614.</t>
  </si>
  <si>
    <t>Halloran, A., Y. Hanboonsong, Nanna Roos, and Sander Bruun. 2017. "Life cycle assessment of cricket farming in north-eastern Thailand." Journal of Cleaner Production 156: 83-94.</t>
  </si>
  <si>
    <t>Oonincx, Dennis GAB, and Imke JM De Boer. 2012. "Environmental impact of the production of mealworms as a protein source for humans–a life cycle assessment." PloS one 7, no. 12.</t>
  </si>
  <si>
    <t>Halloran et al. (2017)</t>
  </si>
  <si>
    <t>Oonincx &amp; de Boer (2012)</t>
  </si>
  <si>
    <t>Miglietta et al. (2015)</t>
  </si>
  <si>
    <t>Avadí, Angel, Carolina Bolaños, Isabel Sandoval, and Carla Ycaza. 2015. "Life cycle assessment of Ecuadorian processed tuna." The International Journal of Life Cycle Assessment 20, no. 10: 1415-1428.</t>
  </si>
  <si>
    <t>Avadi et al. (2015)</t>
  </si>
  <si>
    <t>Zufia, J., and L. Arana. 2008. "Life cycle assessment to eco-design food products: industrial cooked dish case study." Journal of Cleaner Production 16, no. 17 (2008): 1915-1921.</t>
  </si>
  <si>
    <t>Zufia &amp; Arana (2008)</t>
  </si>
  <si>
    <t>yes</t>
  </si>
  <si>
    <t>no</t>
  </si>
  <si>
    <t>mean of multiple products</t>
  </si>
  <si>
    <t>product type</t>
  </si>
  <si>
    <t>study</t>
  </si>
  <si>
    <t>product</t>
  </si>
  <si>
    <t>production</t>
  </si>
  <si>
    <t>processing</t>
  </si>
  <si>
    <t>packaging</t>
  </si>
  <si>
    <t>post-packaging</t>
  </si>
  <si>
    <t>nuggets (veg)</t>
  </si>
  <si>
    <t>sausage (veg)</t>
  </si>
  <si>
    <t>luncheon meat (veg)</t>
  </si>
  <si>
    <t>paté (veg)</t>
  </si>
  <si>
    <t>mincemeat (veg)</t>
  </si>
  <si>
    <t>mincemeat balls (veg)</t>
  </si>
  <si>
    <t>canned tuna in tomato sauce from Spain fishery, w/out air transport</t>
  </si>
  <si>
    <t>peer-reviewed</t>
  </si>
  <si>
    <t>number of products included</t>
  </si>
  <si>
    <t>full citation or link</t>
  </si>
  <si>
    <t>kg CO2e / 1 kg</t>
  </si>
  <si>
    <t>kg CO2e / 1000 kg</t>
  </si>
  <si>
    <t>single product; mean of min, max</t>
  </si>
  <si>
    <t>study unit</t>
  </si>
  <si>
    <t>value description</t>
  </si>
  <si>
    <t>range description</t>
  </si>
  <si>
    <t>protein as presented in study or label</t>
  </si>
  <si>
    <t>protein unit</t>
  </si>
  <si>
    <t>kg CO2e / 1 kg protein</t>
  </si>
  <si>
    <t>kg CO2e / 20 g protein</t>
  </si>
  <si>
    <t>kg CO2e</t>
  </si>
  <si>
    <t>g protein / kg</t>
  </si>
  <si>
    <t xml:space="preserve">kg CO2e / kg </t>
  </si>
  <si>
    <t xml:space="preserve">kg CO2e / ton </t>
  </si>
  <si>
    <t xml:space="preserve">kg CO2e / 60 g </t>
  </si>
  <si>
    <t xml:space="preserve">kg CO2e / 100 g </t>
  </si>
  <si>
    <t xml:space="preserve">g CO2e / 2 kg </t>
  </si>
  <si>
    <t xml:space="preserve">m^2 year / 1/4 lb </t>
  </si>
  <si>
    <t xml:space="preserve">m^2 year / kg </t>
  </si>
  <si>
    <t xml:space="preserve">m^2 / 1000 kg </t>
  </si>
  <si>
    <t xml:space="preserve">ha / 1000 kg </t>
  </si>
  <si>
    <t xml:space="preserve">m^2 year / ton </t>
  </si>
  <si>
    <t xml:space="preserve">m^2 year / 60 g </t>
  </si>
  <si>
    <t>m^2 year / kg</t>
  </si>
  <si>
    <t>m^2 year</t>
  </si>
  <si>
    <t>g protein / 1 kg</t>
  </si>
  <si>
    <t>g protein / 50 g</t>
  </si>
  <si>
    <t>g protein / 64 g</t>
  </si>
  <si>
    <t>g protein / 38 g</t>
  </si>
  <si>
    <t>g protein / 71 g</t>
  </si>
  <si>
    <t>g protein / 4 oz</t>
  </si>
  <si>
    <t>g protein / 100 g</t>
  </si>
  <si>
    <t>footprint as presented in study</t>
  </si>
  <si>
    <t>footprint / 100 g protein</t>
  </si>
  <si>
    <t>footprint / kg</t>
  </si>
  <si>
    <t>wtd avg footprint / kg</t>
  </si>
  <si>
    <t>wtd avg footprint / 100 g protein</t>
  </si>
  <si>
    <t>avg footprint / kg</t>
  </si>
  <si>
    <t>median footprint / kg</t>
  </si>
  <si>
    <t>avg footprint / 100 g protein</t>
  </si>
  <si>
    <t>median footprint / 100 g protein</t>
  </si>
  <si>
    <t>number of studies</t>
  </si>
  <si>
    <t>aggregated from multiple</t>
  </si>
  <si>
    <t>footprint type</t>
  </si>
  <si>
    <t>various</t>
  </si>
  <si>
    <t>scope of supply chain activities reported in Santo et al.</t>
  </si>
  <si>
    <t>study details</t>
  </si>
  <si>
    <t>product footprints</t>
  </si>
  <si>
    <t>wtd avg by study</t>
  </si>
  <si>
    <t>avg by product type</t>
  </si>
  <si>
    <t>description</t>
  </si>
  <si>
    <t>scope of supply chain activities, peer-review status, and full citations for the footprint studies included in this review</t>
  </si>
  <si>
    <t>raw GHG, blue water, and land-use footprint data by study and product</t>
  </si>
  <si>
    <t>blue tables</t>
  </si>
  <si>
    <t>green tables</t>
  </si>
  <si>
    <t>procedurally generated data</t>
  </si>
  <si>
    <t>raw data</t>
  </si>
  <si>
    <t>legend</t>
  </si>
  <si>
    <t>data flow diagram</t>
  </si>
  <si>
    <t>table</t>
  </si>
  <si>
    <t>product category</t>
  </si>
  <si>
    <t>terrestrial animal product</t>
  </si>
  <si>
    <t>aquatic meat</t>
  </si>
  <si>
    <t>meat alternative</t>
  </si>
  <si>
    <t>plant food</t>
  </si>
  <si>
    <t>Technically a plant-based seafood subsitute, but we have classified this as a "meat substitute" given the similarity of ingredients. Used protein content from product page on https://www.quorn.co.uk/products/ (reflects British products only)</t>
  </si>
  <si>
    <t>not specified</t>
  </si>
  <si>
    <t>kg CO2e / 1/4 lb</t>
  </si>
  <si>
    <t>m^3 / 1000 kg</t>
  </si>
  <si>
    <t>m^3 / kg</t>
  </si>
  <si>
    <t>m^3 / ton</t>
  </si>
  <si>
    <t>m^3 / 60 g serving</t>
  </si>
  <si>
    <t>L / 1/4 lb</t>
  </si>
  <si>
    <t>L / kg</t>
  </si>
  <si>
    <t>23.9-24.64</t>
  </si>
  <si>
    <t>m^3 / 1 kg protein</t>
  </si>
  <si>
    <t>m^2 / 1 kg protein</t>
  </si>
  <si>
    <t>average GHG, blue water, and land-use footprints by study and product type, weighted by the number of products included in each study</t>
  </si>
  <si>
    <t>number of observations</t>
  </si>
  <si>
    <t>note</t>
  </si>
  <si>
    <t>results for retail weight and per nutritional unit (data S2), converted to account for cradle to processor gate only (Fig S13)</t>
  </si>
  <si>
    <t>L blue water footprint</t>
  </si>
  <si>
    <t>g protein / kg not used; footprint per unit of protein was reportedly directly by study</t>
  </si>
  <si>
    <t>g protein / kg not used; footprint per unit of protein was reportedly directly by study; most products were wheat and/or soy based, but a few were based on nuts</t>
  </si>
  <si>
    <t>lower footprint / 100 g protein</t>
  </si>
  <si>
    <t>higher footprint / 100 g protein</t>
  </si>
  <si>
    <t>lower footprint / kg</t>
  </si>
  <si>
    <t>higher footprint / kg</t>
  </si>
  <si>
    <t>minimum, maximum product footprint</t>
  </si>
  <si>
    <t>10th, 90th percentile</t>
  </si>
  <si>
    <t>minced-beef type product (modeled in Thailand)</t>
  </si>
  <si>
    <t>minced-beef type product (modeled in Spain)</t>
  </si>
  <si>
    <t>minced-beef type product (modeled in California)</t>
  </si>
  <si>
    <t>minced-beef type product</t>
  </si>
  <si>
    <t>% protein by mass</t>
  </si>
  <si>
    <t>Kg CO2e per kg product represents updated estimate on previous study, using corn-based feedstock rather than cyanobacteria, value reported in Lynch &amp; Pierrehumbert (2019)</t>
  </si>
  <si>
    <t xml:space="preserve">Footprint value estimated from figure using graph grabber. Protein content was not reported; used protein content for mycoprotein-based meat analog (10% for final product, wet content), as reported in Smetana et al. (2015). </t>
  </si>
  <si>
    <t>corn feedstock</t>
  </si>
  <si>
    <t>pea protein</t>
  </si>
  <si>
    <t>soy flour, contains eggs</t>
  </si>
  <si>
    <t>soy protein</t>
  </si>
  <si>
    <t>wheat gluten, soy flour; contains eggs</t>
  </si>
  <si>
    <t>wheat gluten, soy flour, soy protein; contains eggs</t>
  </si>
  <si>
    <t>wheat gluten, soy protein, soy flour; contains eggs</t>
  </si>
  <si>
    <t>wheat feedstock</t>
  </si>
  <si>
    <t>mycoprotein (contains eggs)</t>
  </si>
  <si>
    <t>mycoprotein (without eggs)</t>
  </si>
  <si>
    <t>predominantly wheat</t>
  </si>
  <si>
    <t>cyanobacteria feedstock</t>
  </si>
  <si>
    <t>primary ingredient(s) / input(s),
meat alternatives only</t>
  </si>
  <si>
    <t>Estimated from Figure 3 using graph grabber; includes blue water consumption, indirect water use, and water used for muscle cultivation; the % of the total water footprint that excludes green water was applied to the higher and lower values</t>
  </si>
  <si>
    <t>results for retail weight and per nutritional unit (data S2)</t>
  </si>
  <si>
    <t>Only reported here GHGe, land and water use from ingredients and processing phase; reported absolute water use, not scarcity-weighted</t>
  </si>
  <si>
    <t>Only reported here GHGe, land and water use from ingredients and processing phase.</t>
  </si>
  <si>
    <t>Kim et al. (2019)</t>
  </si>
  <si>
    <t>bovine meat</t>
  </si>
  <si>
    <t>25th, 75th percentile</t>
  </si>
  <si>
    <t>pulses</t>
  </si>
  <si>
    <t>soy</t>
  </si>
  <si>
    <t>fish (farmed in ponds)</t>
  </si>
  <si>
    <t>other pulses (excl. peas)</t>
  </si>
  <si>
    <t>average GHG, blue water, and land-use footprints by product type, appended with aggregated footprints from Kim et al. (2019) and Poore &amp; Nemecek (2019)</t>
  </si>
  <si>
    <t>Miglietta, Pier Paolo, Federica De Leo, Marcello Ruberti, and Stefania Massari. 2015. "Mealworms for food: a water footprint perspective." Water 7, no. 11: 6190-6203.</t>
  </si>
  <si>
    <t>Poore, J., &amp; Nemecek, T. 2018. “Reducing food’s environmental impacts through producers and consumers.” Science 360 (6392): 987-992.</t>
  </si>
  <si>
    <t>feedstock: Glucose, glutamine, soy hydrolysate and basal media</t>
  </si>
  <si>
    <t>Blonk et al. (2008)</t>
  </si>
  <si>
    <t>Dettling et al. (2016)</t>
  </si>
  <si>
    <t>Goldstein et al. (2017)</t>
  </si>
  <si>
    <t>Head et al. (2011)</t>
  </si>
  <si>
    <t>Khan et al. (2019)</t>
  </si>
  <si>
    <t>Mattick et al. (2015)</t>
  </si>
  <si>
    <t>Seves et al. (2017)</t>
  </si>
  <si>
    <t>Smetana et al. (2015)</t>
  </si>
  <si>
    <t>Tuomisto et al. (2014)</t>
  </si>
  <si>
    <t>various; blue water footprints only</t>
  </si>
  <si>
    <t>fish (farmed excl. pond-raised)</t>
  </si>
  <si>
    <t>Zhu &amp; van Ierland (2010)</t>
  </si>
  <si>
    <t>Xueqin Zhu and Ekko C. van Ierland. 2004. "Protein Chains and Environmental Pressures: A Comparison of Pork and Novel Protein Foods." Environmental Sciences, 1:3, 254-276.  DOI: 10.1080/15693430412331291652</t>
  </si>
  <si>
    <t>Brent Kim, Raychel Santo, Allysan Scatterday, Jillian Fry, Colleen Synk, Shannon Cebron, Mesfin Mekonnen, Arjen Hoekstra, Saskia de Pee, Martin Bloem, Roni Neff, and Keeve Nachman. 2019. "Country-specific dietary shifts to mitigate climate and water crises." Global Environmental Change.</t>
  </si>
  <si>
    <t>kg CO2e / 4000 kg</t>
  </si>
  <si>
    <t>ha / 4000 kg</t>
  </si>
  <si>
    <t>min, max of sensitivity analysis</t>
  </si>
  <si>
    <t>high value from sensitivity analysis</t>
  </si>
  <si>
    <t>Fresán et al. (2019)</t>
  </si>
  <si>
    <t>aggregated footprints</t>
  </si>
  <si>
    <t>product categories</t>
  </si>
  <si>
    <t>footprints from Kim et al. (2019) and Poore &amp; Nemecek (2019), reported as aggregated footprints from multiple sources and/or production scenarios (unhide tab to view)</t>
  </si>
  <si>
    <t>product types, e.g., poultry meat, matched to their respective categories, e.g., terrestrial animal product (unhide tab to 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</si>
</sst>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
  </numFmts>
  <fonts count="10" x14ac:knownFonts="1">
    <font>
      <sz val="12"/>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theme="0"/>
      <name val="Calibri"/>
      <family val="2"/>
      <scheme val="minor"/>
    </font>
    <font>
      <sz val="10"/>
      <color theme="0"/>
      <name val="Calibri"/>
      <family val="2"/>
      <scheme val="minor"/>
    </font>
    <font>
      <b/>
      <sz val="10"/>
      <name val="Calibri"/>
      <family val="2"/>
      <scheme val="minor"/>
    </font>
    <font>
      <sz val="9"/>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9"/>
        <bgColor indexed="64"/>
      </patternFill>
    </fill>
    <fill>
      <patternFill patternType="solid">
        <fgColor theme="4"/>
        <bgColor indexed="64"/>
      </patternFill>
    </fill>
  </fills>
  <borders count="9">
    <border>
      <left/>
      <right/>
      <top/>
      <bottom/>
      <diagonal/>
    </border>
    <border>
      <left/>
      <right style="thin">
        <color indexed="64"/>
      </right>
      <top/>
      <bottom/>
      <diagonal/>
    </border>
    <border>
      <left style="thin">
        <color indexed="64"/>
      </left>
      <right/>
      <top/>
      <bottom/>
      <diagonal/>
    </border>
    <border>
      <left style="thin">
        <color theme="6" tint="0.39997558519241921"/>
      </left>
      <right/>
      <top style="thin">
        <color theme="6" tint="0.39997558519241921"/>
      </top>
      <bottom/>
      <diagonal/>
    </border>
    <border>
      <left/>
      <right style="thin">
        <color theme="6" tint="0.39997558519241921"/>
      </right>
      <top style="thin">
        <color theme="6"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2">
    <xf numFmtId="0" fontId="0" fillId="0" borderId="0"/>
    <xf numFmtId="43" fontId="9" fillId="0" borderId="0" applyFont="0" applyFill="0" applyBorder="0" applyAlignment="0" applyProtection="0"/>
  </cellStyleXfs>
  <cellXfs count="83">
    <xf numFmtId="0" fontId="0" fillId="0" borderId="0" xfId="0"/>
    <xf numFmtId="0" fontId="2" fillId="0" borderId="0" xfId="0" applyFont="1"/>
    <xf numFmtId="0" fontId="2" fillId="0" borderId="0" xfId="0" applyNumberFormat="1" applyFont="1"/>
    <xf numFmtId="0" fontId="2" fillId="0" borderId="0" xfId="0" applyFont="1" applyBorder="1"/>
    <xf numFmtId="0" fontId="2" fillId="0" borderId="0" xfId="0" applyFont="1" applyBorder="1" applyAlignment="1">
      <alignment horizontal="left" vertical="top"/>
    </xf>
    <xf numFmtId="0" fontId="2" fillId="0" borderId="0" xfId="0" applyFont="1" applyBorder="1" applyAlignment="1">
      <alignment wrapText="1"/>
    </xf>
    <xf numFmtId="0" fontId="2" fillId="0" borderId="0" xfId="0" applyFont="1" applyBorder="1" applyAlignment="1">
      <alignment horizontal="left" wrapText="1"/>
    </xf>
    <xf numFmtId="164" fontId="3" fillId="0" borderId="0" xfId="0" applyNumberFormat="1" applyFont="1" applyBorder="1" applyAlignment="1">
      <alignment horizontal="left" wrapText="1"/>
    </xf>
    <xf numFmtId="164" fontId="2" fillId="0" borderId="0" xfId="0" applyNumberFormat="1" applyFont="1" applyBorder="1" applyAlignment="1">
      <alignment horizontal="left" wrapText="1"/>
    </xf>
    <xf numFmtId="0" fontId="2" fillId="0" borderId="0" xfId="0" applyFont="1" applyBorder="1" applyAlignment="1">
      <alignment horizontal="left"/>
    </xf>
    <xf numFmtId="0" fontId="2" fillId="0" borderId="0" xfId="0" applyFont="1" applyBorder="1" applyAlignment="1">
      <alignment horizontal="right"/>
    </xf>
    <xf numFmtId="164" fontId="2" fillId="0" borderId="0" xfId="0" applyNumberFormat="1" applyFont="1" applyBorder="1" applyAlignment="1">
      <alignment horizontal="right"/>
    </xf>
    <xf numFmtId="0" fontId="2" fillId="0" borderId="0" xfId="0" applyFont="1" applyBorder="1" applyAlignment="1"/>
    <xf numFmtId="164" fontId="3" fillId="0" borderId="0" xfId="0" applyNumberFormat="1" applyFont="1" applyBorder="1" applyAlignment="1">
      <alignment horizontal="right"/>
    </xf>
    <xf numFmtId="164" fontId="2" fillId="0" borderId="0" xfId="0" applyNumberFormat="1" applyFont="1" applyBorder="1" applyAlignment="1">
      <alignment horizontal="left"/>
    </xf>
    <xf numFmtId="164" fontId="2" fillId="0" borderId="0" xfId="0" applyNumberFormat="1" applyFont="1" applyFill="1" applyBorder="1" applyAlignment="1">
      <alignment horizontal="right"/>
    </xf>
    <xf numFmtId="2" fontId="2" fillId="0" borderId="0" xfId="0" applyNumberFormat="1" applyFont="1" applyBorder="1" applyAlignment="1">
      <alignment horizontal="left"/>
    </xf>
    <xf numFmtId="164" fontId="2" fillId="0" borderId="0" xfId="0" applyNumberFormat="1" applyFont="1" applyBorder="1" applyAlignment="1"/>
    <xf numFmtId="165" fontId="2" fillId="0" borderId="0" xfId="0" applyNumberFormat="1" applyFont="1" applyBorder="1" applyAlignment="1">
      <alignment horizontal="right"/>
    </xf>
    <xf numFmtId="0" fontId="2" fillId="0" borderId="0" xfId="0" applyFont="1" applyFill="1" applyBorder="1" applyAlignment="1">
      <alignment horizontal="left"/>
    </xf>
    <xf numFmtId="0" fontId="2" fillId="0" borderId="0" xfId="0" applyFont="1" applyFill="1" applyBorder="1" applyAlignment="1">
      <alignment horizontal="right"/>
    </xf>
    <xf numFmtId="0" fontId="2" fillId="0" borderId="0" xfId="0" applyFont="1" applyBorder="1" applyAlignment="1">
      <alignment vertical="top"/>
    </xf>
    <xf numFmtId="164" fontId="2" fillId="0" borderId="0" xfId="0" applyNumberFormat="1" applyFont="1" applyBorder="1"/>
    <xf numFmtId="0" fontId="2" fillId="0" borderId="0" xfId="0" applyFont="1" applyFill="1" applyBorder="1" applyAlignment="1"/>
    <xf numFmtId="2" fontId="2" fillId="0" borderId="0" xfId="0" applyNumberFormat="1" applyFont="1" applyFill="1" applyBorder="1" applyAlignment="1"/>
    <xf numFmtId="164" fontId="2" fillId="0" borderId="0" xfId="0" applyNumberFormat="1" applyFont="1" applyFill="1" applyBorder="1" applyAlignment="1"/>
    <xf numFmtId="0" fontId="2" fillId="0" borderId="1" xfId="0" applyFont="1" applyBorder="1"/>
    <xf numFmtId="0" fontId="2" fillId="0" borderId="1" xfId="0" applyFont="1" applyBorder="1" applyAlignment="1">
      <alignment horizontal="left" wrapText="1"/>
    </xf>
    <xf numFmtId="0" fontId="2" fillId="0" borderId="1" xfId="0" applyFont="1" applyBorder="1" applyAlignment="1">
      <alignment horizontal="left"/>
    </xf>
    <xf numFmtId="164" fontId="2" fillId="0" borderId="1" xfId="0" applyNumberFormat="1" applyFont="1" applyFill="1" applyBorder="1" applyAlignment="1">
      <alignment horizontal="left"/>
    </xf>
    <xf numFmtId="0" fontId="2" fillId="0" borderId="1" xfId="0" applyFont="1" applyFill="1" applyBorder="1" applyAlignment="1">
      <alignment horizontal="left"/>
    </xf>
    <xf numFmtId="164" fontId="2" fillId="0" borderId="1" xfId="0" applyNumberFormat="1" applyFont="1" applyBorder="1" applyAlignment="1">
      <alignment horizontal="left"/>
    </xf>
    <xf numFmtId="164" fontId="2" fillId="0" borderId="1" xfId="0" applyNumberFormat="1" applyFont="1" applyBorder="1" applyAlignment="1">
      <alignment horizontal="left" wrapText="1"/>
    </xf>
    <xf numFmtId="164" fontId="2" fillId="0" borderId="1" xfId="0" applyNumberFormat="1" applyFont="1" applyBorder="1" applyAlignment="1"/>
    <xf numFmtId="164" fontId="2" fillId="0" borderId="1" xfId="0" applyNumberFormat="1" applyFont="1" applyFill="1" applyBorder="1" applyAlignment="1"/>
    <xf numFmtId="2" fontId="2" fillId="0" borderId="1" xfId="0" applyNumberFormat="1" applyFont="1" applyFill="1" applyBorder="1" applyAlignment="1"/>
    <xf numFmtId="0" fontId="2" fillId="0" borderId="1" xfId="0" applyFont="1" applyFill="1" applyBorder="1" applyAlignment="1"/>
    <xf numFmtId="0" fontId="2" fillId="0" borderId="0" xfId="0" applyNumberFormat="1" applyFont="1" applyBorder="1"/>
    <xf numFmtId="0" fontId="2" fillId="0" borderId="1" xfId="0" applyNumberFormat="1" applyFont="1" applyBorder="1"/>
    <xf numFmtId="0" fontId="2" fillId="0" borderId="2" xfId="0" applyFont="1" applyBorder="1"/>
    <xf numFmtId="0" fontId="2" fillId="0" borderId="2" xfId="0" applyNumberFormat="1" applyFont="1" applyBorder="1"/>
    <xf numFmtId="0" fontId="5" fillId="3" borderId="0" xfId="0" applyFont="1" applyFill="1"/>
    <xf numFmtId="0" fontId="5" fillId="2" borderId="0" xfId="0" applyFont="1" applyFill="1"/>
    <xf numFmtId="0" fontId="6" fillId="0" borderId="0" xfId="0" applyFont="1"/>
    <xf numFmtId="0" fontId="4" fillId="0" borderId="0" xfId="0" applyFont="1" applyFill="1"/>
    <xf numFmtId="0" fontId="0" fillId="0" borderId="0" xfId="0" applyFill="1"/>
    <xf numFmtId="0" fontId="7" fillId="0" borderId="3" xfId="0" applyFont="1" applyFill="1" applyBorder="1"/>
    <xf numFmtId="0" fontId="7" fillId="0" borderId="4" xfId="0" applyFont="1" applyFill="1" applyBorder="1"/>
    <xf numFmtId="0" fontId="3" fillId="0" borderId="0" xfId="0" applyFont="1"/>
    <xf numFmtId="0" fontId="3" fillId="0" borderId="0" xfId="0" applyFont="1" applyFill="1"/>
    <xf numFmtId="0" fontId="5" fillId="3" borderId="0" xfId="0" applyFont="1" applyFill="1" applyBorder="1"/>
    <xf numFmtId="0" fontId="4" fillId="0" borderId="0" xfId="0" applyFont="1" applyFill="1" applyBorder="1"/>
    <xf numFmtId="0" fontId="5" fillId="2" borderId="0" xfId="0" applyFont="1" applyFill="1" applyBorder="1"/>
    <xf numFmtId="0" fontId="2" fillId="0" borderId="0" xfId="0" applyFont="1" applyFill="1"/>
    <xf numFmtId="0" fontId="2" fillId="0" borderId="5" xfId="0" applyFont="1" applyFill="1" applyBorder="1"/>
    <xf numFmtId="0" fontId="2" fillId="0" borderId="6" xfId="0" applyFont="1" applyFill="1" applyBorder="1"/>
    <xf numFmtId="0" fontId="2" fillId="0" borderId="7" xfId="0" applyFont="1" applyFill="1" applyBorder="1"/>
    <xf numFmtId="0" fontId="2" fillId="0" borderId="8" xfId="0" applyFont="1" applyFill="1" applyBorder="1"/>
    <xf numFmtId="164" fontId="2" fillId="0" borderId="0" xfId="0" applyNumberFormat="1" applyFont="1" applyFill="1" applyBorder="1" applyAlignment="1">
      <alignment horizontal="left"/>
    </xf>
    <xf numFmtId="1" fontId="2" fillId="0" borderId="0" xfId="0" applyNumberFormat="1" applyFont="1" applyFill="1" applyBorder="1" applyAlignment="1">
      <alignment horizontal="right"/>
    </xf>
    <xf numFmtId="2" fontId="2" fillId="0" borderId="0" xfId="0" applyNumberFormat="1" applyFont="1" applyFill="1" applyBorder="1" applyAlignment="1">
      <alignment horizontal="right"/>
    </xf>
    <xf numFmtId="0" fontId="2" fillId="0" borderId="2" xfId="0" applyNumberFormat="1" applyFont="1" applyFill="1" applyBorder="1"/>
    <xf numFmtId="0" fontId="2" fillId="0" borderId="0" xfId="0" applyFont="1" applyAlignment="1">
      <alignment wrapText="1"/>
    </xf>
    <xf numFmtId="0" fontId="8" fillId="0" borderId="0" xfId="0" applyFont="1"/>
    <xf numFmtId="0" fontId="8" fillId="0" borderId="0" xfId="0" applyNumberFormat="1" applyFont="1"/>
    <xf numFmtId="43" fontId="2" fillId="0" borderId="0" xfId="1" applyFont="1" applyAlignment="1">
      <alignment horizontal="right"/>
    </xf>
    <xf numFmtId="43" fontId="2" fillId="0" borderId="0" xfId="1" applyFont="1"/>
    <xf numFmtId="43" fontId="2" fillId="0" borderId="0" xfId="1" applyFont="1" applyBorder="1"/>
    <xf numFmtId="43" fontId="8" fillId="0" borderId="0" xfId="1" applyFont="1"/>
    <xf numFmtId="0" fontId="2" fillId="0" borderId="0" xfId="0" applyFont="1" applyAlignment="1">
      <alignment horizontal="left"/>
    </xf>
    <xf numFmtId="0" fontId="2" fillId="0" borderId="0" xfId="0" applyFont="1" applyFill="1" applyAlignment="1"/>
    <xf numFmtId="0" fontId="2" fillId="0" borderId="1" xfId="0" applyFont="1" applyBorder="1" applyAlignment="1"/>
    <xf numFmtId="0" fontId="2" fillId="0" borderId="0" xfId="0" applyFont="1" applyFill="1" applyAlignment="1">
      <alignment horizontal="left"/>
    </xf>
    <xf numFmtId="0" fontId="4" fillId="0" borderId="1" xfId="0" applyFont="1" applyFill="1" applyBorder="1" applyAlignment="1"/>
    <xf numFmtId="0" fontId="2" fillId="0" borderId="0" xfId="0" applyNumberFormat="1" applyFont="1" applyFill="1"/>
    <xf numFmtId="0" fontId="2" fillId="0" borderId="0" xfId="0" applyNumberFormat="1" applyFont="1" applyAlignment="1">
      <alignment wrapText="1"/>
    </xf>
    <xf numFmtId="0" fontId="2" fillId="0" borderId="6" xfId="0" applyNumberFormat="1" applyFont="1" applyFill="1" applyBorder="1"/>
    <xf numFmtId="0" fontId="3" fillId="0" borderId="2"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164" fontId="3" fillId="0" borderId="2" xfId="0" applyNumberFormat="1" applyFont="1" applyBorder="1" applyAlignment="1">
      <alignment horizontal="center"/>
    </xf>
    <xf numFmtId="164" fontId="3" fillId="0" borderId="0" xfId="0" applyNumberFormat="1" applyFont="1" applyBorder="1" applyAlignment="1">
      <alignment horizontal="center"/>
    </xf>
    <xf numFmtId="164" fontId="3" fillId="0" borderId="1" xfId="0" applyNumberFormat="1" applyFont="1" applyBorder="1" applyAlignment="1">
      <alignment horizontal="center"/>
    </xf>
  </cellXfs>
  <cellStyles count="2">
    <cellStyle name="Comma" xfId="1" builtinId="3"/>
    <cellStyle name="Normal" xfId="0" builtinId="0"/>
  </cellStyles>
  <dxfs count="79">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u val="none"/>
        <vertAlign val="baseline"/>
        <sz val="10"/>
        <color theme="1"/>
        <name val="Calibri"/>
        <family val="2"/>
        <scheme val="minor"/>
      </font>
      <alignment horizontal="right" vertical="bottom" textRotation="0" wrapText="0" indent="0" justifyLastLine="0" shrinkToFit="0" readingOrder="0"/>
    </dxf>
    <dxf>
      <font>
        <strike val="0"/>
        <outline val="0"/>
        <shadow val="0"/>
        <u val="none"/>
        <vertAlign val="baseline"/>
        <sz val="10"/>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name val="Calibri"/>
        <family val="2"/>
        <scheme val="minor"/>
      </font>
      <numFmt numFmtId="0" formatCode="General"/>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numFmt numFmtId="164" formatCode="0.0"/>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alignment horizontal="right" vertical="bottom" textRotation="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alignment horizontal="general" vertical="bottom" textRotation="0" wrapText="1" indent="0" justifyLastLine="0" shrinkToFit="0" readingOrder="0"/>
    </dxf>
    <dxf>
      <font>
        <strike val="0"/>
        <outline val="0"/>
        <shadow val="0"/>
        <u val="none"/>
        <vertAlign val="baseline"/>
        <sz val="10"/>
        <color theme="1"/>
        <name val="Calibri"/>
        <family val="2"/>
        <scheme val="minor"/>
      </font>
      <fill>
        <patternFill patternType="none">
          <bgColor auto="1"/>
        </patternFill>
      </fill>
      <border diagonalUp="0" diagonalDown="0" outline="0">
        <left/>
        <right/>
        <top style="thin">
          <color theme="4" tint="0.39997558519241921"/>
        </top>
        <bottom style="thin">
          <color theme="4" tint="0.39997558519241921"/>
        </bottom>
      </border>
    </dxf>
    <dxf>
      <font>
        <strike val="0"/>
        <outline val="0"/>
        <shadow val="0"/>
        <u val="none"/>
        <vertAlign val="baseline"/>
        <sz val="10"/>
        <color theme="1"/>
        <name val="Calibri"/>
        <family val="2"/>
        <scheme val="minor"/>
      </font>
      <fill>
        <patternFill patternType="none">
          <bgColor auto="1"/>
        </patternFill>
      </fill>
      <border diagonalUp="0" diagonalDown="0" outline="0">
        <left style="thin">
          <color theme="4" tint="0.39997558519241921"/>
        </left>
        <right/>
        <top style="thin">
          <color theme="4" tint="0.39997558519241921"/>
        </top>
        <bottom style="thin">
          <color theme="4" tint="0.39997558519241921"/>
        </bottom>
      </border>
    </dxf>
    <dxf>
      <border outline="0">
        <bottom style="thin">
          <color theme="4" tint="0.39997558519241921"/>
        </bottom>
      </border>
    </dxf>
    <dxf>
      <font>
        <strike val="0"/>
        <outline val="0"/>
        <shadow val="0"/>
        <u val="none"/>
        <vertAlign val="baseline"/>
        <sz val="10"/>
        <color theme="1"/>
        <name val="Calibri"/>
        <family val="2"/>
        <scheme val="minor"/>
      </font>
      <fill>
        <patternFill patternType="none">
          <bgColor auto="1"/>
        </patternFill>
      </fill>
    </dxf>
    <dxf>
      <font>
        <strike val="0"/>
        <outline val="0"/>
        <shadow val="0"/>
        <u val="none"/>
        <vertAlign val="baseline"/>
        <sz val="10"/>
        <color theme="1"/>
        <name val="Calibri"/>
        <family val="2"/>
        <scheme val="minor"/>
      </font>
      <fill>
        <patternFill patternType="none">
          <bgColor auto="1"/>
        </patternFill>
      </fill>
    </dxf>
    <dxf>
      <font>
        <strike val="0"/>
        <outline val="0"/>
        <shadow val="0"/>
        <u val="none"/>
        <vertAlign val="baseline"/>
        <sz val="10"/>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numFmt numFmtId="0" formatCode="General"/>
    </dxf>
    <dxf>
      <font>
        <strike val="0"/>
        <outline val="0"/>
        <shadow val="0"/>
        <u val="none"/>
        <vertAlign val="baseline"/>
        <sz val="9"/>
        <color theme="1"/>
        <name val="Calibri"/>
        <family val="2"/>
        <scheme val="minor"/>
      </font>
      <numFmt numFmtId="0" formatCode="General"/>
    </dxf>
    <dxf>
      <font>
        <strike val="0"/>
        <outline val="0"/>
        <shadow val="0"/>
        <u val="none"/>
        <vertAlign val="baseline"/>
        <sz val="9"/>
        <color theme="1"/>
        <name val="Calibri"/>
        <family val="2"/>
        <scheme val="minor"/>
      </font>
      <numFmt numFmtId="0" formatCode="General"/>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
      <font>
        <strike val="0"/>
        <outline val="0"/>
        <shadow val="0"/>
        <u val="none"/>
        <vertAlign val="baseline"/>
        <sz val="10"/>
        <name val="Calibri"/>
        <family val="2"/>
        <scheme val="minor"/>
      </font>
      <alignment horizontal="left" vertical="bottom" textRotation="0" wrapText="0" indent="0" justifyLastLine="0" shrinkToFit="0" readingOrder="0"/>
    </dxf>
    <dxf>
      <font>
        <strike val="0"/>
        <outline val="0"/>
        <shadow val="0"/>
        <u val="none"/>
        <vertAlign val="baseline"/>
        <sz val="10"/>
        <name val="Calibri"/>
        <family val="2"/>
        <scheme val="minor"/>
      </font>
      <numFmt numFmtId="164" formatCode="0.0"/>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name val="Calibri"/>
        <family val="2"/>
        <scheme val="minor"/>
      </font>
      <numFmt numFmtId="164" formatCode="0.0"/>
      <fill>
        <patternFill patternType="none">
          <fgColor indexed="64"/>
          <bgColor indexed="65"/>
        </patternFill>
      </fill>
      <alignment horizontal="general" vertical="bottom" textRotation="0" wrapText="0" indent="0" justifyLastLine="0" shrinkToFit="0" readingOrder="0"/>
    </dxf>
    <dxf>
      <font>
        <b val="0"/>
        <strike val="0"/>
        <outline val="0"/>
        <shadow val="0"/>
        <u val="none"/>
        <vertAlign val="baseline"/>
        <sz val="10"/>
        <name val="Calibri"/>
        <family val="2"/>
        <scheme val="minor"/>
      </font>
      <numFmt numFmtId="164" formatCode="0.0"/>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name val="Calibri"/>
        <family val="2"/>
        <scheme val="minor"/>
      </font>
      <numFmt numFmtId="164" formatCode="0.0"/>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0"/>
        <name val="Calibri"/>
        <family val="2"/>
        <scheme val="minor"/>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name val="Calibri"/>
        <family val="2"/>
        <scheme val="minor"/>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name val="Calibri"/>
        <family val="2"/>
        <scheme val="minor"/>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name val="Calibri"/>
        <family val="2"/>
        <scheme val="minor"/>
      </font>
      <numFmt numFmtId="164" formatCode="0.0"/>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name val="Calibri"/>
        <family val="2"/>
        <scheme val="minor"/>
      </font>
      <numFmt numFmtId="164"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4" formatCode="0.0"/>
      <fill>
        <patternFill patternType="none">
          <fgColor indexed="64"/>
          <bgColor indexed="65"/>
        </patternFill>
      </fill>
      <alignment horizontal="left" vertical="bottom" textRotation="0" wrapText="0" indent="0" justifyLastLine="0" shrinkToFit="0" readingOrder="0"/>
    </dxf>
    <dxf>
      <font>
        <b val="0"/>
        <strike val="0"/>
        <outline val="0"/>
        <shadow val="0"/>
        <u val="none"/>
        <vertAlign val="baseline"/>
        <sz val="10"/>
        <name val="Calibri"/>
        <family val="2"/>
        <scheme val="minor"/>
      </font>
      <numFmt numFmtId="164" formatCode="0.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0"/>
        <name val="Calibri"/>
        <family val="2"/>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name val="Calibri"/>
        <family val="2"/>
        <scheme val="minor"/>
      </font>
      <numFmt numFmtId="164" formatCode="0.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name val="Calibri"/>
        <family val="2"/>
        <scheme val="minor"/>
      </font>
      <alignment textRotation="0" wrapText="0" justifyLastLine="0" shrinkToFit="0" readingOrder="0"/>
      <border diagonalUp="0" diagonalDown="0">
        <left/>
        <right style="thin">
          <color indexed="64"/>
        </right>
        <top/>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name val="Calibri"/>
        <family val="2"/>
        <scheme val="minor"/>
      </font>
      <alignment textRotation="0" wrapText="0" justifyLastLine="0" shrinkToFit="0" readingOrder="0"/>
    </dxf>
    <dxf>
      <font>
        <strike val="0"/>
        <outline val="0"/>
        <shadow val="0"/>
        <u val="none"/>
        <vertAlign val="baseline"/>
        <sz val="10"/>
        <name val="Calibri"/>
        <family val="2"/>
        <scheme val="minor"/>
      </font>
      <alignment textRotation="0" wrapText="0" justifyLastLine="0" shrinkToFit="0" readingOrder="0"/>
    </dxf>
    <dxf>
      <font>
        <strike val="0"/>
        <outline val="0"/>
        <shadow val="0"/>
        <u val="none"/>
        <vertAlign val="baseline"/>
        <sz val="10"/>
        <name val="Calibri"/>
        <family val="2"/>
        <scheme val="minor"/>
      </font>
      <alignment textRotation="0" wrapText="0" justifyLastLine="0" shrinkToFit="0" readingOrder="0"/>
    </dxf>
    <dxf>
      <font>
        <strike val="0"/>
        <outline val="0"/>
        <shadow val="0"/>
        <u val="none"/>
        <vertAlign val="baseline"/>
        <sz val="10"/>
        <name val="Calibri"/>
        <family val="2"/>
        <scheme val="minor"/>
      </font>
      <alignment horizontal="center" vertical="bottom" textRotation="0" wrapText="0" indent="0" justifyLastLine="0" shrinkToFit="0" readingOrder="0"/>
    </dxf>
    <dxf>
      <font>
        <strike val="0"/>
        <outline val="0"/>
        <shadow val="0"/>
        <u val="none"/>
        <vertAlign val="baseline"/>
        <sz val="10"/>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numFmt numFmtId="0" formatCode="General"/>
      <border diagonalUp="0" diagonalDown="0">
        <left/>
        <right style="thin">
          <color indexed="64"/>
        </right>
        <top/>
        <bottom/>
        <vertical/>
        <horizontal/>
      </border>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numFmt numFmtId="0" formatCode="General"/>
      <border diagonalUp="0" diagonalDown="0">
        <left style="thin">
          <color indexed="64"/>
        </left>
        <right/>
        <top/>
        <bottom/>
        <vertical/>
        <horizontal/>
      </border>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numFmt numFmtId="0" formatCode="General"/>
    </dxf>
    <dxf>
      <font>
        <strike val="0"/>
        <outline val="0"/>
        <shadow val="0"/>
        <u val="none"/>
        <vertAlign val="baseline"/>
        <sz val="10"/>
        <color theme="1"/>
        <name val="Calibri"/>
        <family val="2"/>
        <scheme val="minor"/>
      </font>
    </dxf>
    <dxf>
      <font>
        <strike val="0"/>
        <outline val="0"/>
        <shadow val="0"/>
        <u val="none"/>
        <vertAlign val="baseline"/>
        <sz val="10"/>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104775</xdr:rowOff>
    </xdr:from>
    <xdr:to>
      <xdr:col>0</xdr:col>
      <xdr:colOff>514350</xdr:colOff>
      <xdr:row>20</xdr:row>
      <xdr:rowOff>85725</xdr:rowOff>
    </xdr:to>
    <xdr:sp macro="" textlink="">
      <xdr:nvSpPr>
        <xdr:cNvPr id="23" name="TextBox 22">
          <a:extLst>
            <a:ext uri="{FF2B5EF4-FFF2-40B4-BE49-F238E27FC236}">
              <a16:creationId xmlns:a16="http://schemas.microsoft.com/office/drawing/2014/main" id="{B547C14A-5231-4090-99B6-05172B2A0F4E}"/>
            </a:ext>
          </a:extLst>
        </xdr:cNvPr>
        <xdr:cNvSpPr txBox="1"/>
      </xdr:nvSpPr>
      <xdr:spPr>
        <a:xfrm>
          <a:off x="0" y="3105150"/>
          <a:ext cx="514350"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000" b="0"/>
            <a:t>lower</a:t>
          </a:r>
          <a:r>
            <a:rPr lang="en-US" sz="1000" b="0" baseline="0"/>
            <a:t> and higher values</a:t>
          </a:r>
          <a:endParaRPr lang="en-US" sz="1000" b="0"/>
        </a:p>
      </xdr:txBody>
    </xdr:sp>
    <xdr:clientData/>
  </xdr:twoCellAnchor>
  <xdr:twoCellAnchor>
    <xdr:from>
      <xdr:col>0</xdr:col>
      <xdr:colOff>723899</xdr:colOff>
      <xdr:row>13</xdr:row>
      <xdr:rowOff>142875</xdr:rowOff>
    </xdr:from>
    <xdr:to>
      <xdr:col>1</xdr:col>
      <xdr:colOff>718184</xdr:colOff>
      <xdr:row>15</xdr:row>
      <xdr:rowOff>108585</xdr:rowOff>
    </xdr:to>
    <xdr:sp macro="" textlink="">
      <xdr:nvSpPr>
        <xdr:cNvPr id="2" name="Rectangle 1">
          <a:extLst>
            <a:ext uri="{FF2B5EF4-FFF2-40B4-BE49-F238E27FC236}">
              <a16:creationId xmlns:a16="http://schemas.microsoft.com/office/drawing/2014/main" id="{BEA2EDCE-BC0C-4C16-B446-81F7123E3405}"/>
            </a:ext>
          </a:extLst>
        </xdr:cNvPr>
        <xdr:cNvSpPr/>
      </xdr:nvSpPr>
      <xdr:spPr>
        <a:xfrm>
          <a:off x="723899" y="2743200"/>
          <a:ext cx="1280160" cy="36576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product</a:t>
          </a:r>
          <a:r>
            <a:rPr lang="en-US" sz="1000" b="1" baseline="0">
              <a:solidFill>
                <a:schemeClr val="bg1"/>
              </a:solidFill>
            </a:rPr>
            <a:t> footprints</a:t>
          </a:r>
          <a:endParaRPr lang="en-US" sz="1000" b="1">
            <a:solidFill>
              <a:schemeClr val="bg1"/>
            </a:solidFill>
          </a:endParaRPr>
        </a:p>
      </xdr:txBody>
    </xdr:sp>
    <xdr:clientData/>
  </xdr:twoCellAnchor>
  <xdr:twoCellAnchor>
    <xdr:from>
      <xdr:col>0</xdr:col>
      <xdr:colOff>723899</xdr:colOff>
      <xdr:row>17</xdr:row>
      <xdr:rowOff>123824</xdr:rowOff>
    </xdr:from>
    <xdr:to>
      <xdr:col>1</xdr:col>
      <xdr:colOff>718184</xdr:colOff>
      <xdr:row>19</xdr:row>
      <xdr:rowOff>89534</xdr:rowOff>
    </xdr:to>
    <xdr:sp macro="" textlink="">
      <xdr:nvSpPr>
        <xdr:cNvPr id="3" name="Rectangle 2">
          <a:extLst>
            <a:ext uri="{FF2B5EF4-FFF2-40B4-BE49-F238E27FC236}">
              <a16:creationId xmlns:a16="http://schemas.microsoft.com/office/drawing/2014/main" id="{9A0D4AB0-2D11-40A6-8A44-D5280F681585}"/>
            </a:ext>
          </a:extLst>
        </xdr:cNvPr>
        <xdr:cNvSpPr/>
      </xdr:nvSpPr>
      <xdr:spPr>
        <a:xfrm>
          <a:off x="723899" y="3324224"/>
          <a:ext cx="1280160" cy="365760"/>
        </a:xfrm>
        <a:prstGeom prst="rect">
          <a:avLst/>
        </a:prstGeom>
        <a:solidFill>
          <a:schemeClr val="accent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wtd avg by study</a:t>
          </a:r>
        </a:p>
      </xdr:txBody>
    </xdr:sp>
    <xdr:clientData/>
  </xdr:twoCellAnchor>
  <xdr:twoCellAnchor>
    <xdr:from>
      <xdr:col>1</xdr:col>
      <xdr:colOff>1147762</xdr:colOff>
      <xdr:row>17</xdr:row>
      <xdr:rowOff>123824</xdr:rowOff>
    </xdr:from>
    <xdr:to>
      <xdr:col>1</xdr:col>
      <xdr:colOff>2427922</xdr:colOff>
      <xdr:row>19</xdr:row>
      <xdr:rowOff>89534</xdr:rowOff>
    </xdr:to>
    <xdr:sp macro="" textlink="">
      <xdr:nvSpPr>
        <xdr:cNvPr id="4" name="Rectangle 3">
          <a:extLst>
            <a:ext uri="{FF2B5EF4-FFF2-40B4-BE49-F238E27FC236}">
              <a16:creationId xmlns:a16="http://schemas.microsoft.com/office/drawing/2014/main" id="{AD4352EE-E99A-42D4-AC17-241D201C12D3}"/>
            </a:ext>
          </a:extLst>
        </xdr:cNvPr>
        <xdr:cNvSpPr/>
      </xdr:nvSpPr>
      <xdr:spPr>
        <a:xfrm>
          <a:off x="2433637" y="3324224"/>
          <a:ext cx="1280160" cy="365760"/>
        </a:xfrm>
        <a:prstGeom prst="rect">
          <a:avLst/>
        </a:prstGeom>
        <a:solidFill>
          <a:schemeClr val="accent1">
            <a:lumMod val="60000"/>
            <a:lumOff val="4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00" b="1">
              <a:solidFill>
                <a:schemeClr val="bg1"/>
              </a:solidFill>
            </a:rPr>
            <a:t>aggregated footprints </a:t>
          </a:r>
          <a:r>
            <a:rPr lang="en-US" sz="1000" b="1" baseline="0">
              <a:solidFill>
                <a:schemeClr val="bg1"/>
              </a:solidFill>
            </a:rPr>
            <a:t>(unhide tab to view)</a:t>
          </a:r>
          <a:endParaRPr lang="en-US" sz="1000" b="1">
            <a:solidFill>
              <a:schemeClr val="bg1"/>
            </a:solidFill>
          </a:endParaRPr>
        </a:p>
      </xdr:txBody>
    </xdr:sp>
    <xdr:clientData/>
  </xdr:twoCellAnchor>
  <xdr:twoCellAnchor>
    <xdr:from>
      <xdr:col>1</xdr:col>
      <xdr:colOff>257175</xdr:colOff>
      <xdr:row>21</xdr:row>
      <xdr:rowOff>123825</xdr:rowOff>
    </xdr:from>
    <xdr:to>
      <xdr:col>1</xdr:col>
      <xdr:colOff>1537335</xdr:colOff>
      <xdr:row>23</xdr:row>
      <xdr:rowOff>89535</xdr:rowOff>
    </xdr:to>
    <xdr:sp macro="" textlink="">
      <xdr:nvSpPr>
        <xdr:cNvPr id="5" name="Rectangle 4">
          <a:extLst>
            <a:ext uri="{FF2B5EF4-FFF2-40B4-BE49-F238E27FC236}">
              <a16:creationId xmlns:a16="http://schemas.microsoft.com/office/drawing/2014/main" id="{CD0D3AE0-49CB-45B6-830D-905FA363F07A}"/>
            </a:ext>
          </a:extLst>
        </xdr:cNvPr>
        <xdr:cNvSpPr/>
      </xdr:nvSpPr>
      <xdr:spPr>
        <a:xfrm>
          <a:off x="1543050" y="4124325"/>
          <a:ext cx="1280160" cy="365760"/>
        </a:xfrm>
        <a:prstGeom prst="rect">
          <a:avLst/>
        </a:prstGeom>
        <a:solidFill>
          <a:schemeClr val="accent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avg by product type</a:t>
          </a:r>
        </a:p>
      </xdr:txBody>
    </xdr:sp>
    <xdr:clientData/>
  </xdr:twoCellAnchor>
  <xdr:twoCellAnchor>
    <xdr:from>
      <xdr:col>1</xdr:col>
      <xdr:colOff>78104</xdr:colOff>
      <xdr:row>15</xdr:row>
      <xdr:rowOff>108585</xdr:rowOff>
    </xdr:from>
    <xdr:to>
      <xdr:col>1</xdr:col>
      <xdr:colOff>78104</xdr:colOff>
      <xdr:row>17</xdr:row>
      <xdr:rowOff>123824</xdr:rowOff>
    </xdr:to>
    <xdr:cxnSp macro="">
      <xdr:nvCxnSpPr>
        <xdr:cNvPr id="7" name="Straight Arrow Connector 6">
          <a:extLst>
            <a:ext uri="{FF2B5EF4-FFF2-40B4-BE49-F238E27FC236}">
              <a16:creationId xmlns:a16="http://schemas.microsoft.com/office/drawing/2014/main" id="{ABA53EE7-CBA0-4185-9DAE-29AC2F352B0E}"/>
            </a:ext>
          </a:extLst>
        </xdr:cNvPr>
        <xdr:cNvCxnSpPr>
          <a:stCxn id="2" idx="2"/>
          <a:endCxn id="3" idx="0"/>
        </xdr:cNvCxnSpPr>
      </xdr:nvCxnSpPr>
      <xdr:spPr>
        <a:xfrm>
          <a:off x="1363979" y="3108960"/>
          <a:ext cx="0" cy="415289"/>
        </a:xfrm>
        <a:prstGeom prst="straightConnector1">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78104</xdr:colOff>
      <xdr:row>19</xdr:row>
      <xdr:rowOff>89533</xdr:rowOff>
    </xdr:from>
    <xdr:to>
      <xdr:col>1</xdr:col>
      <xdr:colOff>897255</xdr:colOff>
      <xdr:row>21</xdr:row>
      <xdr:rowOff>123824</xdr:rowOff>
    </xdr:to>
    <xdr:cxnSp macro="">
      <xdr:nvCxnSpPr>
        <xdr:cNvPr id="9" name="Connector: Elbow 8">
          <a:extLst>
            <a:ext uri="{FF2B5EF4-FFF2-40B4-BE49-F238E27FC236}">
              <a16:creationId xmlns:a16="http://schemas.microsoft.com/office/drawing/2014/main" id="{3E92D447-BC9E-4225-9335-149D35DF9115}"/>
            </a:ext>
          </a:extLst>
        </xdr:cNvPr>
        <xdr:cNvCxnSpPr>
          <a:stCxn id="3" idx="2"/>
          <a:endCxn id="5" idx="0"/>
        </xdr:cNvCxnSpPr>
      </xdr:nvCxnSpPr>
      <xdr:spPr>
        <a:xfrm rot="16200000" flipH="1">
          <a:off x="1556384" y="3497578"/>
          <a:ext cx="434341" cy="819151"/>
        </a:xfrm>
        <a:prstGeom prst="bentConnector3">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897256</xdr:colOff>
      <xdr:row>19</xdr:row>
      <xdr:rowOff>89534</xdr:rowOff>
    </xdr:from>
    <xdr:to>
      <xdr:col>1</xdr:col>
      <xdr:colOff>1787843</xdr:colOff>
      <xdr:row>21</xdr:row>
      <xdr:rowOff>123825</xdr:rowOff>
    </xdr:to>
    <xdr:cxnSp macro="">
      <xdr:nvCxnSpPr>
        <xdr:cNvPr id="11" name="Connector: Elbow 10">
          <a:extLst>
            <a:ext uri="{FF2B5EF4-FFF2-40B4-BE49-F238E27FC236}">
              <a16:creationId xmlns:a16="http://schemas.microsoft.com/office/drawing/2014/main" id="{9B6F9409-D0D6-475E-B123-076D79908C4D}"/>
            </a:ext>
          </a:extLst>
        </xdr:cNvPr>
        <xdr:cNvCxnSpPr>
          <a:stCxn id="4" idx="2"/>
          <a:endCxn id="5" idx="0"/>
        </xdr:cNvCxnSpPr>
      </xdr:nvCxnSpPr>
      <xdr:spPr>
        <a:xfrm rot="5400000">
          <a:off x="2411254" y="3461861"/>
          <a:ext cx="434341" cy="890587"/>
        </a:xfrm>
        <a:prstGeom prst="bentConnector3">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723898</xdr:colOff>
      <xdr:row>14</xdr:row>
      <xdr:rowOff>125730</xdr:rowOff>
    </xdr:from>
    <xdr:to>
      <xdr:col>1</xdr:col>
      <xdr:colOff>257174</xdr:colOff>
      <xdr:row>22</xdr:row>
      <xdr:rowOff>106680</xdr:rowOff>
    </xdr:to>
    <xdr:cxnSp macro="">
      <xdr:nvCxnSpPr>
        <xdr:cNvPr id="20" name="Connector: Elbow 19">
          <a:extLst>
            <a:ext uri="{FF2B5EF4-FFF2-40B4-BE49-F238E27FC236}">
              <a16:creationId xmlns:a16="http://schemas.microsoft.com/office/drawing/2014/main" id="{DB4AF288-013F-401B-A05C-77D0EEBA60D5}"/>
            </a:ext>
          </a:extLst>
        </xdr:cNvPr>
        <xdr:cNvCxnSpPr>
          <a:stCxn id="2" idx="1"/>
          <a:endCxn id="5" idx="1"/>
        </xdr:cNvCxnSpPr>
      </xdr:nvCxnSpPr>
      <xdr:spPr>
        <a:xfrm rot="10800000" flipH="1" flipV="1">
          <a:off x="723898" y="2926080"/>
          <a:ext cx="819151" cy="1581150"/>
        </a:xfrm>
        <a:prstGeom prst="bentConnector3">
          <a:avLst>
            <a:gd name="adj1" fmla="val -27907"/>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2857500</xdr:colOff>
      <xdr:row>17</xdr:row>
      <xdr:rowOff>123824</xdr:rowOff>
    </xdr:from>
    <xdr:to>
      <xdr:col>1</xdr:col>
      <xdr:colOff>4137660</xdr:colOff>
      <xdr:row>19</xdr:row>
      <xdr:rowOff>89534</xdr:rowOff>
    </xdr:to>
    <xdr:sp macro="" textlink="">
      <xdr:nvSpPr>
        <xdr:cNvPr id="12" name="Rectangle 11">
          <a:extLst>
            <a:ext uri="{FF2B5EF4-FFF2-40B4-BE49-F238E27FC236}">
              <a16:creationId xmlns:a16="http://schemas.microsoft.com/office/drawing/2014/main" id="{69B8EFC2-F23D-49C4-8A1C-78A23E56C46A}"/>
            </a:ext>
          </a:extLst>
        </xdr:cNvPr>
        <xdr:cNvSpPr/>
      </xdr:nvSpPr>
      <xdr:spPr>
        <a:xfrm>
          <a:off x="4143375" y="3324224"/>
          <a:ext cx="1280160" cy="365760"/>
        </a:xfrm>
        <a:prstGeom prst="rect">
          <a:avLst/>
        </a:prstGeom>
        <a:solidFill>
          <a:schemeClr val="accent1">
            <a:lumMod val="60000"/>
            <a:lumOff val="4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lang="en-US" sz="1000" b="1">
              <a:solidFill>
                <a:schemeClr val="bg1"/>
              </a:solidFill>
            </a:rPr>
            <a:t>product categories</a:t>
          </a:r>
        </a:p>
        <a:p>
          <a:pPr algn="ctr"/>
          <a:r>
            <a:rPr lang="en-US" sz="1000" b="1">
              <a:solidFill>
                <a:schemeClr val="bg1"/>
              </a:solidFill>
            </a:rPr>
            <a:t>(unhide</a:t>
          </a:r>
          <a:r>
            <a:rPr lang="en-US" sz="1000" b="1" baseline="0">
              <a:solidFill>
                <a:schemeClr val="bg1"/>
              </a:solidFill>
            </a:rPr>
            <a:t> tab to view)</a:t>
          </a:r>
          <a:endParaRPr lang="en-US" sz="1000" b="1">
            <a:solidFill>
              <a:schemeClr val="bg1"/>
            </a:solidFill>
          </a:endParaRPr>
        </a:p>
      </xdr:txBody>
    </xdr:sp>
    <xdr:clientData/>
  </xdr:twoCellAnchor>
  <xdr:twoCellAnchor>
    <xdr:from>
      <xdr:col>1</xdr:col>
      <xdr:colOff>897256</xdr:colOff>
      <xdr:row>19</xdr:row>
      <xdr:rowOff>89534</xdr:rowOff>
    </xdr:from>
    <xdr:to>
      <xdr:col>1</xdr:col>
      <xdr:colOff>3497581</xdr:colOff>
      <xdr:row>21</xdr:row>
      <xdr:rowOff>123825</xdr:rowOff>
    </xdr:to>
    <xdr:cxnSp macro="">
      <xdr:nvCxnSpPr>
        <xdr:cNvPr id="13" name="Connector: Elbow 12">
          <a:extLst>
            <a:ext uri="{FF2B5EF4-FFF2-40B4-BE49-F238E27FC236}">
              <a16:creationId xmlns:a16="http://schemas.microsoft.com/office/drawing/2014/main" id="{6367C91A-3747-4D46-8E18-44A5DBB18132}"/>
            </a:ext>
          </a:extLst>
        </xdr:cNvPr>
        <xdr:cNvCxnSpPr>
          <a:stCxn id="12" idx="2"/>
          <a:endCxn id="5" idx="0"/>
        </xdr:cNvCxnSpPr>
      </xdr:nvCxnSpPr>
      <xdr:spPr>
        <a:xfrm rot="5400000">
          <a:off x="3266123" y="2606992"/>
          <a:ext cx="434341" cy="2600325"/>
        </a:xfrm>
        <a:prstGeom prst="bentConnector3">
          <a:avLst>
            <a:gd name="adj1" fmla="val 50000"/>
          </a:avLst>
        </a:prstGeom>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2009774</xdr:colOff>
      <xdr:row>13</xdr:row>
      <xdr:rowOff>142875</xdr:rowOff>
    </xdr:from>
    <xdr:to>
      <xdr:col>1</xdr:col>
      <xdr:colOff>3289934</xdr:colOff>
      <xdr:row>15</xdr:row>
      <xdr:rowOff>108585</xdr:rowOff>
    </xdr:to>
    <xdr:sp macro="" textlink="">
      <xdr:nvSpPr>
        <xdr:cNvPr id="16" name="Rectangle 15">
          <a:extLst>
            <a:ext uri="{FF2B5EF4-FFF2-40B4-BE49-F238E27FC236}">
              <a16:creationId xmlns:a16="http://schemas.microsoft.com/office/drawing/2014/main" id="{73EF2DE2-4908-4C88-922B-2DA3EA25C52D}"/>
            </a:ext>
          </a:extLst>
        </xdr:cNvPr>
        <xdr:cNvSpPr/>
      </xdr:nvSpPr>
      <xdr:spPr>
        <a:xfrm>
          <a:off x="3295649" y="2743200"/>
          <a:ext cx="1280160" cy="365760"/>
        </a:xfrm>
        <a:prstGeom prst="rect">
          <a:avLst/>
        </a:prstGeom>
        <a:solidFill>
          <a:schemeClr val="accent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chemeClr val="bg1"/>
              </a:solidFill>
            </a:rPr>
            <a:t>study details</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5" xr16:uid="{0354B0A0-8695-4B09-869D-D35A0C3B5FE1}" autoFormatId="16" applyNumberFormats="0" applyBorderFormats="0" applyFontFormats="0" applyPatternFormats="0" applyAlignmentFormats="0" applyWidthHeightFormats="0">
  <queryTableRefresh nextId="17">
    <queryTableFields count="6">
      <queryTableField id="2" name="study" tableColumnId="2"/>
      <queryTableField id="1" name="product type" tableColumnId="1"/>
      <queryTableField id="10" name="footprint type" tableColumnId="10"/>
      <queryTableField id="15" name="number of products included" tableColumnId="3"/>
      <queryTableField id="8" name="wtd avg footprint / kg" tableColumnId="8"/>
      <queryTableField id="9" name="wtd avg footprint / 100 g protein" tableColumnId="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56946ADF-B3B1-4343-9740-14671973EA79}" autoFormatId="16" applyNumberFormats="0" applyBorderFormats="0" applyFontFormats="0" applyPatternFormats="0" applyAlignmentFormats="0" applyWidthHeightFormats="0">
  <queryTableRefresh nextId="37">
    <queryTableFields count="16">
      <queryTableField id="16" name="study" tableColumnId="12"/>
      <queryTableField id="25" name="product category" tableColumnId="15"/>
      <queryTableField id="1" name="product type" tableColumnId="1"/>
      <queryTableField id="18" name="footprint type" tableColumnId="13"/>
      <queryTableField id="14" name="number of studies" tableColumnId="11"/>
      <queryTableField id="27" name="number of observations" tableColumnId="2"/>
      <queryTableField id="3" name="avg footprint / kg" tableColumnId="3"/>
      <queryTableField id="4" name="median footprint / kg" tableColumnId="4"/>
      <queryTableField id="28" name="lower footprint / kg" tableColumnId="5"/>
      <queryTableField id="29" name="higher footprint / kg" tableColumnId="6"/>
      <queryTableField id="21" name="range description" tableColumnId="14"/>
      <queryTableField id="9" name="avg footprint / 100 g protein" tableColumnId="9"/>
      <queryTableField id="10" name="median footprint / 100 g protein" tableColumnId="10"/>
      <queryTableField id="30" name="lower footprint / 100 g protein" tableColumnId="7"/>
      <queryTableField id="32" name="higher footprint / 100 g protein" tableColumnId="16"/>
      <queryTableField id="31" name="note" tableColumnId="8"/>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3AD2E3-EB49-44DE-A741-4B5C4A9AAF81}" name="study_details" displayName="study_details" ref="A2:H24" totalsRowShown="0" headerRowDxfId="78" dataDxfId="77">
  <autoFilter ref="A2:H24" xr:uid="{AC4A7D00-7100-44C6-B793-496FF7CC1AE3}"/>
  <sortState xmlns:xlrd2="http://schemas.microsoft.com/office/spreadsheetml/2017/richdata2" ref="A3:H23">
    <sortCondition ref="A2:A23"/>
  </sortState>
  <tableColumns count="8">
    <tableColumn id="2" xr3:uid="{608E88F6-C6AC-47CE-BEFA-47CDB1554C8C}" name="study" dataDxfId="76"/>
    <tableColumn id="1" xr3:uid="{2D35D413-B40F-4209-8425-4FC806E012F8}" name="product type" dataDxfId="75"/>
    <tableColumn id="3" xr3:uid="{2024D5EB-CB6C-4048-ACE8-0B13E4B23882}" name="peer-reviewed" dataDxfId="74"/>
    <tableColumn id="4" xr3:uid="{FEB44E06-CA38-4FB3-86C5-5230D4D686EC}" name="production" dataDxfId="73"/>
    <tableColumn id="5" xr3:uid="{3A9D12CF-B537-4E66-99DA-1F3B099A7CC1}" name="processing" dataDxfId="72"/>
    <tableColumn id="6" xr3:uid="{BDC765C1-6C1F-4916-AD50-4EDB0AF7DEB6}" name="packaging" dataDxfId="71"/>
    <tableColumn id="7" xr3:uid="{56ADA4E8-5AC5-4F1D-AB41-0B232B9BF909}" name="post-packaging" dataDxfId="70"/>
    <tableColumn id="8" xr3:uid="{7369928A-64B5-4E63-9682-A9A0C7453AA6}" name="full citation or link" dataDxfId="6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3D56E8-534A-1B4A-BBBF-D08401879681}" name="product_footprints" displayName="product_footprints" ref="A2:T97" totalsRowShown="0" headerRowDxfId="68" dataDxfId="67">
  <autoFilter ref="A2:T97" xr:uid="{2DAE2863-DED9-8E44-A358-E492F73277AC}"/>
  <sortState xmlns:xlrd2="http://schemas.microsoft.com/office/spreadsheetml/2017/richdata2" ref="A3:T97">
    <sortCondition ref="A2:A97"/>
  </sortState>
  <tableColumns count="20">
    <tableColumn id="39" xr3:uid="{CB25D41E-636A-C542-B4A3-351952BD473E}" name="study" dataDxfId="66"/>
    <tableColumn id="3" xr3:uid="{F1CD5BC8-A47D-C444-96BB-F6FF2023487B}" name="product type" dataDxfId="65"/>
    <tableColumn id="30" xr3:uid="{D5F8C9B0-107D-C342-A1EC-781AC104632E}" name="product" dataDxfId="64"/>
    <tableColumn id="33" xr3:uid="{72CF6343-93AC-468A-8D20-6176958619BE}" name="primary ingredient(s) / input(s),_x000a_meat alternatives only" dataDxfId="63"/>
    <tableColumn id="32" xr3:uid="{3F7FF6FB-6328-49D9-A19F-B0341540E927}" name="footprint type" dataDxfId="62"/>
    <tableColumn id="5" xr3:uid="{F2C2D3A0-08BE-CC41-98B0-9BC44C1D9968}" name="number of products included" dataDxfId="61"/>
    <tableColumn id="9" xr3:uid="{B8CC9564-9CE2-584A-A351-0E39A0EB4E76}" name="footprint as presented in study" dataDxfId="60"/>
    <tableColumn id="10" xr3:uid="{A217EBAA-1FDD-4D4D-A604-2F4E36DE2C2A}" name="study unit" dataDxfId="59"/>
    <tableColumn id="11" xr3:uid="{CB659E5E-01BB-864F-A6AA-8C269173F0E4}" name="footprint / kg" dataDxfId="58"/>
    <tableColumn id="1" xr3:uid="{35BED0B5-5E03-3145-9726-A530BE62C9AA}" name="value description" dataDxfId="57"/>
    <tableColumn id="14" xr3:uid="{94EEF62E-5804-7943-ACE3-141FCB02A168}" name="lower footprint / kg" dataDxfId="56"/>
    <tableColumn id="15" xr3:uid="{791C86A4-205B-304D-A442-5585052399F5}" name="higher footprint / kg" dataDxfId="55"/>
    <tableColumn id="16" xr3:uid="{ED7DAEA7-27BA-3749-A90C-7FDF1D14B8A2}" name="range description" dataDxfId="54"/>
    <tableColumn id="41" xr3:uid="{8702161E-0C24-7240-81D3-B69750D00FB5}" name="protein as presented in study or label" dataDxfId="53"/>
    <tableColumn id="40" xr3:uid="{13A61D41-6A26-414A-A58E-886057ED849E}" name="protein unit" dataDxfId="52"/>
    <tableColumn id="47" xr3:uid="{CCC1C82E-A584-B04A-913B-7B8636046709}" name="g protein / kg" dataDxfId="51"/>
    <tableColumn id="13" xr3:uid="{79E44D0E-BDDF-874D-A862-43C2100D44A4}" name="footprint / 100 g protein" dataDxfId="50">
      <calculatedColumnFormula>product_footprints[[#This Row],[footprint / kg]]*100/P3</calculatedColumnFormula>
    </tableColumn>
    <tableColumn id="25" xr3:uid="{4393086E-4982-434A-9C90-7A0BC9DA1678}" name="lower footprint / 100 g protein" dataDxfId="49"/>
    <tableColumn id="24" xr3:uid="{3E43C4A8-5128-AC40-9220-C710F6B5F92D}" name="higher footprint / 100 g protein" dataDxfId="48"/>
    <tableColumn id="17" xr3:uid="{70A0CE89-51EF-8948-B47D-D65A6C4FECA4}" name="notes" dataDxfId="4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51A931B-3067-4DF4-AFF0-1E731764CC97}" name="wtd_avg_by_study" displayName="wtd_avg_by_study" ref="A1:F42" tableType="queryTable" totalsRowShown="0" headerRowDxfId="46" dataDxfId="45">
  <autoFilter ref="A1:F42" xr:uid="{48B270B0-5328-4BEA-957A-3ADDAF252B92}"/>
  <sortState xmlns:xlrd2="http://schemas.microsoft.com/office/spreadsheetml/2017/richdata2" ref="A2:F42">
    <sortCondition ref="C1:C42"/>
  </sortState>
  <tableColumns count="6">
    <tableColumn id="2" xr3:uid="{D6F87A33-F38E-4987-BE79-759E9BA130E0}" uniqueName="2" name="study" queryTableFieldId="2" dataDxfId="44"/>
    <tableColumn id="1" xr3:uid="{85062347-6B23-4322-A1CD-211648FC9C9C}" uniqueName="1" name="product type" queryTableFieldId="1" dataDxfId="43"/>
    <tableColumn id="10" xr3:uid="{5EE65328-2434-4183-A9C2-15CDB8F13A56}" uniqueName="10" name="footprint type" queryTableFieldId="10" dataDxfId="42"/>
    <tableColumn id="3" xr3:uid="{AD0D97E3-A1ED-45C6-B27E-7D7E0B1CBA48}" uniqueName="3" name="number of products included" queryTableFieldId="15" dataDxfId="41"/>
    <tableColumn id="8" xr3:uid="{32EE936A-CA65-491B-BB97-E4BCCCAC4BC8}" uniqueName="8" name="wtd avg footprint / kg" queryTableFieldId="8" dataDxfId="40" dataCellStyle="Comma"/>
    <tableColumn id="9" xr3:uid="{DE4DD4A6-6558-4333-9F59-22838BF6CE6E}" uniqueName="9" name="wtd avg footprint / 100 g protein" queryTableFieldId="9" dataDxfId="39" dataCellStyle="Comma"/>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F4EA8C-821D-4CD6-AC7B-6A1CE044F51C}" name="product_categories" displayName="product_categories" ref="A1:B20" totalsRowShown="0" headerRowDxfId="38" dataDxfId="37" tableBorderDxfId="36">
  <autoFilter ref="A1:B20" xr:uid="{528670AA-F068-47F9-A679-2DC2E30C1441}"/>
  <sortState xmlns:xlrd2="http://schemas.microsoft.com/office/spreadsheetml/2017/richdata2" ref="A2:B20">
    <sortCondition ref="A1:A20"/>
  </sortState>
  <tableColumns count="2">
    <tableColumn id="1" xr3:uid="{8A4E6DF5-F77C-4F33-B807-30E1058494D3}" name="product category" dataDxfId="35"/>
    <tableColumn id="2" xr3:uid="{6404E36E-522D-4CF5-A932-6F4B17A58C74}" name="product type" dataDxfId="3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C412716-1E70-4D5F-B499-04D3A8FE06F5}" name="agg_footprints" displayName="agg_footprints" ref="A1:N29" totalsRowShown="0" headerRowDxfId="33" dataDxfId="32">
  <autoFilter ref="A1:N29" xr:uid="{B09C80D4-8AC8-4976-A617-BB2D0F660CD1}"/>
  <sortState xmlns:xlrd2="http://schemas.microsoft.com/office/spreadsheetml/2017/richdata2" ref="A2:N29">
    <sortCondition ref="A1:A29"/>
  </sortState>
  <tableColumns count="14">
    <tableColumn id="3" xr3:uid="{1445D5E9-723A-4779-855F-1B353797A872}" name="study" dataDxfId="31"/>
    <tableColumn id="1" xr3:uid="{70BACDBA-A306-4EE7-B024-DAA403F096D8}" name="product type" dataDxfId="30"/>
    <tableColumn id="2" xr3:uid="{AAD29A9D-8206-4D0F-A882-11ED42D223F7}" name="footprint type" dataDxfId="29"/>
    <tableColumn id="9" xr3:uid="{4AFC9174-8FB6-4006-918F-49AC126292BC}" name="number of observations" dataDxfId="28"/>
    <tableColumn id="10" xr3:uid="{907B4397-960F-4D0A-A43C-47FFFA8672B9}" name="avg footprint / kg" dataDxfId="27" dataCellStyle="Comma"/>
    <tableColumn id="11" xr3:uid="{E441B64C-A5AB-462E-A85A-9EBCDCB9EA77}" name="median footprint / kg" dataDxfId="26" dataCellStyle="Comma"/>
    <tableColumn id="12" xr3:uid="{51959D57-6C07-4A17-9151-A9B3F8B5EB98}" name="lower footprint / kg" dataDxfId="25" dataCellStyle="Comma"/>
    <tableColumn id="13" xr3:uid="{706FF6B9-F2EC-4D2C-8869-DDFEE6A142C0}" name="higher footprint / kg" dataDxfId="24" dataCellStyle="Comma"/>
    <tableColumn id="14" xr3:uid="{E3629C1A-25E7-46CA-B096-060F2D439E65}" name="range description" dataDxfId="23"/>
    <tableColumn id="15" xr3:uid="{CA814947-8D45-4D20-8E73-D3BF0172C93F}" name="avg footprint / 100 g protein" dataDxfId="22" dataCellStyle="Comma"/>
    <tableColumn id="16" xr3:uid="{826E2807-DAD5-4E53-ABF0-138146F0C456}" name="median footprint / 100 g protein" dataDxfId="21" dataCellStyle="Comma"/>
    <tableColumn id="17" xr3:uid="{3E7AE43B-7807-406E-9C07-3E1C534F5251}" name="lower footprint / 100 g protein" dataDxfId="20" dataCellStyle="Comma"/>
    <tableColumn id="18" xr3:uid="{613B8EFF-748A-4C42-A4DD-6503B6313235}" name="higher footprint / 100 g protein" dataDxfId="19" dataCellStyle="Comma"/>
    <tableColumn id="4" xr3:uid="{47F13D02-8557-409B-B5D3-534F5DE78D81}" name="note" dataDxfId="1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1F9AF05-670B-417B-B74C-C25433823ADF}" name="avg_by_product_type" displayName="avg_by_product_type" ref="A1:P39" tableType="queryTable" totalsRowShown="0" headerRowDxfId="17" dataDxfId="16">
  <autoFilter ref="A1:P39" xr:uid="{5DE5D0E3-20AA-4221-95A7-E57FD4FB6158}"/>
  <sortState xmlns:xlrd2="http://schemas.microsoft.com/office/spreadsheetml/2017/richdata2" ref="A2:P39">
    <sortCondition ref="B1:B39"/>
  </sortState>
  <tableColumns count="16">
    <tableColumn id="12" xr3:uid="{66C9A77F-4EE2-4C4B-95F5-466BD842D84A}" uniqueName="12" name="study" queryTableFieldId="16" dataDxfId="15"/>
    <tableColumn id="15" xr3:uid="{A48EDC2F-A30F-4357-B136-410D071D8575}" uniqueName="15" name="product category" queryTableFieldId="25" dataDxfId="14"/>
    <tableColumn id="1" xr3:uid="{3D3E0188-FE67-4171-AAE1-D601AE7669AA}" uniqueName="1" name="product type" queryTableFieldId="1" dataDxfId="13"/>
    <tableColumn id="13" xr3:uid="{45BA3F37-D750-4B35-BEA6-F3CDD3862222}" uniqueName="13" name="footprint type" queryTableFieldId="18" dataDxfId="12"/>
    <tableColumn id="11" xr3:uid="{150A098C-0714-478C-9ADE-7E8BF0F8FF0B}" uniqueName="11" name="number of studies" queryTableFieldId="14" dataDxfId="11"/>
    <tableColumn id="2" xr3:uid="{E4D79C4B-7AD6-4B01-92DC-B6E6AFF2A53B}" uniqueName="2" name="number of observations" queryTableFieldId="27" dataDxfId="10"/>
    <tableColumn id="3" xr3:uid="{8BD93C3B-C909-4CE0-B87E-ACB3394F0B74}" uniqueName="3" name="avg footprint / kg" queryTableFieldId="3" dataDxfId="9" dataCellStyle="Comma"/>
    <tableColumn id="4" xr3:uid="{638ABEDC-E0C3-43D7-9CBD-FDA057883473}" uniqueName="4" name="median footprint / kg" queryTableFieldId="4" dataDxfId="8" dataCellStyle="Comma"/>
    <tableColumn id="5" xr3:uid="{152B2D84-DEA9-417E-9969-A2C22B3A1CFE}" uniqueName="5" name="lower footprint / kg" queryTableFieldId="28" dataDxfId="7" dataCellStyle="Comma"/>
    <tableColumn id="6" xr3:uid="{13A4111D-D382-4D4B-B12A-8F79114D25B0}" uniqueName="6" name="higher footprint / kg" queryTableFieldId="29" dataDxfId="6" dataCellStyle="Comma"/>
    <tableColumn id="14" xr3:uid="{030B0B5F-68B0-46D6-9F01-2F029C97E509}" uniqueName="14" name="range description" queryTableFieldId="21" dataDxfId="5"/>
    <tableColumn id="9" xr3:uid="{26345D22-F966-40F5-BF20-FADF961316A2}" uniqueName="9" name="avg footprint / 100 g protein" queryTableFieldId="9" dataDxfId="4" dataCellStyle="Comma"/>
    <tableColumn id="10" xr3:uid="{9015F12E-3958-4602-B721-2EFF66ED587F}" uniqueName="10" name="median footprint / 100 g protein" queryTableFieldId="10" dataDxfId="3" dataCellStyle="Comma"/>
    <tableColumn id="7" xr3:uid="{A5C43FAB-4FE7-4C4D-87FE-8FF27786BA77}" uniqueName="7" name="lower footprint / 100 g protein" queryTableFieldId="30" dataDxfId="2" dataCellStyle="Comma"/>
    <tableColumn id="16" xr3:uid="{3F214B7C-5CA6-43C0-832F-92C1D00F1BB1}" uniqueName="16" name="higher footprint / 100 g protein" queryTableFieldId="32" dataDxfId="1" dataCellStyle="Comma"/>
    <tableColumn id="8" xr3:uid="{824B1C22-CF69-4537-BF7A-34AA10076C33}" uniqueName="8" name="note" queryTableFieldId="31"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2F45D-EE9B-4991-9237-042A71635593}">
  <dimension ref="A1:B15"/>
  <sheetViews>
    <sheetView tabSelected="1" workbookViewId="0">
      <selection activeCell="B28" sqref="B28"/>
    </sheetView>
  </sheetViews>
  <sheetFormatPr defaultRowHeight="15.75" x14ac:dyDescent="0.25"/>
  <cols>
    <col min="1" max="1" width="16.875" customWidth="1"/>
    <col min="2" max="2" width="117.75" customWidth="1"/>
  </cols>
  <sheetData>
    <row r="1" spans="1:2" x14ac:dyDescent="0.25">
      <c r="A1" s="48" t="s">
        <v>177</v>
      </c>
    </row>
    <row r="2" spans="1:2" x14ac:dyDescent="0.25">
      <c r="A2" s="41" t="s">
        <v>173</v>
      </c>
      <c r="B2" s="1" t="s">
        <v>176</v>
      </c>
    </row>
    <row r="3" spans="1:2" x14ac:dyDescent="0.25">
      <c r="A3" s="42" t="s">
        <v>174</v>
      </c>
      <c r="B3" s="1" t="s">
        <v>175</v>
      </c>
    </row>
    <row r="5" spans="1:2" x14ac:dyDescent="0.25">
      <c r="A5" s="46" t="s">
        <v>179</v>
      </c>
      <c r="B5" s="47" t="s">
        <v>170</v>
      </c>
    </row>
    <row r="6" spans="1:2" x14ac:dyDescent="0.25">
      <c r="A6" s="50" t="s">
        <v>166</v>
      </c>
      <c r="B6" s="51" t="s">
        <v>171</v>
      </c>
    </row>
    <row r="7" spans="1:2" x14ac:dyDescent="0.25">
      <c r="A7" s="50" t="s">
        <v>167</v>
      </c>
      <c r="B7" s="51" t="s">
        <v>172</v>
      </c>
    </row>
    <row r="8" spans="1:2" x14ac:dyDescent="0.25">
      <c r="A8" s="50" t="s">
        <v>264</v>
      </c>
      <c r="B8" s="51" t="s">
        <v>266</v>
      </c>
    </row>
    <row r="9" spans="1:2" x14ac:dyDescent="0.25">
      <c r="A9" s="50" t="s">
        <v>265</v>
      </c>
      <c r="B9" s="51" t="s">
        <v>267</v>
      </c>
    </row>
    <row r="10" spans="1:2" x14ac:dyDescent="0.25">
      <c r="A10" s="52" t="s">
        <v>168</v>
      </c>
      <c r="B10" s="51" t="s">
        <v>197</v>
      </c>
    </row>
    <row r="11" spans="1:2" x14ac:dyDescent="0.25">
      <c r="A11" s="52" t="s">
        <v>169</v>
      </c>
      <c r="B11" s="51" t="s">
        <v>241</v>
      </c>
    </row>
    <row r="12" spans="1:2" s="45" customFormat="1" x14ac:dyDescent="0.25">
      <c r="A12" s="44"/>
      <c r="B12" s="44"/>
    </row>
    <row r="13" spans="1:2" x14ac:dyDescent="0.25">
      <c r="A13" s="49" t="s">
        <v>178</v>
      </c>
    </row>
    <row r="14" spans="1:2" x14ac:dyDescent="0.25">
      <c r="A14" s="45"/>
    </row>
    <row r="15" spans="1:2" x14ac:dyDescent="0.25">
      <c r="A15" s="4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13F90-A1C3-405D-B33F-F97938DD9D89}">
  <sheetPr>
    <tabColor theme="4"/>
  </sheetPr>
  <dimension ref="A1:H24"/>
  <sheetViews>
    <sheetView workbookViewId="0">
      <selection activeCell="B32" sqref="B32"/>
    </sheetView>
  </sheetViews>
  <sheetFormatPr defaultRowHeight="12.75" x14ac:dyDescent="0.2"/>
  <cols>
    <col min="1" max="1" width="26.625" style="1" bestFit="1" customWidth="1"/>
    <col min="2" max="2" width="32.375" style="1" bestFit="1" customWidth="1"/>
    <col min="3" max="3" width="15.375" style="1" bestFit="1" customWidth="1"/>
    <col min="4" max="4" width="12.5" style="1" bestFit="1" customWidth="1"/>
    <col min="5" max="5" width="11.875" style="1" bestFit="1" customWidth="1"/>
    <col min="6" max="6" width="11.5" style="1" bestFit="1" customWidth="1"/>
    <col min="7" max="7" width="16" style="1" bestFit="1" customWidth="1"/>
    <col min="8" max="8" width="250.625" style="1" customWidth="1"/>
    <col min="9" max="16384" width="9" style="1"/>
  </cols>
  <sheetData>
    <row r="1" spans="1:8" x14ac:dyDescent="0.2">
      <c r="D1" s="77" t="s">
        <v>165</v>
      </c>
      <c r="E1" s="78"/>
      <c r="F1" s="78"/>
      <c r="G1" s="79"/>
    </row>
    <row r="2" spans="1:8" x14ac:dyDescent="0.2">
      <c r="A2" s="1" t="s">
        <v>104</v>
      </c>
      <c r="B2" s="1" t="s">
        <v>103</v>
      </c>
      <c r="C2" s="1" t="s">
        <v>117</v>
      </c>
      <c r="D2" s="39" t="s">
        <v>106</v>
      </c>
      <c r="E2" s="3" t="s">
        <v>107</v>
      </c>
      <c r="F2" s="3" t="s">
        <v>108</v>
      </c>
      <c r="G2" s="26" t="s">
        <v>109</v>
      </c>
      <c r="H2" s="1" t="s">
        <v>119</v>
      </c>
    </row>
    <row r="3" spans="1:8" x14ac:dyDescent="0.2">
      <c r="A3" s="2" t="s">
        <v>97</v>
      </c>
      <c r="B3" s="2" t="s">
        <v>51</v>
      </c>
      <c r="C3" s="2" t="s">
        <v>100</v>
      </c>
      <c r="D3" s="40" t="s">
        <v>100</v>
      </c>
      <c r="E3" s="37" t="s">
        <v>100</v>
      </c>
      <c r="F3" s="37"/>
      <c r="G3" s="38"/>
      <c r="H3" s="2" t="s">
        <v>96</v>
      </c>
    </row>
    <row r="4" spans="1:8" x14ac:dyDescent="0.2">
      <c r="A4" s="2" t="s">
        <v>245</v>
      </c>
      <c r="B4" s="2" t="s">
        <v>54</v>
      </c>
      <c r="C4" s="2" t="s">
        <v>101</v>
      </c>
      <c r="D4" s="40" t="s">
        <v>100</v>
      </c>
      <c r="E4" s="37" t="s">
        <v>100</v>
      </c>
      <c r="F4" s="37"/>
      <c r="G4" s="38"/>
      <c r="H4" s="2" t="s">
        <v>84</v>
      </c>
    </row>
    <row r="5" spans="1:8" x14ac:dyDescent="0.2">
      <c r="A5" s="2" t="s">
        <v>246</v>
      </c>
      <c r="B5" s="2" t="s">
        <v>54</v>
      </c>
      <c r="C5" s="2" t="s">
        <v>101</v>
      </c>
      <c r="D5" s="40" t="s">
        <v>100</v>
      </c>
      <c r="E5" s="37" t="s">
        <v>100</v>
      </c>
      <c r="F5" s="37"/>
      <c r="G5" s="38"/>
      <c r="H5" s="74" t="s">
        <v>80</v>
      </c>
    </row>
    <row r="6" spans="1:8" x14ac:dyDescent="0.2">
      <c r="A6" s="2" t="s">
        <v>263</v>
      </c>
      <c r="B6" s="2" t="s">
        <v>54</v>
      </c>
      <c r="C6" s="2" t="s">
        <v>100</v>
      </c>
      <c r="D6" s="40" t="s">
        <v>100</v>
      </c>
      <c r="E6" s="37" t="s">
        <v>100</v>
      </c>
      <c r="F6" s="37" t="s">
        <v>100</v>
      </c>
      <c r="G6" s="38"/>
      <c r="H6" s="74" t="s">
        <v>89</v>
      </c>
    </row>
    <row r="7" spans="1:8" x14ac:dyDescent="0.2">
      <c r="A7" s="2" t="s">
        <v>247</v>
      </c>
      <c r="B7" s="2" t="s">
        <v>54</v>
      </c>
      <c r="C7" s="2" t="s">
        <v>100</v>
      </c>
      <c r="D7" s="40" t="s">
        <v>100</v>
      </c>
      <c r="E7" s="37" t="s">
        <v>100</v>
      </c>
      <c r="F7" s="37"/>
      <c r="G7" s="38"/>
      <c r="H7" s="74" t="s">
        <v>85</v>
      </c>
    </row>
    <row r="8" spans="1:8" x14ac:dyDescent="0.2">
      <c r="A8" s="2" t="s">
        <v>93</v>
      </c>
      <c r="B8" s="2" t="s">
        <v>50</v>
      </c>
      <c r="C8" s="2" t="s">
        <v>100</v>
      </c>
      <c r="D8" s="40" t="s">
        <v>100</v>
      </c>
      <c r="E8" s="37" t="s">
        <v>100</v>
      </c>
      <c r="F8" s="37"/>
      <c r="G8" s="38"/>
      <c r="H8" s="74" t="s">
        <v>91</v>
      </c>
    </row>
    <row r="9" spans="1:8" x14ac:dyDescent="0.2">
      <c r="A9" s="2" t="s">
        <v>248</v>
      </c>
      <c r="B9" s="2" t="s">
        <v>54</v>
      </c>
      <c r="C9" s="2" t="s">
        <v>101</v>
      </c>
      <c r="D9" s="40" t="s">
        <v>100</v>
      </c>
      <c r="E9" s="37" t="s">
        <v>100</v>
      </c>
      <c r="F9" s="37"/>
      <c r="G9" s="38"/>
      <c r="H9" s="74" t="s">
        <v>83</v>
      </c>
    </row>
    <row r="10" spans="1:8" x14ac:dyDescent="0.2">
      <c r="A10" s="2" t="s">
        <v>3</v>
      </c>
      <c r="B10" s="2" t="s">
        <v>54</v>
      </c>
      <c r="C10" s="2" t="s">
        <v>101</v>
      </c>
      <c r="D10" s="40" t="s">
        <v>100</v>
      </c>
      <c r="E10" s="37" t="s">
        <v>100</v>
      </c>
      <c r="F10" s="37"/>
      <c r="G10" s="38"/>
      <c r="H10" s="74" t="s">
        <v>87</v>
      </c>
    </row>
    <row r="11" spans="1:8" x14ac:dyDescent="0.2">
      <c r="A11" s="2" t="s">
        <v>249</v>
      </c>
      <c r="B11" s="2" t="s">
        <v>54</v>
      </c>
      <c r="C11" s="2" t="s">
        <v>101</v>
      </c>
      <c r="D11" s="40" t="s">
        <v>100</v>
      </c>
      <c r="E11" s="37" t="s">
        <v>100</v>
      </c>
      <c r="F11" s="37"/>
      <c r="G11" s="38"/>
      <c r="H11" s="74" t="s">
        <v>86</v>
      </c>
    </row>
    <row r="12" spans="1:8" x14ac:dyDescent="0.2">
      <c r="A12" s="37" t="s">
        <v>234</v>
      </c>
      <c r="B12" s="2" t="s">
        <v>254</v>
      </c>
      <c r="C12" s="2" t="s">
        <v>100</v>
      </c>
      <c r="D12" s="40" t="s">
        <v>100</v>
      </c>
      <c r="E12" s="2"/>
      <c r="F12" s="2"/>
      <c r="G12" s="38"/>
      <c r="H12" s="74" t="s">
        <v>258</v>
      </c>
    </row>
    <row r="13" spans="1:8" x14ac:dyDescent="0.2">
      <c r="A13" s="2" t="s">
        <v>250</v>
      </c>
      <c r="B13" s="2" t="s">
        <v>53</v>
      </c>
      <c r="C13" s="2" t="s">
        <v>100</v>
      </c>
      <c r="D13" s="40" t="s">
        <v>100</v>
      </c>
      <c r="E13" s="37" t="s">
        <v>100</v>
      </c>
      <c r="F13" s="37"/>
      <c r="G13" s="38"/>
      <c r="H13" s="74" t="s">
        <v>90</v>
      </c>
    </row>
    <row r="14" spans="1:8" x14ac:dyDescent="0.2">
      <c r="A14" s="2" t="s">
        <v>95</v>
      </c>
      <c r="B14" s="2" t="s">
        <v>50</v>
      </c>
      <c r="C14" s="2" t="s">
        <v>100</v>
      </c>
      <c r="D14" s="40" t="s">
        <v>100</v>
      </c>
      <c r="E14" s="37" t="s">
        <v>100</v>
      </c>
      <c r="F14" s="37"/>
      <c r="G14" s="38"/>
      <c r="H14" s="74" t="s">
        <v>242</v>
      </c>
    </row>
    <row r="15" spans="1:8" x14ac:dyDescent="0.2">
      <c r="A15" s="2" t="s">
        <v>94</v>
      </c>
      <c r="B15" s="2" t="s">
        <v>50</v>
      </c>
      <c r="C15" s="2" t="s">
        <v>100</v>
      </c>
      <c r="D15" s="61" t="s">
        <v>100</v>
      </c>
      <c r="E15" s="37"/>
      <c r="F15" s="37"/>
      <c r="G15" s="38"/>
      <c r="H15" s="74" t="s">
        <v>92</v>
      </c>
    </row>
    <row r="16" spans="1:8" x14ac:dyDescent="0.2">
      <c r="A16" s="37" t="s">
        <v>48</v>
      </c>
      <c r="B16" s="2" t="s">
        <v>164</v>
      </c>
      <c r="C16" s="2" t="s">
        <v>100</v>
      </c>
      <c r="D16" s="40" t="s">
        <v>100</v>
      </c>
      <c r="E16" s="37" t="s">
        <v>100</v>
      </c>
      <c r="F16" s="37"/>
      <c r="G16" s="38"/>
      <c r="H16" s="74" t="s">
        <v>243</v>
      </c>
    </row>
    <row r="17" spans="1:8" x14ac:dyDescent="0.2">
      <c r="A17" s="2" t="s">
        <v>8</v>
      </c>
      <c r="B17" s="2" t="s">
        <v>54</v>
      </c>
      <c r="C17" s="2" t="s">
        <v>101</v>
      </c>
      <c r="D17" s="40" t="s">
        <v>100</v>
      </c>
      <c r="E17" s="37" t="s">
        <v>100</v>
      </c>
      <c r="F17" s="37" t="s">
        <v>100</v>
      </c>
      <c r="G17" s="38"/>
      <c r="H17" s="74" t="s">
        <v>81</v>
      </c>
    </row>
    <row r="18" spans="1:8" x14ac:dyDescent="0.2">
      <c r="A18" s="2" t="s">
        <v>251</v>
      </c>
      <c r="B18" s="2" t="s">
        <v>54</v>
      </c>
      <c r="C18" s="2" t="s">
        <v>100</v>
      </c>
      <c r="D18" s="40" t="s">
        <v>100</v>
      </c>
      <c r="E18" s="37" t="s">
        <v>100</v>
      </c>
      <c r="F18" s="37" t="s">
        <v>100</v>
      </c>
      <c r="G18" s="38" t="s">
        <v>100</v>
      </c>
      <c r="H18" s="74" t="s">
        <v>79</v>
      </c>
    </row>
    <row r="19" spans="1:8" x14ac:dyDescent="0.2">
      <c r="A19" s="2" t="s">
        <v>252</v>
      </c>
      <c r="B19" s="2" t="s">
        <v>53</v>
      </c>
      <c r="C19" s="2" t="s">
        <v>100</v>
      </c>
      <c r="D19" s="40" t="s">
        <v>100</v>
      </c>
      <c r="E19" s="37" t="s">
        <v>100</v>
      </c>
      <c r="F19" s="37" t="s">
        <v>100</v>
      </c>
      <c r="G19" s="38" t="s">
        <v>100</v>
      </c>
      <c r="H19" s="2" t="s">
        <v>82</v>
      </c>
    </row>
    <row r="20" spans="1:8" x14ac:dyDescent="0.2">
      <c r="A20" s="2" t="s">
        <v>252</v>
      </c>
      <c r="B20" s="2" t="s">
        <v>54</v>
      </c>
      <c r="C20" s="2" t="s">
        <v>100</v>
      </c>
      <c r="D20" s="40" t="s">
        <v>100</v>
      </c>
      <c r="E20" s="37" t="s">
        <v>100</v>
      </c>
      <c r="F20" s="37" t="s">
        <v>100</v>
      </c>
      <c r="G20" s="38" t="s">
        <v>100</v>
      </c>
      <c r="H20" s="2" t="s">
        <v>82</v>
      </c>
    </row>
    <row r="21" spans="1:8" x14ac:dyDescent="0.2">
      <c r="A21" s="2" t="s">
        <v>0</v>
      </c>
      <c r="B21" s="2" t="s">
        <v>53</v>
      </c>
      <c r="C21" s="2" t="s">
        <v>100</v>
      </c>
      <c r="D21" s="40" t="s">
        <v>100</v>
      </c>
      <c r="E21" s="37" t="s">
        <v>100</v>
      </c>
      <c r="F21" s="37"/>
      <c r="G21" s="38"/>
      <c r="H21" s="2" t="s">
        <v>88</v>
      </c>
    </row>
    <row r="22" spans="1:8" x14ac:dyDescent="0.2">
      <c r="A22" s="2" t="s">
        <v>253</v>
      </c>
      <c r="B22" s="2" t="s">
        <v>53</v>
      </c>
      <c r="C22" s="2" t="s">
        <v>101</v>
      </c>
      <c r="D22" s="40" t="s">
        <v>100</v>
      </c>
      <c r="E22" s="37" t="s">
        <v>100</v>
      </c>
      <c r="F22" s="37"/>
      <c r="G22" s="38"/>
      <c r="H22" s="2" t="s">
        <v>73</v>
      </c>
    </row>
    <row r="23" spans="1:8" x14ac:dyDescent="0.2">
      <c r="A23" s="2" t="s">
        <v>99</v>
      </c>
      <c r="B23" s="2" t="s">
        <v>51</v>
      </c>
      <c r="C23" s="2" t="s">
        <v>100</v>
      </c>
      <c r="D23" s="40" t="s">
        <v>100</v>
      </c>
      <c r="E23" s="37" t="s">
        <v>100</v>
      </c>
      <c r="F23" s="37"/>
      <c r="G23" s="38"/>
      <c r="H23" s="2" t="s">
        <v>98</v>
      </c>
    </row>
    <row r="24" spans="1:8" x14ac:dyDescent="0.2">
      <c r="A24" s="12" t="s">
        <v>256</v>
      </c>
      <c r="B24" s="2" t="s">
        <v>54</v>
      </c>
      <c r="C24" s="2" t="s">
        <v>100</v>
      </c>
      <c r="D24" s="40" t="s">
        <v>100</v>
      </c>
      <c r="E24" s="37" t="s">
        <v>100</v>
      </c>
      <c r="F24" s="37" t="s">
        <v>100</v>
      </c>
      <c r="G24" s="38" t="s">
        <v>100</v>
      </c>
      <c r="H24" s="75" t="s">
        <v>257</v>
      </c>
    </row>
  </sheetData>
  <mergeCells count="1">
    <mergeCell ref="D1:G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1334D-3EFC-4A48-8A41-AD775AF1A692}">
  <sheetPr>
    <tabColor theme="4"/>
  </sheetPr>
  <dimension ref="A1:T98"/>
  <sheetViews>
    <sheetView zoomScaleNormal="100" workbookViewId="0">
      <selection activeCell="E36" sqref="E36"/>
    </sheetView>
  </sheetViews>
  <sheetFormatPr defaultColWidth="11" defaultRowHeight="15" customHeight="1" x14ac:dyDescent="0.2"/>
  <cols>
    <col min="1" max="1" width="31.875" style="3" customWidth="1"/>
    <col min="2" max="2" width="25.625" style="3" customWidth="1"/>
    <col min="3" max="3" width="20.875" style="3" customWidth="1"/>
    <col min="4" max="4" width="34.5" style="3" customWidth="1"/>
    <col min="5" max="8" width="15.625" style="3" customWidth="1"/>
    <col min="9" max="9" width="13.75" style="3" customWidth="1"/>
    <col min="10" max="10" width="20.625" style="3" customWidth="1"/>
    <col min="11" max="12" width="12.625" style="3" customWidth="1"/>
    <col min="13" max="13" width="20.625" style="11" customWidth="1"/>
    <col min="14" max="14" width="15.625" style="11" customWidth="1"/>
    <col min="15" max="15" width="20.625" style="3" customWidth="1"/>
    <col min="16" max="17" width="12.625" style="13" customWidth="1"/>
    <col min="18" max="19" width="12.625" style="11" customWidth="1"/>
    <col min="20" max="20" width="100.625" style="4" customWidth="1"/>
    <col min="21" max="21" width="38.625" style="3" customWidth="1"/>
    <col min="22" max="16384" width="11" style="3"/>
  </cols>
  <sheetData>
    <row r="1" spans="1:20" ht="15" customHeight="1" x14ac:dyDescent="0.2">
      <c r="E1" s="26"/>
      <c r="G1" s="77" t="s">
        <v>154</v>
      </c>
      <c r="H1" s="78"/>
      <c r="I1" s="78"/>
      <c r="J1" s="78"/>
      <c r="K1" s="78"/>
      <c r="L1" s="78"/>
      <c r="M1" s="79"/>
      <c r="N1" s="80" t="s">
        <v>153</v>
      </c>
      <c r="O1" s="81"/>
      <c r="P1" s="81"/>
      <c r="Q1" s="81"/>
      <c r="R1" s="81"/>
      <c r="S1" s="82"/>
    </row>
    <row r="2" spans="1:20" s="6" customFormat="1" ht="27.95" customHeight="1" x14ac:dyDescent="0.2">
      <c r="A2" s="6" t="s">
        <v>104</v>
      </c>
      <c r="B2" s="6" t="s">
        <v>103</v>
      </c>
      <c r="C2" s="6" t="s">
        <v>105</v>
      </c>
      <c r="D2" s="62" t="s">
        <v>229</v>
      </c>
      <c r="E2" s="6" t="s">
        <v>163</v>
      </c>
      <c r="F2" s="27" t="s">
        <v>118</v>
      </c>
      <c r="G2" s="8" t="s">
        <v>152</v>
      </c>
      <c r="H2" s="6" t="s">
        <v>123</v>
      </c>
      <c r="I2" s="7" t="s">
        <v>154</v>
      </c>
      <c r="J2" s="8" t="s">
        <v>124</v>
      </c>
      <c r="K2" s="8" t="s">
        <v>206</v>
      </c>
      <c r="L2" s="8" t="s">
        <v>207</v>
      </c>
      <c r="M2" s="27" t="s">
        <v>125</v>
      </c>
      <c r="N2" s="6" t="s">
        <v>126</v>
      </c>
      <c r="O2" s="6" t="s">
        <v>127</v>
      </c>
      <c r="P2" s="8" t="s">
        <v>131</v>
      </c>
      <c r="Q2" s="7" t="s">
        <v>153</v>
      </c>
      <c r="R2" s="8" t="s">
        <v>204</v>
      </c>
      <c r="S2" s="32" t="s">
        <v>205</v>
      </c>
      <c r="T2" s="9" t="s">
        <v>6</v>
      </c>
    </row>
    <row r="3" spans="1:20" s="12" customFormat="1" ht="15" customHeight="1" x14ac:dyDescent="0.2">
      <c r="A3" s="23" t="s">
        <v>97</v>
      </c>
      <c r="B3" s="12" t="s">
        <v>51</v>
      </c>
      <c r="C3" s="12" t="s">
        <v>56</v>
      </c>
      <c r="D3" s="23" t="s">
        <v>39</v>
      </c>
      <c r="E3" s="23" t="s">
        <v>130</v>
      </c>
      <c r="F3" s="36">
        <v>1</v>
      </c>
      <c r="G3" s="11">
        <v>3.7</v>
      </c>
      <c r="H3" s="12" t="s">
        <v>120</v>
      </c>
      <c r="I3" s="15">
        <v>3.7</v>
      </c>
      <c r="J3" s="14" t="s">
        <v>55</v>
      </c>
      <c r="K3" s="25"/>
      <c r="L3" s="25"/>
      <c r="M3" s="30" t="s">
        <v>39</v>
      </c>
      <c r="N3" s="20">
        <v>265</v>
      </c>
      <c r="O3" s="19" t="s">
        <v>145</v>
      </c>
      <c r="P3" s="15">
        <f>product_footprints[[#This Row],[protein as presented in study or label]]</f>
        <v>265</v>
      </c>
      <c r="Q3" s="15">
        <f>product_footprints[[#This Row],[footprint / kg]]*100/P3</f>
        <v>1.3962264150943395</v>
      </c>
      <c r="R3" s="23"/>
      <c r="S3" s="36"/>
      <c r="T3" s="9" t="s">
        <v>72</v>
      </c>
    </row>
    <row r="4" spans="1:20" s="12" customFormat="1" ht="15" customHeight="1" x14ac:dyDescent="0.2">
      <c r="A4" s="23" t="s">
        <v>97</v>
      </c>
      <c r="B4" s="12" t="s">
        <v>51</v>
      </c>
      <c r="C4" s="12" t="s">
        <v>57</v>
      </c>
      <c r="D4" s="23" t="s">
        <v>39</v>
      </c>
      <c r="E4" s="23" t="s">
        <v>130</v>
      </c>
      <c r="F4" s="36">
        <v>1</v>
      </c>
      <c r="G4" s="11">
        <v>2.7</v>
      </c>
      <c r="H4" s="12" t="s">
        <v>120</v>
      </c>
      <c r="I4" s="15">
        <v>2.7</v>
      </c>
      <c r="J4" s="14" t="s">
        <v>55</v>
      </c>
      <c r="K4" s="25"/>
      <c r="L4" s="25"/>
      <c r="M4" s="30" t="s">
        <v>39</v>
      </c>
      <c r="N4" s="20" t="s">
        <v>70</v>
      </c>
      <c r="O4" s="19" t="s">
        <v>145</v>
      </c>
      <c r="P4" s="15">
        <f>AVERAGE(282,292)</f>
        <v>287</v>
      </c>
      <c r="Q4" s="15">
        <f>product_footprints[[#This Row],[footprint / kg]]*100/P4</f>
        <v>0.94076655052264813</v>
      </c>
      <c r="R4" s="24">
        <f>product_footprints[[#This Row],[footprint / kg]]*100/292</f>
        <v>0.92465753424657537</v>
      </c>
      <c r="S4" s="35">
        <f>product_footprints[[#This Row],[footprint / kg]]*100/282</f>
        <v>0.95744680851063835</v>
      </c>
      <c r="T4" s="9" t="s">
        <v>71</v>
      </c>
    </row>
    <row r="5" spans="1:20" s="12" customFormat="1" ht="15" customHeight="1" x14ac:dyDescent="0.2">
      <c r="A5" s="12" t="s">
        <v>245</v>
      </c>
      <c r="B5" s="12" t="s">
        <v>54</v>
      </c>
      <c r="C5" s="12" t="s">
        <v>7</v>
      </c>
      <c r="D5" s="70" t="s">
        <v>225</v>
      </c>
      <c r="E5" s="23" t="s">
        <v>130</v>
      </c>
      <c r="F5" s="71">
        <v>1</v>
      </c>
      <c r="G5" s="15">
        <v>2240</v>
      </c>
      <c r="H5" s="12" t="s">
        <v>133</v>
      </c>
      <c r="I5" s="15">
        <f>product_footprints[[#This Row],[footprint as presented in study]]/1000</f>
        <v>2.2400000000000002</v>
      </c>
      <c r="J5" s="14" t="s">
        <v>55</v>
      </c>
      <c r="K5" s="17"/>
      <c r="L5" s="17"/>
      <c r="M5" s="31" t="s">
        <v>39</v>
      </c>
      <c r="N5" s="10">
        <v>10</v>
      </c>
      <c r="O5" s="9" t="s">
        <v>214</v>
      </c>
      <c r="P5" s="15">
        <f>product_footprints[[#This Row],[protein as presented in study or label]]*10</f>
        <v>100</v>
      </c>
      <c r="Q5" s="11">
        <f>product_footprints[[#This Row],[footprint / kg]]*100/P5</f>
        <v>2.2400000000000002</v>
      </c>
      <c r="R5" s="17"/>
      <c r="S5" s="33"/>
      <c r="T5" s="9" t="s">
        <v>216</v>
      </c>
    </row>
    <row r="6" spans="1:20" s="12" customFormat="1" ht="15" customHeight="1" x14ac:dyDescent="0.2">
      <c r="A6" s="12" t="s">
        <v>245</v>
      </c>
      <c r="B6" s="12" t="s">
        <v>54</v>
      </c>
      <c r="C6" s="12" t="s">
        <v>7</v>
      </c>
      <c r="D6" s="70" t="s">
        <v>225</v>
      </c>
      <c r="E6" s="23" t="s">
        <v>144</v>
      </c>
      <c r="F6" s="71">
        <v>1</v>
      </c>
      <c r="G6" s="11">
        <v>1140</v>
      </c>
      <c r="H6" s="9" t="s">
        <v>141</v>
      </c>
      <c r="I6" s="11">
        <f>product_footprints[[#This Row],[footprint as presented in study]]/1000</f>
        <v>1.1399999999999999</v>
      </c>
      <c r="J6" s="14" t="s">
        <v>55</v>
      </c>
      <c r="K6" s="25"/>
      <c r="L6" s="25"/>
      <c r="M6" s="29" t="s">
        <v>39</v>
      </c>
      <c r="N6" s="10">
        <v>10</v>
      </c>
      <c r="O6" s="9" t="s">
        <v>214</v>
      </c>
      <c r="P6" s="15">
        <f>product_footprints[[#This Row],[protein as presented in study or label]]*10</f>
        <v>100</v>
      </c>
      <c r="Q6" s="15">
        <f>product_footprints[[#This Row],[footprint / kg]]*100/product_footprints[[#This Row],[g protein / kg]]</f>
        <v>1.1399999999999999</v>
      </c>
      <c r="R6" s="25"/>
      <c r="S6" s="34"/>
      <c r="T6" s="9" t="s">
        <v>216</v>
      </c>
    </row>
    <row r="7" spans="1:20" s="12" customFormat="1" ht="15" customHeight="1" x14ac:dyDescent="0.2">
      <c r="A7" s="12" t="s">
        <v>246</v>
      </c>
      <c r="B7" s="12" t="s">
        <v>54</v>
      </c>
      <c r="C7" s="12" t="s">
        <v>32</v>
      </c>
      <c r="D7" s="70" t="s">
        <v>219</v>
      </c>
      <c r="E7" s="23" t="s">
        <v>130</v>
      </c>
      <c r="F7" s="71">
        <v>1</v>
      </c>
      <c r="G7" s="11">
        <f>0.362*(0.19+0.25)</f>
        <v>0.15928</v>
      </c>
      <c r="H7" s="12" t="s">
        <v>134</v>
      </c>
      <c r="I7" s="15">
        <f>(product_footprints[[#This Row],[footprint as presented in study]]*1000)/60</f>
        <v>2.6546666666666665</v>
      </c>
      <c r="J7" s="14" t="s">
        <v>55</v>
      </c>
      <c r="K7" s="17"/>
      <c r="L7" s="17"/>
      <c r="M7" s="31" t="s">
        <v>39</v>
      </c>
      <c r="N7" s="20">
        <v>18.5</v>
      </c>
      <c r="O7" s="19" t="s">
        <v>146</v>
      </c>
      <c r="P7" s="15">
        <f>product_footprints[[#This Row],[protein as presented in study or label]]*1000/50</f>
        <v>370</v>
      </c>
      <c r="Q7" s="11">
        <f>product_footprints[[#This Row],[footprint / kg]]*100/P7</f>
        <v>0.71747747747747737</v>
      </c>
      <c r="R7" s="17"/>
      <c r="S7" s="33"/>
      <c r="T7" s="9" t="s">
        <v>38</v>
      </c>
    </row>
    <row r="8" spans="1:20" s="12" customFormat="1" ht="15" customHeight="1" x14ac:dyDescent="0.2">
      <c r="A8" s="12" t="s">
        <v>246</v>
      </c>
      <c r="B8" s="12" t="s">
        <v>54</v>
      </c>
      <c r="C8" s="12" t="s">
        <v>35</v>
      </c>
      <c r="D8" s="70" t="s">
        <v>222</v>
      </c>
      <c r="E8" s="23" t="s">
        <v>130</v>
      </c>
      <c r="F8" s="71">
        <v>1</v>
      </c>
      <c r="G8" s="11">
        <f>0.347*(0.28+0.26)</f>
        <v>0.18737999999999999</v>
      </c>
      <c r="H8" s="12" t="s">
        <v>134</v>
      </c>
      <c r="I8" s="15">
        <f>(product_footprints[[#This Row],[footprint as presented in study]]*1000)/60</f>
        <v>3.1229999999999998</v>
      </c>
      <c r="J8" s="58" t="s">
        <v>55</v>
      </c>
      <c r="K8" s="17"/>
      <c r="L8" s="17"/>
      <c r="M8" s="31" t="s">
        <v>39</v>
      </c>
      <c r="N8" s="20">
        <v>11.2</v>
      </c>
      <c r="O8" s="19" t="s">
        <v>149</v>
      </c>
      <c r="P8" s="15">
        <f>product_footprints[[#This Row],[protein as presented in study or label]]*1000/71</f>
        <v>157.74647887323943</v>
      </c>
      <c r="Q8" s="11">
        <f>product_footprints[[#This Row],[footprint / kg]]*100/P8</f>
        <v>1.9797589285714283</v>
      </c>
      <c r="R8" s="17"/>
      <c r="S8" s="33"/>
      <c r="T8" s="9" t="s">
        <v>37</v>
      </c>
    </row>
    <row r="9" spans="1:20" s="12" customFormat="1" ht="15" customHeight="1" x14ac:dyDescent="0.2">
      <c r="A9" s="12" t="s">
        <v>246</v>
      </c>
      <c r="B9" s="12" t="s">
        <v>54</v>
      </c>
      <c r="C9" s="12" t="s">
        <v>33</v>
      </c>
      <c r="D9" s="70" t="s">
        <v>221</v>
      </c>
      <c r="E9" s="23" t="s">
        <v>130</v>
      </c>
      <c r="F9" s="71">
        <v>1</v>
      </c>
      <c r="G9" s="11">
        <f>0.554*(0.55+0.13)</f>
        <v>0.37672000000000005</v>
      </c>
      <c r="H9" s="12" t="s">
        <v>134</v>
      </c>
      <c r="I9" s="15">
        <f>(product_footprints[[#This Row],[footprint as presented in study]]*1000)/60</f>
        <v>6.2786666666666671</v>
      </c>
      <c r="J9" s="14" t="s">
        <v>55</v>
      </c>
      <c r="K9" s="17"/>
      <c r="L9" s="17"/>
      <c r="M9" s="31" t="s">
        <v>39</v>
      </c>
      <c r="N9" s="20">
        <v>23.9</v>
      </c>
      <c r="O9" s="19" t="s">
        <v>147</v>
      </c>
      <c r="P9" s="15">
        <f>product_footprints[[#This Row],[protein as presented in study or label]]*1000/64</f>
        <v>373.4375</v>
      </c>
      <c r="Q9" s="11">
        <f>product_footprints[[#This Row],[footprint / kg]]*100/P9</f>
        <v>1.6813165969316597</v>
      </c>
      <c r="R9" s="17"/>
      <c r="S9" s="33"/>
      <c r="T9" s="9" t="s">
        <v>36</v>
      </c>
    </row>
    <row r="10" spans="1:20" s="12" customFormat="1" ht="15" customHeight="1" x14ac:dyDescent="0.2">
      <c r="A10" s="12" t="s">
        <v>246</v>
      </c>
      <c r="B10" s="12" t="s">
        <v>54</v>
      </c>
      <c r="C10" s="12" t="s">
        <v>34</v>
      </c>
      <c r="D10" s="70" t="s">
        <v>223</v>
      </c>
      <c r="E10" s="23" t="s">
        <v>130</v>
      </c>
      <c r="F10" s="71">
        <v>1</v>
      </c>
      <c r="G10" s="11">
        <f>0.676*(0.47+0.14)</f>
        <v>0.41236</v>
      </c>
      <c r="H10" s="12" t="s">
        <v>134</v>
      </c>
      <c r="I10" s="15">
        <f>(product_footprints[[#This Row],[footprint as presented in study]]*1000)/60</f>
        <v>6.8726666666666665</v>
      </c>
      <c r="J10" s="14" t="s">
        <v>55</v>
      </c>
      <c r="K10" s="17"/>
      <c r="L10" s="17"/>
      <c r="M10" s="31" t="s">
        <v>39</v>
      </c>
      <c r="N10" s="20">
        <v>25.8</v>
      </c>
      <c r="O10" s="19" t="s">
        <v>148</v>
      </c>
      <c r="P10" s="15">
        <f>product_footprints[[#This Row],[protein as presented in study or label]]*1000/38</f>
        <v>678.9473684210526</v>
      </c>
      <c r="Q10" s="11">
        <f>product_footprints[[#This Row],[footprint / kg]]*100/P10</f>
        <v>1.0122532299741602</v>
      </c>
      <c r="R10" s="17"/>
      <c r="S10" s="33"/>
      <c r="T10" s="9" t="s">
        <v>36</v>
      </c>
    </row>
    <row r="11" spans="1:20" s="12" customFormat="1" ht="15" customHeight="1" x14ac:dyDescent="0.2">
      <c r="A11" s="12" t="s">
        <v>246</v>
      </c>
      <c r="B11" s="12" t="s">
        <v>54</v>
      </c>
      <c r="C11" s="12" t="s">
        <v>32</v>
      </c>
      <c r="D11" s="70" t="s">
        <v>219</v>
      </c>
      <c r="E11" s="23" t="s">
        <v>201</v>
      </c>
      <c r="F11" s="71">
        <v>1</v>
      </c>
      <c r="G11" s="15">
        <v>1.6900000000000001E-3</v>
      </c>
      <c r="H11" s="23" t="s">
        <v>191</v>
      </c>
      <c r="I11" s="15">
        <f>product_footprints[[#This Row],[footprint as presented in study]]*1000*1000/60</f>
        <v>28.166666666666671</v>
      </c>
      <c r="J11" s="14" t="s">
        <v>55</v>
      </c>
      <c r="K11" s="25"/>
      <c r="L11" s="25"/>
      <c r="M11" s="29" t="s">
        <v>39</v>
      </c>
      <c r="N11" s="15">
        <v>18.5</v>
      </c>
      <c r="O11" s="19" t="s">
        <v>146</v>
      </c>
      <c r="P11" s="15">
        <f>product_footprints[[#This Row],[protein as presented in study or label]]*1000/50</f>
        <v>370</v>
      </c>
      <c r="Q11" s="15">
        <f>product_footprints[[#This Row],[footprint / kg]]*100/product_footprints[[#This Row],[g protein / kg]]</f>
        <v>7.6126126126126135</v>
      </c>
      <c r="R11" s="25"/>
      <c r="S11" s="34"/>
      <c r="T11" s="9"/>
    </row>
    <row r="12" spans="1:20" s="12" customFormat="1" ht="15" customHeight="1" x14ac:dyDescent="0.2">
      <c r="A12" s="12" t="s">
        <v>246</v>
      </c>
      <c r="B12" s="12" t="s">
        <v>54</v>
      </c>
      <c r="C12" s="12" t="s">
        <v>35</v>
      </c>
      <c r="D12" s="70" t="s">
        <v>222</v>
      </c>
      <c r="E12" s="23" t="s">
        <v>201</v>
      </c>
      <c r="F12" s="71">
        <v>1</v>
      </c>
      <c r="G12" s="15">
        <v>2.1299999999999999E-3</v>
      </c>
      <c r="H12" s="23" t="s">
        <v>191</v>
      </c>
      <c r="I12" s="15">
        <f>product_footprints[[#This Row],[footprint as presented in study]]*1000*1000/60</f>
        <v>35.5</v>
      </c>
      <c r="J12" s="14" t="s">
        <v>55</v>
      </c>
      <c r="K12" s="25"/>
      <c r="L12" s="25"/>
      <c r="M12" s="29" t="s">
        <v>39</v>
      </c>
      <c r="N12" s="15">
        <v>11.2</v>
      </c>
      <c r="O12" s="19" t="s">
        <v>149</v>
      </c>
      <c r="P12" s="15">
        <f>product_footprints[[#This Row],[protein as presented in study or label]]*1000/71</f>
        <v>157.74647887323943</v>
      </c>
      <c r="Q12" s="15">
        <f>product_footprints[[#This Row],[footprint / kg]]*100/product_footprints[[#This Row],[g protein / kg]]</f>
        <v>22.504464285714288</v>
      </c>
      <c r="R12" s="25"/>
      <c r="S12" s="34"/>
      <c r="T12" s="9"/>
    </row>
    <row r="13" spans="1:20" s="12" customFormat="1" ht="15" customHeight="1" x14ac:dyDescent="0.2">
      <c r="A13" s="12" t="s">
        <v>246</v>
      </c>
      <c r="B13" s="12" t="s">
        <v>54</v>
      </c>
      <c r="C13" s="12" t="s">
        <v>33</v>
      </c>
      <c r="D13" s="70" t="s">
        <v>221</v>
      </c>
      <c r="E13" s="23" t="s">
        <v>201</v>
      </c>
      <c r="F13" s="71">
        <v>1</v>
      </c>
      <c r="G13" s="15">
        <v>2.31E-3</v>
      </c>
      <c r="H13" s="23" t="s">
        <v>191</v>
      </c>
      <c r="I13" s="15">
        <f>product_footprints[[#This Row],[footprint as presented in study]]*1000*1000/60</f>
        <v>38.5</v>
      </c>
      <c r="J13" s="14" t="s">
        <v>55</v>
      </c>
      <c r="K13" s="25"/>
      <c r="L13" s="25"/>
      <c r="M13" s="29" t="s">
        <v>39</v>
      </c>
      <c r="N13" s="15">
        <v>23.9</v>
      </c>
      <c r="O13" s="19" t="s">
        <v>147</v>
      </c>
      <c r="P13" s="15">
        <f>product_footprints[[#This Row],[protein as presented in study or label]]*1000/64</f>
        <v>373.4375</v>
      </c>
      <c r="Q13" s="15">
        <f>product_footprints[[#This Row],[footprint / kg]]*100/product_footprints[[#This Row],[g protein / kg]]</f>
        <v>10.309623430962343</v>
      </c>
      <c r="R13" s="25"/>
      <c r="S13" s="34"/>
      <c r="T13" s="9"/>
    </row>
    <row r="14" spans="1:20" s="12" customFormat="1" ht="15" customHeight="1" x14ac:dyDescent="0.2">
      <c r="A14" s="12" t="s">
        <v>246</v>
      </c>
      <c r="B14" s="12" t="s">
        <v>54</v>
      </c>
      <c r="C14" s="12" t="s">
        <v>34</v>
      </c>
      <c r="D14" s="70" t="s">
        <v>223</v>
      </c>
      <c r="E14" s="23" t="s">
        <v>201</v>
      </c>
      <c r="F14" s="71">
        <v>1</v>
      </c>
      <c r="G14" s="15">
        <v>2.64E-3</v>
      </c>
      <c r="H14" s="23" t="s">
        <v>191</v>
      </c>
      <c r="I14" s="15">
        <f>product_footprints[[#This Row],[footprint as presented in study]]*1000*1000/60</f>
        <v>44</v>
      </c>
      <c r="J14" s="14" t="s">
        <v>55</v>
      </c>
      <c r="K14" s="25"/>
      <c r="L14" s="25"/>
      <c r="M14" s="29" t="s">
        <v>39</v>
      </c>
      <c r="N14" s="15">
        <v>25.8</v>
      </c>
      <c r="O14" s="19" t="s">
        <v>148</v>
      </c>
      <c r="P14" s="15">
        <f>product_footprints[[#This Row],[protein as presented in study or label]]*1000/38</f>
        <v>678.9473684210526</v>
      </c>
      <c r="Q14" s="15">
        <f>product_footprints[[#This Row],[footprint / kg]]*100/product_footprints[[#This Row],[g protein / kg]]</f>
        <v>6.4806201550387597</v>
      </c>
      <c r="R14" s="25"/>
      <c r="S14" s="34"/>
      <c r="T14" s="9"/>
    </row>
    <row r="15" spans="1:20" s="12" customFormat="1" ht="15" customHeight="1" x14ac:dyDescent="0.2">
      <c r="A15" s="12" t="s">
        <v>246</v>
      </c>
      <c r="B15" s="12" t="s">
        <v>54</v>
      </c>
      <c r="C15" s="12" t="s">
        <v>32</v>
      </c>
      <c r="D15" s="70" t="s">
        <v>219</v>
      </c>
      <c r="E15" s="23" t="s">
        <v>144</v>
      </c>
      <c r="F15" s="71">
        <v>1</v>
      </c>
      <c r="G15" s="11">
        <v>0.06</v>
      </c>
      <c r="H15" s="9" t="s">
        <v>142</v>
      </c>
      <c r="I15" s="11">
        <f>product_footprints[[#This Row],[footprint as presented in study]]*1000/60</f>
        <v>1</v>
      </c>
      <c r="J15" s="14" t="s">
        <v>55</v>
      </c>
      <c r="K15" s="25"/>
      <c r="L15" s="25"/>
      <c r="M15" s="29" t="s">
        <v>39</v>
      </c>
      <c r="N15" s="10">
        <v>18.5</v>
      </c>
      <c r="O15" s="9" t="s">
        <v>146</v>
      </c>
      <c r="P15" s="15">
        <f>product_footprints[[#This Row],[protein as presented in study or label]]*1000/50</f>
        <v>370</v>
      </c>
      <c r="Q15" s="15">
        <f>product_footprints[[#This Row],[footprint / kg]]*100/product_footprints[[#This Row],[g protein / kg]]</f>
        <v>0.27027027027027029</v>
      </c>
      <c r="R15" s="25"/>
      <c r="S15" s="34"/>
      <c r="T15" s="9"/>
    </row>
    <row r="16" spans="1:20" s="12" customFormat="1" ht="15" customHeight="1" x14ac:dyDescent="0.2">
      <c r="A16" s="12" t="s">
        <v>246</v>
      </c>
      <c r="B16" s="12" t="s">
        <v>54</v>
      </c>
      <c r="C16" s="12" t="s">
        <v>35</v>
      </c>
      <c r="D16" s="70" t="s">
        <v>222</v>
      </c>
      <c r="E16" s="23" t="s">
        <v>144</v>
      </c>
      <c r="F16" s="71">
        <v>1</v>
      </c>
      <c r="G16" s="11">
        <v>0.11</v>
      </c>
      <c r="H16" s="9" t="s">
        <v>142</v>
      </c>
      <c r="I16" s="11">
        <f>product_footprints[[#This Row],[footprint as presented in study]]*1000/60</f>
        <v>1.8333333333333333</v>
      </c>
      <c r="J16" s="14" t="s">
        <v>55</v>
      </c>
      <c r="K16" s="25"/>
      <c r="L16" s="25"/>
      <c r="M16" s="29" t="s">
        <v>39</v>
      </c>
      <c r="N16" s="10">
        <v>11.2</v>
      </c>
      <c r="O16" s="9" t="s">
        <v>149</v>
      </c>
      <c r="P16" s="15">
        <f>product_footprints[[#This Row],[protein as presented in study or label]]*1000/71</f>
        <v>157.74647887323943</v>
      </c>
      <c r="Q16" s="15">
        <f>product_footprints[[#This Row],[footprint / kg]]*100/product_footprints[[#This Row],[g protein / kg]]</f>
        <v>1.1622023809523809</v>
      </c>
      <c r="R16" s="25"/>
      <c r="S16" s="34"/>
      <c r="T16" s="9"/>
    </row>
    <row r="17" spans="1:20" s="12" customFormat="1" ht="15" customHeight="1" x14ac:dyDescent="0.2">
      <c r="A17" s="12" t="s">
        <v>246</v>
      </c>
      <c r="B17" s="12" t="s">
        <v>54</v>
      </c>
      <c r="C17" s="12" t="s">
        <v>33</v>
      </c>
      <c r="D17" s="70" t="s">
        <v>221</v>
      </c>
      <c r="E17" s="23" t="s">
        <v>144</v>
      </c>
      <c r="F17" s="71">
        <v>1</v>
      </c>
      <c r="G17" s="11">
        <v>0.3</v>
      </c>
      <c r="H17" s="9" t="s">
        <v>142</v>
      </c>
      <c r="I17" s="11">
        <f>product_footprints[[#This Row],[footprint as presented in study]]*1000/60</f>
        <v>5</v>
      </c>
      <c r="J17" s="14" t="s">
        <v>55</v>
      </c>
      <c r="K17" s="25"/>
      <c r="L17" s="25"/>
      <c r="M17" s="29" t="s">
        <v>39</v>
      </c>
      <c r="N17" s="10">
        <v>23.9</v>
      </c>
      <c r="O17" s="9" t="s">
        <v>147</v>
      </c>
      <c r="P17" s="15">
        <f>product_footprints[[#This Row],[protein as presented in study or label]]*1000/64</f>
        <v>373.4375</v>
      </c>
      <c r="Q17" s="15">
        <f>product_footprints[[#This Row],[footprint / kg]]*100/product_footprints[[#This Row],[g protein / kg]]</f>
        <v>1.3389121338912133</v>
      </c>
      <c r="R17" s="25"/>
      <c r="S17" s="34"/>
      <c r="T17" s="9"/>
    </row>
    <row r="18" spans="1:20" s="12" customFormat="1" ht="15" customHeight="1" x14ac:dyDescent="0.2">
      <c r="A18" s="12" t="s">
        <v>246</v>
      </c>
      <c r="B18" s="12" t="s">
        <v>54</v>
      </c>
      <c r="C18" s="12" t="s">
        <v>34</v>
      </c>
      <c r="D18" s="70" t="s">
        <v>223</v>
      </c>
      <c r="E18" s="23" t="s">
        <v>144</v>
      </c>
      <c r="F18" s="71">
        <v>1</v>
      </c>
      <c r="G18" s="11">
        <v>0.18</v>
      </c>
      <c r="H18" s="9" t="s">
        <v>142</v>
      </c>
      <c r="I18" s="11">
        <f>product_footprints[[#This Row],[footprint as presented in study]]*1000/60</f>
        <v>3</v>
      </c>
      <c r="J18" s="14" t="s">
        <v>55</v>
      </c>
      <c r="K18" s="25"/>
      <c r="L18" s="25"/>
      <c r="M18" s="29" t="s">
        <v>39</v>
      </c>
      <c r="N18" s="10">
        <v>25.8</v>
      </c>
      <c r="O18" s="9" t="s">
        <v>148</v>
      </c>
      <c r="P18" s="15">
        <f>product_footprints[[#This Row],[protein as presented in study or label]]*1000/38</f>
        <v>678.9473684210526</v>
      </c>
      <c r="Q18" s="15">
        <f>product_footprints[[#This Row],[footprint / kg]]*100/product_footprints[[#This Row],[g protein / kg]]</f>
        <v>0.44186046511627908</v>
      </c>
      <c r="R18" s="25"/>
      <c r="S18" s="34"/>
      <c r="T18" s="9"/>
    </row>
    <row r="19" spans="1:20" s="12" customFormat="1" ht="15" customHeight="1" x14ac:dyDescent="0.2">
      <c r="A19" s="23" t="s">
        <v>263</v>
      </c>
      <c r="B19" s="12" t="s">
        <v>54</v>
      </c>
      <c r="C19" s="12" t="s">
        <v>186</v>
      </c>
      <c r="D19" s="70" t="s">
        <v>227</v>
      </c>
      <c r="E19" s="23" t="s">
        <v>130</v>
      </c>
      <c r="F19" s="71">
        <v>41</v>
      </c>
      <c r="G19" s="11">
        <v>0.2</v>
      </c>
      <c r="H19" s="12" t="s">
        <v>135</v>
      </c>
      <c r="I19" s="15">
        <f>product_footprints[[#This Row],[footprint as presented in study]]*10</f>
        <v>2</v>
      </c>
      <c r="J19" s="14" t="s">
        <v>102</v>
      </c>
      <c r="K19" s="17">
        <f>0.09*10</f>
        <v>0.89999999999999991</v>
      </c>
      <c r="L19" s="17">
        <f>0.32*10</f>
        <v>3.2</v>
      </c>
      <c r="M19" s="28" t="s">
        <v>9</v>
      </c>
      <c r="N19" s="20" t="s">
        <v>77</v>
      </c>
      <c r="O19" s="19" t="s">
        <v>129</v>
      </c>
      <c r="P19" s="58"/>
      <c r="Q19" s="11">
        <f>0.19*5</f>
        <v>0.95</v>
      </c>
      <c r="R19" s="25">
        <f>0.05*5</f>
        <v>0.25</v>
      </c>
      <c r="S19" s="34">
        <f>0.46*5</f>
        <v>2.3000000000000003</v>
      </c>
      <c r="T19" s="9" t="s">
        <v>203</v>
      </c>
    </row>
    <row r="20" spans="1:20" s="12" customFormat="1" ht="15" customHeight="1" x14ac:dyDescent="0.2">
      <c r="A20" s="23" t="s">
        <v>263</v>
      </c>
      <c r="B20" s="12" t="s">
        <v>54</v>
      </c>
      <c r="C20" s="12" t="s">
        <v>186</v>
      </c>
      <c r="D20" s="70" t="s">
        <v>227</v>
      </c>
      <c r="E20" s="23" t="s">
        <v>130</v>
      </c>
      <c r="F20" s="71">
        <v>15</v>
      </c>
      <c r="G20" s="11">
        <v>0.27</v>
      </c>
      <c r="H20" s="12" t="s">
        <v>135</v>
      </c>
      <c r="I20" s="15">
        <f>product_footprints[[#This Row],[footprint as presented in study]]*10</f>
        <v>2.7</v>
      </c>
      <c r="J20" s="14" t="s">
        <v>102</v>
      </c>
      <c r="K20" s="17">
        <f>0.19*10</f>
        <v>1.9</v>
      </c>
      <c r="L20" s="17">
        <f>0.39*10</f>
        <v>3.9000000000000004</v>
      </c>
      <c r="M20" s="28" t="s">
        <v>9</v>
      </c>
      <c r="N20" s="20" t="s">
        <v>78</v>
      </c>
      <c r="O20" s="19" t="s">
        <v>129</v>
      </c>
      <c r="P20" s="58"/>
      <c r="Q20" s="11">
        <f>0.29*5</f>
        <v>1.45</v>
      </c>
      <c r="R20" s="17">
        <f>0.16*5</f>
        <v>0.8</v>
      </c>
      <c r="S20" s="33">
        <f>0.49*5</f>
        <v>2.4500000000000002</v>
      </c>
      <c r="T20" s="9" t="s">
        <v>203</v>
      </c>
    </row>
    <row r="21" spans="1:20" s="12" customFormat="1" ht="15" customHeight="1" x14ac:dyDescent="0.2">
      <c r="A21" s="12" t="s">
        <v>247</v>
      </c>
      <c r="B21" s="12" t="s">
        <v>54</v>
      </c>
      <c r="C21" s="12" t="s">
        <v>1</v>
      </c>
      <c r="D21" s="70" t="s">
        <v>220</v>
      </c>
      <c r="E21" s="23" t="s">
        <v>130</v>
      </c>
      <c r="F21" s="71">
        <v>1</v>
      </c>
      <c r="G21" s="11">
        <v>6.9366504999999998</v>
      </c>
      <c r="H21" s="12" t="s">
        <v>132</v>
      </c>
      <c r="I21" s="15">
        <f>product_footprints[[#This Row],[footprint as presented in study]]</f>
        <v>6.9366504999999998</v>
      </c>
      <c r="J21" s="14" t="s">
        <v>55</v>
      </c>
      <c r="K21" s="17"/>
      <c r="L21" s="17"/>
      <c r="M21" s="31" t="s">
        <v>39</v>
      </c>
      <c r="N21" s="10">
        <v>227.2</v>
      </c>
      <c r="O21" s="9" t="s">
        <v>145</v>
      </c>
      <c r="P21" s="15">
        <f>product_footprints[[#This Row],[protein as presented in study or label]]</f>
        <v>227.2</v>
      </c>
      <c r="Q21" s="11">
        <f>product_footprints[[#This Row],[footprint / kg]]*100/P21</f>
        <v>3.053103213028169</v>
      </c>
      <c r="R21" s="17"/>
      <c r="S21" s="33"/>
      <c r="T21" s="9"/>
    </row>
    <row r="22" spans="1:20" s="12" customFormat="1" ht="15" customHeight="1" x14ac:dyDescent="0.2">
      <c r="A22" s="12" t="s">
        <v>247</v>
      </c>
      <c r="B22" s="12" t="s">
        <v>54</v>
      </c>
      <c r="C22" s="12" t="s">
        <v>1</v>
      </c>
      <c r="D22" s="70" t="s">
        <v>220</v>
      </c>
      <c r="E22" s="23" t="s">
        <v>201</v>
      </c>
      <c r="F22" s="71">
        <v>1</v>
      </c>
      <c r="G22" s="15">
        <v>0.18</v>
      </c>
      <c r="H22" s="23" t="s">
        <v>189</v>
      </c>
      <c r="I22" s="15">
        <f>product_footprints[[#This Row],[footprint as presented in study]]*1000</f>
        <v>180</v>
      </c>
      <c r="J22" s="14" t="s">
        <v>55</v>
      </c>
      <c r="K22" s="25"/>
      <c r="L22" s="25"/>
      <c r="M22" s="29" t="s">
        <v>39</v>
      </c>
      <c r="N22" s="15">
        <v>227.2</v>
      </c>
      <c r="O22" s="19" t="s">
        <v>145</v>
      </c>
      <c r="P22" s="15">
        <f>product_footprints[[#This Row],[protein as presented in study or label]]</f>
        <v>227.2</v>
      </c>
      <c r="Q22" s="15">
        <f>product_footprints[[#This Row],[footprint / kg]]*100/product_footprints[[#This Row],[g protein / kg]]</f>
        <v>79.225352112676063</v>
      </c>
      <c r="R22" s="25"/>
      <c r="S22" s="34"/>
      <c r="T22" s="9"/>
    </row>
    <row r="23" spans="1:20" s="12" customFormat="1" ht="15" customHeight="1" x14ac:dyDescent="0.2">
      <c r="A23" s="12" t="s">
        <v>247</v>
      </c>
      <c r="B23" s="12" t="s">
        <v>54</v>
      </c>
      <c r="C23" s="12" t="s">
        <v>1</v>
      </c>
      <c r="D23" s="70" t="s">
        <v>220</v>
      </c>
      <c r="E23" s="23" t="s">
        <v>144</v>
      </c>
      <c r="F23" s="71">
        <v>1</v>
      </c>
      <c r="G23" s="11">
        <v>3.5</v>
      </c>
      <c r="H23" s="4" t="s">
        <v>138</v>
      </c>
      <c r="I23" s="11">
        <f>product_footprints[[#This Row],[footprint as presented in study]]</f>
        <v>3.5</v>
      </c>
      <c r="J23" s="14" t="s">
        <v>55</v>
      </c>
      <c r="K23" s="25"/>
      <c r="L23" s="25"/>
      <c r="M23" s="29" t="s">
        <v>39</v>
      </c>
      <c r="N23" s="10">
        <v>227.2</v>
      </c>
      <c r="O23" s="9" t="s">
        <v>145</v>
      </c>
      <c r="P23" s="15">
        <f>product_footprints[[#This Row],[protein as presented in study or label]]</f>
        <v>227.2</v>
      </c>
      <c r="Q23" s="15">
        <f>product_footprints[[#This Row],[footprint / kg]]*100/product_footprints[[#This Row],[g protein / kg]]</f>
        <v>1.540492957746479</v>
      </c>
      <c r="R23" s="25"/>
      <c r="S23" s="34"/>
      <c r="T23" s="9"/>
    </row>
    <row r="24" spans="1:20" s="12" customFormat="1" ht="15" customHeight="1" x14ac:dyDescent="0.2">
      <c r="A24" s="12" t="s">
        <v>93</v>
      </c>
      <c r="B24" s="12" t="s">
        <v>50</v>
      </c>
      <c r="C24" s="12" t="s">
        <v>59</v>
      </c>
      <c r="D24" s="23" t="s">
        <v>39</v>
      </c>
      <c r="E24" s="23" t="s">
        <v>130</v>
      </c>
      <c r="F24" s="71">
        <v>1</v>
      </c>
      <c r="G24" s="11">
        <v>2.57</v>
      </c>
      <c r="H24" s="17" t="s">
        <v>132</v>
      </c>
      <c r="I24" s="15">
        <v>2.57</v>
      </c>
      <c r="J24" s="14" t="s">
        <v>55</v>
      </c>
      <c r="K24" s="25"/>
      <c r="L24" s="25">
        <f>product_footprints[[#This Row],[footprint / kg]]+product_footprints[[#This Row],[footprint / kg]]*0.019</f>
        <v>2.61883</v>
      </c>
      <c r="M24" s="30" t="s">
        <v>68</v>
      </c>
      <c r="N24" s="20">
        <v>4.3499999999999996</v>
      </c>
      <c r="O24" s="19" t="s">
        <v>128</v>
      </c>
      <c r="P24" s="58"/>
      <c r="Q24" s="15">
        <f>product_footprints[[#This Row],[protein as presented in study or label]]/10</f>
        <v>0.43499999999999994</v>
      </c>
      <c r="R24" s="23"/>
      <c r="S24" s="35">
        <f>product_footprints[[#This Row],[footprint / 100 g protein]]+product_footprints[[#This Row],[footprint / 100 g protein]]*0.019</f>
        <v>0.44326499999999996</v>
      </c>
      <c r="T24" s="9" t="s">
        <v>202</v>
      </c>
    </row>
    <row r="25" spans="1:20" s="12" customFormat="1" ht="15" customHeight="1" x14ac:dyDescent="0.2">
      <c r="A25" s="12" t="s">
        <v>93</v>
      </c>
      <c r="B25" s="12" t="s">
        <v>50</v>
      </c>
      <c r="C25" s="12" t="s">
        <v>59</v>
      </c>
      <c r="D25" s="23" t="s">
        <v>39</v>
      </c>
      <c r="E25" s="23" t="s">
        <v>201</v>
      </c>
      <c r="F25" s="71">
        <v>1</v>
      </c>
      <c r="G25" s="15">
        <v>0.42</v>
      </c>
      <c r="H25" s="23" t="s">
        <v>189</v>
      </c>
      <c r="I25" s="15">
        <f>product_footprints[[#This Row],[footprint as presented in study]]*1000</f>
        <v>420</v>
      </c>
      <c r="J25" s="14" t="s">
        <v>55</v>
      </c>
      <c r="K25" s="25"/>
      <c r="L25" s="25">
        <f>product_footprints[[#This Row],[footprint / kg]]+product_footprints[[#This Row],[footprint / kg]]*0.0005</f>
        <v>420.21</v>
      </c>
      <c r="M25" s="29" t="s">
        <v>39</v>
      </c>
      <c r="N25" s="60">
        <v>0.71</v>
      </c>
      <c r="O25" s="19" t="s">
        <v>195</v>
      </c>
      <c r="P25" s="58"/>
      <c r="Q25" s="15">
        <f xml:space="preserve"> 0.71*1000/10</f>
        <v>71</v>
      </c>
      <c r="R25" s="25"/>
      <c r="S25" s="34"/>
      <c r="T25" s="9" t="s">
        <v>202</v>
      </c>
    </row>
    <row r="26" spans="1:20" s="12" customFormat="1" ht="15" customHeight="1" x14ac:dyDescent="0.2">
      <c r="A26" s="12" t="s">
        <v>248</v>
      </c>
      <c r="B26" s="12" t="s">
        <v>54</v>
      </c>
      <c r="C26" s="12" t="s">
        <v>7</v>
      </c>
      <c r="D26" s="70" t="s">
        <v>225</v>
      </c>
      <c r="E26" s="23" t="s">
        <v>130</v>
      </c>
      <c r="F26" s="71">
        <v>1</v>
      </c>
      <c r="G26" s="11">
        <v>2.4</v>
      </c>
      <c r="H26" s="12" t="s">
        <v>132</v>
      </c>
      <c r="I26" s="15">
        <v>2.4</v>
      </c>
      <c r="J26" s="14" t="s">
        <v>55</v>
      </c>
      <c r="K26" s="17"/>
      <c r="L26" s="17"/>
      <c r="M26" s="31" t="s">
        <v>39</v>
      </c>
      <c r="N26" s="10">
        <v>10</v>
      </c>
      <c r="O26" s="9" t="s">
        <v>214</v>
      </c>
      <c r="P26" s="15">
        <f>product_footprints[[#This Row],[protein as presented in study or label]]*10</f>
        <v>100</v>
      </c>
      <c r="Q26" s="11">
        <f>product_footprints[[#This Row],[footprint / kg]]*100/P26</f>
        <v>2.4</v>
      </c>
      <c r="R26" s="17"/>
      <c r="S26" s="33"/>
      <c r="T26" s="9" t="s">
        <v>64</v>
      </c>
    </row>
    <row r="27" spans="1:20" s="12" customFormat="1" ht="15" customHeight="1" x14ac:dyDescent="0.2">
      <c r="A27" s="12" t="s">
        <v>248</v>
      </c>
      <c r="B27" s="12" t="s">
        <v>54</v>
      </c>
      <c r="C27" s="12" t="s">
        <v>7</v>
      </c>
      <c r="D27" s="70" t="s">
        <v>225</v>
      </c>
      <c r="E27" s="23" t="s">
        <v>144</v>
      </c>
      <c r="F27" s="71">
        <v>1</v>
      </c>
      <c r="G27" s="11">
        <v>0.41</v>
      </c>
      <c r="H27" s="4" t="s">
        <v>138</v>
      </c>
      <c r="I27" s="11">
        <f>product_footprints[[#This Row],[footprint as presented in study]]</f>
        <v>0.41</v>
      </c>
      <c r="J27" s="14" t="s">
        <v>55</v>
      </c>
      <c r="K27" s="25"/>
      <c r="L27" s="25"/>
      <c r="M27" s="29" t="s">
        <v>39</v>
      </c>
      <c r="N27" s="10">
        <v>10</v>
      </c>
      <c r="O27" s="9" t="s">
        <v>214</v>
      </c>
      <c r="P27" s="15">
        <f>product_footprints[[#This Row],[protein as presented in study or label]]*10</f>
        <v>100</v>
      </c>
      <c r="Q27" s="15">
        <f>product_footprints[[#This Row],[footprint / kg]]*100/product_footprints[[#This Row],[g protein / kg]]</f>
        <v>0.41</v>
      </c>
      <c r="R27" s="25"/>
      <c r="S27" s="34"/>
      <c r="T27" s="9" t="s">
        <v>64</v>
      </c>
    </row>
    <row r="28" spans="1:20" s="12" customFormat="1" ht="15" customHeight="1" x14ac:dyDescent="0.2">
      <c r="A28" s="12" t="s">
        <v>3</v>
      </c>
      <c r="B28" s="12" t="s">
        <v>54</v>
      </c>
      <c r="C28" s="12" t="s">
        <v>2</v>
      </c>
      <c r="D28" s="70" t="s">
        <v>218</v>
      </c>
      <c r="E28" s="23" t="s">
        <v>130</v>
      </c>
      <c r="F28" s="71">
        <v>1</v>
      </c>
      <c r="G28" s="11">
        <f>0.22+0.05</f>
        <v>0.27</v>
      </c>
      <c r="H28" s="23" t="s">
        <v>187</v>
      </c>
      <c r="I28" s="15">
        <f>G28*4/0.453592</f>
        <v>2.38099437379848</v>
      </c>
      <c r="J28" s="14" t="s">
        <v>55</v>
      </c>
      <c r="K28" s="17">
        <f>product_footprints[[#This Row],[footprint / kg]]-product_footprints[[#This Row],[footprint / kg]]*0.0478</f>
        <v>2.2671828427309126</v>
      </c>
      <c r="L28" s="17">
        <f>product_footprints[[#This Row],[footprint / kg]]+product_footprints[[#This Row],[footprint / kg]]*0.0493</f>
        <v>2.4983773964267453</v>
      </c>
      <c r="M28" s="28" t="s">
        <v>261</v>
      </c>
      <c r="N28" s="10">
        <v>20</v>
      </c>
      <c r="O28" s="9" t="s">
        <v>150</v>
      </c>
      <c r="P28" s="15">
        <f>product_footprints[[#This Row],[protein as presented in study or label]]*35.274/4</f>
        <v>176.37</v>
      </c>
      <c r="Q28" s="11">
        <f>product_footprints[[#This Row],[footprint / kg]]*100/P28</f>
        <v>1.3499996449500935</v>
      </c>
      <c r="R28" s="17">
        <f>product_footprints[[#This Row],[lower footprint / kg]]*100/product_footprints[[#This Row],[g protein / kg]]</f>
        <v>1.2854696619214789</v>
      </c>
      <c r="S28" s="33">
        <f>product_footprints[[#This Row],[higher footprint / kg]]*100/product_footprints[[#This Row],[g protein / kg]]</f>
        <v>1.4165546274461334</v>
      </c>
      <c r="T28" s="19" t="s">
        <v>233</v>
      </c>
    </row>
    <row r="29" spans="1:20" s="12" customFormat="1" ht="15" customHeight="1" x14ac:dyDescent="0.2">
      <c r="A29" s="12" t="s">
        <v>3</v>
      </c>
      <c r="B29" s="12" t="s">
        <v>54</v>
      </c>
      <c r="C29" s="12" t="s">
        <v>2</v>
      </c>
      <c r="D29" s="70" t="s">
        <v>218</v>
      </c>
      <c r="E29" s="23" t="s">
        <v>201</v>
      </c>
      <c r="F29" s="71">
        <v>1</v>
      </c>
      <c r="G29" s="15">
        <f>0.49+1.11</f>
        <v>1.6</v>
      </c>
      <c r="H29" s="23" t="s">
        <v>192</v>
      </c>
      <c r="I29" s="15">
        <f>product_footprints[[#This Row],[footprint as presented in study]]*4/0.453592</f>
        <v>14.109596289176176</v>
      </c>
      <c r="J29" s="14" t="s">
        <v>55</v>
      </c>
      <c r="K29" s="25">
        <f>product_footprints[[#This Row],[footprint / kg]]-product_footprints[[#This Row],[footprint / kg]]*0.0512</f>
        <v>13.387184959170355</v>
      </c>
      <c r="L29" s="25">
        <f>product_footprints[[#This Row],[footprint / kg]]+product_footprints[[#This Row],[footprint / kg]]*0.0532</f>
        <v>14.860226811760349</v>
      </c>
      <c r="M29" s="29" t="s">
        <v>39</v>
      </c>
      <c r="N29" s="15">
        <v>20</v>
      </c>
      <c r="O29" s="19" t="s">
        <v>150</v>
      </c>
      <c r="P29" s="15">
        <f>product_footprints[[#This Row],[protein as presented in study or label]]*35.274/4</f>
        <v>176.37</v>
      </c>
      <c r="Q29" s="15">
        <f>product_footprints[[#This Row],[footprint / kg]]*100/product_footprints[[#This Row],[g protein / kg]]</f>
        <v>7.9999978960005533</v>
      </c>
      <c r="R29" s="25">
        <f>product_footprints[[#This Row],[lower footprint / kg]]*100/product_footprints[[#This Row],[g protein / kg]]</f>
        <v>7.5903980037253236</v>
      </c>
      <c r="S29" s="34">
        <f>product_footprints[[#This Row],[higher footprint / kg]]*100/product_footprints[[#This Row],[g protein / kg]]</f>
        <v>8.4255977840677829</v>
      </c>
      <c r="T29" s="9" t="s">
        <v>232</v>
      </c>
    </row>
    <row r="30" spans="1:20" s="12" customFormat="1" ht="15" customHeight="1" x14ac:dyDescent="0.2">
      <c r="A30" s="12" t="s">
        <v>3</v>
      </c>
      <c r="B30" s="12" t="s">
        <v>54</v>
      </c>
      <c r="C30" s="12" t="s">
        <v>2</v>
      </c>
      <c r="D30" s="70" t="s">
        <v>218</v>
      </c>
      <c r="E30" s="23" t="s">
        <v>144</v>
      </c>
      <c r="F30" s="71">
        <v>1</v>
      </c>
      <c r="G30" s="11">
        <v>0.37</v>
      </c>
      <c r="H30" s="9" t="s">
        <v>137</v>
      </c>
      <c r="I30" s="11">
        <f>product_footprints[[#This Row],[footprint as presented in study]]*4/0.453592</f>
        <v>3.2628441418719909</v>
      </c>
      <c r="J30" s="14" t="s">
        <v>55</v>
      </c>
      <c r="K30" s="25">
        <f>product_footprints[[#This Row],[footprint / kg]]-product_footprints[[#This Row],[footprint / kg]]*0.0464</f>
        <v>3.1114481736891304</v>
      </c>
      <c r="L30" s="25">
        <f>product_footprints[[#This Row],[footprint / kg]]+product_footprints[[#This Row],[footprint / kg]]*0.0471</f>
        <v>3.4165241009541618</v>
      </c>
      <c r="M30" s="29" t="s">
        <v>261</v>
      </c>
      <c r="N30" s="10">
        <v>20</v>
      </c>
      <c r="O30" s="9" t="s">
        <v>150</v>
      </c>
      <c r="P30" s="15">
        <f>product_footprints[[#This Row],[protein as presented in study or label]]*35.274/4</f>
        <v>176.37</v>
      </c>
      <c r="Q30" s="15">
        <f>product_footprints[[#This Row],[footprint / kg]]*100/product_footprints[[#This Row],[g protein / kg]]</f>
        <v>1.8499995134501281</v>
      </c>
      <c r="R30" s="25">
        <f>product_footprints[[#This Row],[lower footprint / kg]]*100/product_footprints[[#This Row],[g protein / kg]]</f>
        <v>1.764159536026042</v>
      </c>
      <c r="S30" s="34">
        <f>product_footprints[[#This Row],[higher footprint / kg]]*100/product_footprints[[#This Row],[g protein / kg]]</f>
        <v>1.9371344905336292</v>
      </c>
      <c r="T30" s="19" t="s">
        <v>233</v>
      </c>
    </row>
    <row r="31" spans="1:20" s="12" customFormat="1" ht="15" customHeight="1" x14ac:dyDescent="0.2">
      <c r="A31" s="12" t="s">
        <v>249</v>
      </c>
      <c r="B31" s="12" t="s">
        <v>54</v>
      </c>
      <c r="C31" s="12" t="s">
        <v>1</v>
      </c>
      <c r="D31" s="70" t="s">
        <v>220</v>
      </c>
      <c r="E31" s="23" t="s">
        <v>130</v>
      </c>
      <c r="F31" s="71">
        <v>1</v>
      </c>
      <c r="G31" s="11">
        <f>2.09+1.38</f>
        <v>3.4699999999999998</v>
      </c>
      <c r="H31" s="12" t="s">
        <v>132</v>
      </c>
      <c r="I31" s="15">
        <f>2.09+1.38</f>
        <v>3.4699999999999998</v>
      </c>
      <c r="J31" s="58" t="s">
        <v>55</v>
      </c>
      <c r="K31" s="17">
        <f>3.1*(3.47/3.5)</f>
        <v>3.0734285714285714</v>
      </c>
      <c r="L31" s="17">
        <f>4*(3.47/3.5)</f>
        <v>3.9657142857142857</v>
      </c>
      <c r="M31" s="28" t="s">
        <v>4</v>
      </c>
      <c r="N31" s="10">
        <v>19</v>
      </c>
      <c r="O31" s="9" t="s">
        <v>150</v>
      </c>
      <c r="P31" s="15">
        <f>product_footprints[[#This Row],[protein as presented in study or label]]*35.274/4</f>
        <v>167.5515</v>
      </c>
      <c r="Q31" s="11">
        <f>product_footprints[[#This Row],[footprint / kg]]*100/P31</f>
        <v>2.0710050342730444</v>
      </c>
      <c r="R31" s="17">
        <f>product_footprints[[#This Row],[lower footprint / kg]]*100/product_footprints[[#This Row],[g protein / kg]]</f>
        <v>1.8343187446418394</v>
      </c>
      <c r="S31" s="33">
        <f>product_footprints[[#This Row],[higher footprint / kg]]*100/product_footprints[[#This Row],[g protein / kg]]</f>
        <v>2.3668628963120506</v>
      </c>
      <c r="T31" s="9" t="s">
        <v>67</v>
      </c>
    </row>
    <row r="32" spans="1:20" s="12" customFormat="1" ht="15" customHeight="1" x14ac:dyDescent="0.2">
      <c r="A32" s="12" t="s">
        <v>249</v>
      </c>
      <c r="B32" s="12" t="s">
        <v>54</v>
      </c>
      <c r="C32" s="12" t="s">
        <v>1</v>
      </c>
      <c r="D32" s="70" t="s">
        <v>220</v>
      </c>
      <c r="E32" s="23" t="s">
        <v>201</v>
      </c>
      <c r="F32" s="71">
        <v>1</v>
      </c>
      <c r="G32" s="15">
        <f>84.49+22.13</f>
        <v>106.61999999999999</v>
      </c>
      <c r="H32" s="23" t="s">
        <v>193</v>
      </c>
      <c r="I32" s="15">
        <f>product_footprints[[#This Row],[footprint as presented in study]]</f>
        <v>106.61999999999999</v>
      </c>
      <c r="J32" s="14" t="s">
        <v>55</v>
      </c>
      <c r="K32" s="25">
        <f>56.9*(106.6/106.82)</f>
        <v>56.782812207451784</v>
      </c>
      <c r="L32" s="25">
        <f>203.3*(106.6/106.82)</f>
        <v>202.88129563752108</v>
      </c>
      <c r="M32" s="29" t="s">
        <v>39</v>
      </c>
      <c r="N32" s="15">
        <v>19</v>
      </c>
      <c r="O32" s="19" t="s">
        <v>150</v>
      </c>
      <c r="P32" s="15">
        <f>product_footprints[[#This Row],[protein as presented in study or label]]*35.274/4</f>
        <v>167.5515</v>
      </c>
      <c r="Q32" s="15">
        <f>product_footprints[[#This Row],[footprint / kg]]*100/product_footprints[[#This Row],[g protein / kg]]</f>
        <v>63.634166211582695</v>
      </c>
      <c r="R32" s="25">
        <f>product_footprints[[#This Row],[lower footprint / kg]]*100/product_footprints[[#This Row],[g protein / kg]]</f>
        <v>33.889766553836751</v>
      </c>
      <c r="S32" s="34">
        <f>product_footprints[[#This Row],[higher footprint / kg]]*100/product_footprints[[#This Row],[g protein / kg]]</f>
        <v>121.08593216862938</v>
      </c>
      <c r="T32" s="9"/>
    </row>
    <row r="33" spans="1:20" s="12" customFormat="1" ht="15" customHeight="1" x14ac:dyDescent="0.2">
      <c r="A33" s="12" t="s">
        <v>249</v>
      </c>
      <c r="B33" s="12" t="s">
        <v>54</v>
      </c>
      <c r="C33" s="12" t="s">
        <v>1</v>
      </c>
      <c r="D33" s="70" t="s">
        <v>220</v>
      </c>
      <c r="E33" s="23" t="s">
        <v>144</v>
      </c>
      <c r="F33" s="71">
        <v>1</v>
      </c>
      <c r="G33" s="11">
        <v>2.4700000000000002</v>
      </c>
      <c r="H33" s="9" t="s">
        <v>138</v>
      </c>
      <c r="I33" s="11">
        <f>product_footprints[[#This Row],[footprint as presented in study]]</f>
        <v>2.4700000000000002</v>
      </c>
      <c r="J33" s="14" t="s">
        <v>55</v>
      </c>
      <c r="K33" s="25">
        <f>1.6*(2.47/2.5)</f>
        <v>1.5808000000000002</v>
      </c>
      <c r="L33" s="25">
        <f>3.7*(2.47/2.5)</f>
        <v>3.6556000000000006</v>
      </c>
      <c r="M33" s="29" t="s">
        <v>4</v>
      </c>
      <c r="N33" s="10">
        <v>19</v>
      </c>
      <c r="O33" s="9" t="s">
        <v>150</v>
      </c>
      <c r="P33" s="15">
        <f>product_footprints[[#This Row],[protein as presented in study or label]]*35.274/4</f>
        <v>167.5515</v>
      </c>
      <c r="Q33" s="15">
        <f>product_footprints[[#This Row],[footprint / kg]]*100/product_footprints[[#This Row],[g protein / kg]]</f>
        <v>1.4741736122923401</v>
      </c>
      <c r="R33" s="25">
        <f>product_footprints[[#This Row],[lower footprint / kg]]*100/product_footprints[[#This Row],[g protein / kg]]</f>
        <v>0.94347111186709764</v>
      </c>
      <c r="S33" s="34">
        <f>product_footprints[[#This Row],[higher footprint / kg]]*100/product_footprints[[#This Row],[g protein / kg]]</f>
        <v>2.1817769461926635</v>
      </c>
      <c r="T33" s="9"/>
    </row>
    <row r="34" spans="1:20" s="12" customFormat="1" ht="15" customHeight="1" x14ac:dyDescent="0.2">
      <c r="A34" s="12" t="s">
        <v>250</v>
      </c>
      <c r="B34" s="12" t="s">
        <v>53</v>
      </c>
      <c r="C34" s="23" t="s">
        <v>186</v>
      </c>
      <c r="D34" s="72" t="s">
        <v>244</v>
      </c>
      <c r="E34" s="23" t="s">
        <v>130</v>
      </c>
      <c r="F34" s="71">
        <v>1</v>
      </c>
      <c r="G34" s="11">
        <v>7.5</v>
      </c>
      <c r="H34" s="12" t="s">
        <v>120</v>
      </c>
      <c r="I34" s="15">
        <v>7.5</v>
      </c>
      <c r="J34" s="14" t="s">
        <v>55</v>
      </c>
      <c r="K34" s="25">
        <v>3.6</v>
      </c>
      <c r="L34" s="25">
        <v>25.4</v>
      </c>
      <c r="M34" s="28" t="s">
        <v>5</v>
      </c>
      <c r="N34" s="10">
        <v>7</v>
      </c>
      <c r="O34" s="9" t="s">
        <v>214</v>
      </c>
      <c r="P34" s="15">
        <f>product_footprints[[#This Row],[protein as presented in study or label]] *10</f>
        <v>70</v>
      </c>
      <c r="Q34" s="11">
        <f>product_footprints[[#This Row],[footprint / kg]]*100/product_footprints[[#This Row],[g protein / kg]]</f>
        <v>10.714285714285714</v>
      </c>
      <c r="R34" s="17">
        <f>product_footprints[[#This Row],[lower footprint / kg]]*100/product_footprints[[#This Row],[g protein / kg]]</f>
        <v>5.1428571428571432</v>
      </c>
      <c r="S34" s="33">
        <f>product_footprints[[#This Row],[higher footprint / kg]]*100/product_footprints[[#This Row],[g protein / kg]]</f>
        <v>36.285714285714285</v>
      </c>
      <c r="T34" s="9"/>
    </row>
    <row r="35" spans="1:20" s="12" customFormat="1" ht="15" customHeight="1" x14ac:dyDescent="0.2">
      <c r="A35" s="12" t="s">
        <v>250</v>
      </c>
      <c r="B35" s="12" t="s">
        <v>53</v>
      </c>
      <c r="C35" s="23" t="s">
        <v>186</v>
      </c>
      <c r="D35" s="72" t="s">
        <v>244</v>
      </c>
      <c r="E35" s="23" t="s">
        <v>144</v>
      </c>
      <c r="F35" s="71">
        <v>1</v>
      </c>
      <c r="G35" s="11">
        <v>5.5</v>
      </c>
      <c r="H35" s="16" t="s">
        <v>138</v>
      </c>
      <c r="I35" s="11">
        <f>product_footprints[[#This Row],[footprint as presented in study]]</f>
        <v>5.5</v>
      </c>
      <c r="J35" s="14" t="s">
        <v>55</v>
      </c>
      <c r="K35" s="25">
        <f>product_footprints[[#This Row],[footprint / kg]]*0.424</f>
        <v>2.3319999999999999</v>
      </c>
      <c r="L35" s="25">
        <f>product_footprints[[#This Row],[footprint / kg]]*1.46</f>
        <v>8.0299999999999994</v>
      </c>
      <c r="M35" s="29" t="s">
        <v>261</v>
      </c>
      <c r="N35" s="10">
        <v>7</v>
      </c>
      <c r="O35" s="9" t="s">
        <v>214</v>
      </c>
      <c r="P35" s="15">
        <f>product_footprints[[#This Row],[protein as presented in study or label]] *10</f>
        <v>70</v>
      </c>
      <c r="Q35" s="15">
        <f>product_footprints[[#This Row],[footprint / kg]]*100/product_footprints[[#This Row],[g protein / kg]]</f>
        <v>7.8571428571428568</v>
      </c>
      <c r="R35" s="25">
        <f>product_footprints[[#This Row],[lower footprint / kg]]*100/product_footprints[[#This Row],[g protein / kg]]</f>
        <v>3.3314285714285714</v>
      </c>
      <c r="S35" s="34">
        <f>product_footprints[[#This Row],[higher footprint / kg]]*100/product_footprints[[#This Row],[g protein / kg]]</f>
        <v>11.47142857142857</v>
      </c>
      <c r="T35" s="9"/>
    </row>
    <row r="36" spans="1:20" s="12" customFormat="1" ht="15" customHeight="1" x14ac:dyDescent="0.2">
      <c r="A36" s="12" t="s">
        <v>95</v>
      </c>
      <c r="B36" s="12" t="s">
        <v>50</v>
      </c>
      <c r="C36" s="12" t="s">
        <v>58</v>
      </c>
      <c r="D36" s="23" t="s">
        <v>39</v>
      </c>
      <c r="E36" s="23" t="s">
        <v>201</v>
      </c>
      <c r="F36" s="71">
        <v>1</v>
      </c>
      <c r="G36" s="15">
        <f>((310237.2*0.082)+(50700*0.1436)+211)/83.2</f>
        <v>395.80493269230777</v>
      </c>
      <c r="H36" s="23" t="s">
        <v>190</v>
      </c>
      <c r="I36" s="15">
        <f>product_footprints[[#This Row],[footprint as presented in study]]</f>
        <v>395.80493269230777</v>
      </c>
      <c r="J36" s="14" t="s">
        <v>55</v>
      </c>
      <c r="K36" s="25"/>
      <c r="L36" s="25"/>
      <c r="M36" s="29" t="s">
        <v>39</v>
      </c>
      <c r="N36" s="15">
        <v>186</v>
      </c>
      <c r="O36" s="19" t="s">
        <v>145</v>
      </c>
      <c r="P36" s="15">
        <v>186</v>
      </c>
      <c r="Q36" s="15">
        <f>product_footprints[[#This Row],[footprint / kg]]*100/product_footprints[[#This Row],[g protein / kg]]</f>
        <v>212.7983509098429</v>
      </c>
      <c r="R36" s="25"/>
      <c r="S36" s="34"/>
      <c r="T36" s="9"/>
    </row>
    <row r="37" spans="1:20" s="12" customFormat="1" ht="15" customHeight="1" x14ac:dyDescent="0.2">
      <c r="A37" s="12" t="s">
        <v>94</v>
      </c>
      <c r="B37" s="12" t="s">
        <v>50</v>
      </c>
      <c r="C37" s="12" t="s">
        <v>58</v>
      </c>
      <c r="D37" s="23" t="s">
        <v>39</v>
      </c>
      <c r="E37" s="23" t="s">
        <v>130</v>
      </c>
      <c r="F37" s="71">
        <v>1</v>
      </c>
      <c r="G37" s="11">
        <v>2.65</v>
      </c>
      <c r="H37" s="17" t="s">
        <v>132</v>
      </c>
      <c r="I37" s="15">
        <v>2.65</v>
      </c>
      <c r="J37" s="14" t="s">
        <v>55</v>
      </c>
      <c r="K37" s="25"/>
      <c r="L37" s="25"/>
      <c r="M37" s="30" t="s">
        <v>39</v>
      </c>
      <c r="N37" s="20">
        <v>14</v>
      </c>
      <c r="O37" s="19" t="s">
        <v>128</v>
      </c>
      <c r="P37" s="58"/>
      <c r="Q37" s="15">
        <f>product_footprints[[#This Row],[protein as presented in study or label]]/10</f>
        <v>1.4</v>
      </c>
      <c r="R37" s="23"/>
      <c r="S37" s="36"/>
      <c r="T37" s="9" t="s">
        <v>202</v>
      </c>
    </row>
    <row r="38" spans="1:20" s="12" customFormat="1" ht="15" customHeight="1" x14ac:dyDescent="0.2">
      <c r="A38" s="12" t="s">
        <v>94</v>
      </c>
      <c r="B38" s="12" t="s">
        <v>50</v>
      </c>
      <c r="C38" s="12" t="s">
        <v>58</v>
      </c>
      <c r="D38" s="23" t="s">
        <v>39</v>
      </c>
      <c r="E38" s="23" t="s">
        <v>144</v>
      </c>
      <c r="F38" s="71">
        <v>1</v>
      </c>
      <c r="G38" s="15">
        <v>3.56</v>
      </c>
      <c r="H38" s="19" t="s">
        <v>138</v>
      </c>
      <c r="I38" s="15">
        <f>product_footprints[[#This Row],[footprint as presented in study]]</f>
        <v>3.56</v>
      </c>
      <c r="J38" s="14" t="s">
        <v>55</v>
      </c>
      <c r="K38" s="25"/>
      <c r="L38" s="25"/>
      <c r="M38" s="29" t="s">
        <v>39</v>
      </c>
      <c r="N38" s="20">
        <v>18</v>
      </c>
      <c r="O38" s="19" t="s">
        <v>196</v>
      </c>
      <c r="P38" s="58"/>
      <c r="Q38" s="15">
        <f>18/10</f>
        <v>1.8</v>
      </c>
      <c r="R38" s="25"/>
      <c r="S38" s="34"/>
      <c r="T38" s="9" t="s">
        <v>202</v>
      </c>
    </row>
    <row r="39" spans="1:20" s="12" customFormat="1" ht="15" customHeight="1" x14ac:dyDescent="0.2">
      <c r="A39" s="12" t="s">
        <v>8</v>
      </c>
      <c r="B39" s="12" t="s">
        <v>54</v>
      </c>
      <c r="C39" s="12" t="s">
        <v>23</v>
      </c>
      <c r="D39" s="70" t="s">
        <v>225</v>
      </c>
      <c r="E39" s="23" t="s">
        <v>130</v>
      </c>
      <c r="F39" s="73">
        <v>1</v>
      </c>
      <c r="G39" s="11">
        <v>2.9</v>
      </c>
      <c r="H39" s="12" t="s">
        <v>132</v>
      </c>
      <c r="I39" s="15">
        <f>product_footprints[[#This Row],[footprint as presented in study]]</f>
        <v>2.9</v>
      </c>
      <c r="J39" s="14" t="s">
        <v>55</v>
      </c>
      <c r="K39" s="17"/>
      <c r="L39" s="17"/>
      <c r="M39" s="31" t="s">
        <v>39</v>
      </c>
      <c r="N39" s="10">
        <v>18</v>
      </c>
      <c r="O39" s="9" t="s">
        <v>151</v>
      </c>
      <c r="P39" s="15">
        <f>product_footprints[[#This Row],[protein as presented in study or label]]*10</f>
        <v>180</v>
      </c>
      <c r="Q39" s="11">
        <f>product_footprints[[#This Row],[footprint / kg]]*100/P39</f>
        <v>1.6111111111111112</v>
      </c>
      <c r="R39" s="17"/>
      <c r="S39" s="33"/>
      <c r="T39" s="9" t="s">
        <v>62</v>
      </c>
    </row>
    <row r="40" spans="1:20" s="12" customFormat="1" ht="15" customHeight="1" x14ac:dyDescent="0.2">
      <c r="A40" s="12" t="s">
        <v>8</v>
      </c>
      <c r="B40" s="12" t="s">
        <v>54</v>
      </c>
      <c r="C40" s="12" t="s">
        <v>28</v>
      </c>
      <c r="D40" s="70" t="s">
        <v>225</v>
      </c>
      <c r="E40" s="23" t="s">
        <v>130</v>
      </c>
      <c r="F40" s="73">
        <v>1</v>
      </c>
      <c r="G40" s="15">
        <v>1.4</v>
      </c>
      <c r="H40" s="12" t="s">
        <v>132</v>
      </c>
      <c r="I40" s="15">
        <f>product_footprints[[#This Row],[footprint as presented in study]]</f>
        <v>1.4</v>
      </c>
      <c r="J40" s="14" t="s">
        <v>55</v>
      </c>
      <c r="K40" s="17"/>
      <c r="L40" s="17"/>
      <c r="M40" s="31" t="s">
        <v>39</v>
      </c>
      <c r="N40" s="10">
        <v>9.4</v>
      </c>
      <c r="O40" s="9" t="s">
        <v>151</v>
      </c>
      <c r="P40" s="15">
        <f>product_footprints[[#This Row],[protein as presented in study or label]]*10</f>
        <v>94</v>
      </c>
      <c r="Q40" s="11">
        <f>product_footprints[[#This Row],[footprint / kg]]*100/P40</f>
        <v>1.4893617021276595</v>
      </c>
      <c r="R40" s="17"/>
      <c r="S40" s="33"/>
      <c r="T40" s="9" t="s">
        <v>62</v>
      </c>
    </row>
    <row r="41" spans="1:20" s="12" customFormat="1" ht="15" customHeight="1" x14ac:dyDescent="0.2">
      <c r="A41" s="12" t="s">
        <v>8</v>
      </c>
      <c r="B41" s="12" t="s">
        <v>54</v>
      </c>
      <c r="C41" s="12" t="s">
        <v>30</v>
      </c>
      <c r="D41" s="70" t="s">
        <v>225</v>
      </c>
      <c r="E41" s="23" t="s">
        <v>130</v>
      </c>
      <c r="F41" s="73">
        <v>1</v>
      </c>
      <c r="G41" s="15">
        <v>2.2000000000000002</v>
      </c>
      <c r="H41" s="12" t="s">
        <v>132</v>
      </c>
      <c r="I41" s="15">
        <f>product_footprints[[#This Row],[footprint as presented in study]]</f>
        <v>2.2000000000000002</v>
      </c>
      <c r="J41" s="14" t="s">
        <v>55</v>
      </c>
      <c r="K41" s="17"/>
      <c r="L41" s="17"/>
      <c r="M41" s="31" t="s">
        <v>39</v>
      </c>
      <c r="N41" s="10">
        <v>9.4</v>
      </c>
      <c r="O41" s="9" t="s">
        <v>151</v>
      </c>
      <c r="P41" s="15">
        <f>product_footprints[[#This Row],[protein as presented in study or label]]*10</f>
        <v>94</v>
      </c>
      <c r="Q41" s="11">
        <f>product_footprints[[#This Row],[footprint / kg]]*100/P41</f>
        <v>2.3404255319148941</v>
      </c>
      <c r="R41" s="17"/>
      <c r="S41" s="33"/>
      <c r="T41" s="9" t="s">
        <v>62</v>
      </c>
    </row>
    <row r="42" spans="1:20" s="12" customFormat="1" ht="15" customHeight="1" x14ac:dyDescent="0.2">
      <c r="A42" s="12" t="s">
        <v>8</v>
      </c>
      <c r="B42" s="12" t="s">
        <v>54</v>
      </c>
      <c r="C42" s="12" t="s">
        <v>29</v>
      </c>
      <c r="D42" s="70" t="s">
        <v>225</v>
      </c>
      <c r="E42" s="23" t="s">
        <v>130</v>
      </c>
      <c r="F42" s="73">
        <v>1</v>
      </c>
      <c r="G42" s="15">
        <v>2.1</v>
      </c>
      <c r="H42" s="12" t="s">
        <v>132</v>
      </c>
      <c r="I42" s="15">
        <f>product_footprints[[#This Row],[footprint as presented in study]]</f>
        <v>2.1</v>
      </c>
      <c r="J42" s="14" t="s">
        <v>55</v>
      </c>
      <c r="K42" s="17"/>
      <c r="L42" s="17"/>
      <c r="M42" s="31" t="s">
        <v>39</v>
      </c>
      <c r="N42" s="10">
        <v>9.4</v>
      </c>
      <c r="O42" s="9" t="s">
        <v>151</v>
      </c>
      <c r="P42" s="15">
        <f>product_footprints[[#This Row],[protein as presented in study or label]]*10</f>
        <v>94</v>
      </c>
      <c r="Q42" s="11">
        <f>product_footprints[[#This Row],[footprint / kg]]*100/P42</f>
        <v>2.2340425531914891</v>
      </c>
      <c r="R42" s="17"/>
      <c r="S42" s="33"/>
      <c r="T42" s="9" t="s">
        <v>62</v>
      </c>
    </row>
    <row r="43" spans="1:20" s="12" customFormat="1" ht="15" customHeight="1" x14ac:dyDescent="0.2">
      <c r="A43" s="12" t="s">
        <v>8</v>
      </c>
      <c r="B43" s="12" t="s">
        <v>54</v>
      </c>
      <c r="C43" s="12" t="s">
        <v>15</v>
      </c>
      <c r="D43" s="70" t="s">
        <v>225</v>
      </c>
      <c r="E43" s="23" t="s">
        <v>130</v>
      </c>
      <c r="F43" s="73">
        <v>1</v>
      </c>
      <c r="G43" s="11">
        <v>1.1499999999999999</v>
      </c>
      <c r="H43" s="12" t="s">
        <v>132</v>
      </c>
      <c r="I43" s="15">
        <f>product_footprints[[#This Row],[footprint as presented in study]]</f>
        <v>1.1499999999999999</v>
      </c>
      <c r="J43" s="14" t="s">
        <v>55</v>
      </c>
      <c r="K43" s="17"/>
      <c r="L43" s="17"/>
      <c r="M43" s="31" t="s">
        <v>39</v>
      </c>
      <c r="N43" s="10">
        <v>12.5</v>
      </c>
      <c r="O43" s="9" t="s">
        <v>151</v>
      </c>
      <c r="P43" s="15">
        <f>product_footprints[[#This Row],[protein as presented in study or label]]*10</f>
        <v>125</v>
      </c>
      <c r="Q43" s="11">
        <f>product_footprints[[#This Row],[footprint / kg]]*100/P43</f>
        <v>0.91999999999999993</v>
      </c>
      <c r="R43" s="17"/>
      <c r="S43" s="33"/>
      <c r="T43" s="9" t="s">
        <v>185</v>
      </c>
    </row>
    <row r="44" spans="1:20" s="12" customFormat="1" ht="15" customHeight="1" x14ac:dyDescent="0.2">
      <c r="A44" s="12" t="s">
        <v>8</v>
      </c>
      <c r="B44" s="12" t="s">
        <v>54</v>
      </c>
      <c r="C44" s="12" t="s">
        <v>21</v>
      </c>
      <c r="D44" s="70" t="s">
        <v>225</v>
      </c>
      <c r="E44" s="23" t="s">
        <v>130</v>
      </c>
      <c r="F44" s="73">
        <v>1</v>
      </c>
      <c r="G44" s="11">
        <v>2.2000000000000002</v>
      </c>
      <c r="H44" s="12" t="s">
        <v>132</v>
      </c>
      <c r="I44" s="15">
        <f>product_footprints[[#This Row],[footprint as presented in study]]</f>
        <v>2.2000000000000002</v>
      </c>
      <c r="J44" s="14" t="s">
        <v>55</v>
      </c>
      <c r="K44" s="17"/>
      <c r="L44" s="17"/>
      <c r="M44" s="31" t="s">
        <v>39</v>
      </c>
      <c r="N44" s="10">
        <v>14.5</v>
      </c>
      <c r="O44" s="9" t="s">
        <v>151</v>
      </c>
      <c r="P44" s="15">
        <f>product_footprints[[#This Row],[protein as presented in study or label]]*10</f>
        <v>145</v>
      </c>
      <c r="Q44" s="11">
        <f>product_footprints[[#This Row],[footprint / kg]]*100/P44</f>
        <v>1.517241379310345</v>
      </c>
      <c r="R44" s="17"/>
      <c r="S44" s="33"/>
      <c r="T44" s="9" t="s">
        <v>62</v>
      </c>
    </row>
    <row r="45" spans="1:20" s="12" customFormat="1" ht="15" customHeight="1" x14ac:dyDescent="0.2">
      <c r="A45" s="12" t="s">
        <v>8</v>
      </c>
      <c r="B45" s="12" t="s">
        <v>54</v>
      </c>
      <c r="C45" s="12" t="s">
        <v>10</v>
      </c>
      <c r="D45" s="70" t="s">
        <v>225</v>
      </c>
      <c r="E45" s="23" t="s">
        <v>130</v>
      </c>
      <c r="F45" s="73">
        <v>1</v>
      </c>
      <c r="G45" s="11">
        <v>1.2</v>
      </c>
      <c r="H45" s="12" t="s">
        <v>132</v>
      </c>
      <c r="I45" s="15">
        <v>1.2</v>
      </c>
      <c r="J45" s="14" t="s">
        <v>55</v>
      </c>
      <c r="K45" s="17"/>
      <c r="L45" s="17"/>
      <c r="M45" s="31" t="s">
        <v>39</v>
      </c>
      <c r="N45" s="10">
        <v>14.5</v>
      </c>
      <c r="O45" s="9" t="s">
        <v>151</v>
      </c>
      <c r="P45" s="15">
        <f>product_footprints[[#This Row],[protein as presented in study or label]]*10</f>
        <v>145</v>
      </c>
      <c r="Q45" s="11">
        <f>product_footprints[[#This Row],[footprint / kg]]*100/P45</f>
        <v>0.82758620689655171</v>
      </c>
      <c r="R45" s="17"/>
      <c r="S45" s="33"/>
      <c r="T45" s="9" t="s">
        <v>62</v>
      </c>
    </row>
    <row r="46" spans="1:20" s="12" customFormat="1" ht="15" customHeight="1" x14ac:dyDescent="0.2">
      <c r="A46" s="12" t="s">
        <v>8</v>
      </c>
      <c r="B46" s="12" t="s">
        <v>54</v>
      </c>
      <c r="C46" s="12" t="s">
        <v>27</v>
      </c>
      <c r="D46" s="70" t="s">
        <v>225</v>
      </c>
      <c r="E46" s="23" t="s">
        <v>130</v>
      </c>
      <c r="F46" s="73">
        <v>1</v>
      </c>
      <c r="G46" s="11">
        <v>3</v>
      </c>
      <c r="H46" s="12" t="s">
        <v>132</v>
      </c>
      <c r="I46" s="15">
        <f>product_footprints[[#This Row],[footprint as presented in study]]</f>
        <v>3</v>
      </c>
      <c r="J46" s="14" t="s">
        <v>55</v>
      </c>
      <c r="K46" s="17"/>
      <c r="L46" s="17"/>
      <c r="M46" s="31" t="s">
        <v>39</v>
      </c>
      <c r="N46" s="10">
        <v>12.9</v>
      </c>
      <c r="O46" s="9" t="s">
        <v>151</v>
      </c>
      <c r="P46" s="15">
        <f>product_footprints[[#This Row],[protein as presented in study or label]]*10</f>
        <v>129</v>
      </c>
      <c r="Q46" s="11">
        <f>product_footprints[[#This Row],[footprint / kg]]*100/P46</f>
        <v>2.3255813953488373</v>
      </c>
      <c r="R46" s="17"/>
      <c r="S46" s="33"/>
      <c r="T46" s="9" t="s">
        <v>62</v>
      </c>
    </row>
    <row r="47" spans="1:20" s="12" customFormat="1" ht="15" customHeight="1" x14ac:dyDescent="0.2">
      <c r="A47" s="12" t="s">
        <v>8</v>
      </c>
      <c r="B47" s="12" t="s">
        <v>54</v>
      </c>
      <c r="C47" s="12" t="s">
        <v>22</v>
      </c>
      <c r="D47" s="70" t="s">
        <v>225</v>
      </c>
      <c r="E47" s="23" t="s">
        <v>130</v>
      </c>
      <c r="F47" s="73">
        <v>1</v>
      </c>
      <c r="G47" s="11">
        <v>2.1</v>
      </c>
      <c r="H47" s="12" t="s">
        <v>132</v>
      </c>
      <c r="I47" s="15">
        <f>product_footprints[[#This Row],[footprint as presented in study]]</f>
        <v>2.1</v>
      </c>
      <c r="J47" s="14" t="s">
        <v>55</v>
      </c>
      <c r="K47" s="17"/>
      <c r="L47" s="17"/>
      <c r="M47" s="31" t="s">
        <v>39</v>
      </c>
      <c r="N47" s="10">
        <v>13.8</v>
      </c>
      <c r="O47" s="9" t="s">
        <v>151</v>
      </c>
      <c r="P47" s="15">
        <f>product_footprints[[#This Row],[protein as presented in study or label]]*10</f>
        <v>138</v>
      </c>
      <c r="Q47" s="11">
        <f>product_footprints[[#This Row],[footprint / kg]]*100/P47</f>
        <v>1.5217391304347827</v>
      </c>
      <c r="R47" s="17"/>
      <c r="S47" s="33"/>
      <c r="T47" s="9" t="s">
        <v>62</v>
      </c>
    </row>
    <row r="48" spans="1:20" s="12" customFormat="1" ht="15" customHeight="1" x14ac:dyDescent="0.2">
      <c r="A48" s="12" t="s">
        <v>8</v>
      </c>
      <c r="B48" s="12" t="s">
        <v>54</v>
      </c>
      <c r="C48" s="12" t="s">
        <v>11</v>
      </c>
      <c r="D48" s="70" t="s">
        <v>225</v>
      </c>
      <c r="E48" s="23" t="s">
        <v>130</v>
      </c>
      <c r="F48" s="73">
        <v>1</v>
      </c>
      <c r="G48" s="11">
        <v>1.2</v>
      </c>
      <c r="H48" s="12" t="s">
        <v>132</v>
      </c>
      <c r="I48" s="15">
        <v>1.2</v>
      </c>
      <c r="J48" s="14" t="s">
        <v>55</v>
      </c>
      <c r="K48" s="17"/>
      <c r="L48" s="17"/>
      <c r="M48" s="31" t="s">
        <v>39</v>
      </c>
      <c r="N48" s="10">
        <v>13.8</v>
      </c>
      <c r="O48" s="9" t="s">
        <v>151</v>
      </c>
      <c r="P48" s="15">
        <f>product_footprints[[#This Row],[protein as presented in study or label]]*10</f>
        <v>138</v>
      </c>
      <c r="Q48" s="11">
        <f>product_footprints[[#This Row],[footprint / kg]]*100/P48</f>
        <v>0.86956521739130432</v>
      </c>
      <c r="R48" s="17"/>
      <c r="S48" s="33"/>
      <c r="T48" s="9" t="s">
        <v>62</v>
      </c>
    </row>
    <row r="49" spans="1:20" s="12" customFormat="1" ht="15" customHeight="1" x14ac:dyDescent="0.2">
      <c r="A49" s="12" t="s">
        <v>8</v>
      </c>
      <c r="B49" s="12" t="s">
        <v>54</v>
      </c>
      <c r="C49" s="12" t="s">
        <v>24</v>
      </c>
      <c r="D49" s="70" t="s">
        <v>225</v>
      </c>
      <c r="E49" s="23" t="s">
        <v>130</v>
      </c>
      <c r="F49" s="73">
        <v>1</v>
      </c>
      <c r="G49" s="11">
        <v>2.5</v>
      </c>
      <c r="H49" s="12" t="s">
        <v>132</v>
      </c>
      <c r="I49" s="15">
        <f>product_footprints[[#This Row],[footprint as presented in study]]</f>
        <v>2.5</v>
      </c>
      <c r="J49" s="14" t="s">
        <v>55</v>
      </c>
      <c r="K49" s="17"/>
      <c r="L49" s="17"/>
      <c r="M49" s="31" t="s">
        <v>39</v>
      </c>
      <c r="N49" s="10">
        <v>11.2</v>
      </c>
      <c r="O49" s="9" t="s">
        <v>151</v>
      </c>
      <c r="P49" s="15">
        <f>product_footprints[[#This Row],[protein as presented in study or label]]*10</f>
        <v>112</v>
      </c>
      <c r="Q49" s="11">
        <f>product_footprints[[#This Row],[footprint / kg]]*100/P49</f>
        <v>2.2321428571428572</v>
      </c>
      <c r="R49" s="17"/>
      <c r="S49" s="33"/>
      <c r="T49" s="9" t="s">
        <v>62</v>
      </c>
    </row>
    <row r="50" spans="1:20" s="12" customFormat="1" ht="15" customHeight="1" x14ac:dyDescent="0.2">
      <c r="A50" s="12" t="s">
        <v>8</v>
      </c>
      <c r="B50" s="12" t="s">
        <v>54</v>
      </c>
      <c r="C50" s="12" t="s">
        <v>20</v>
      </c>
      <c r="D50" s="70" t="s">
        <v>225</v>
      </c>
      <c r="E50" s="23" t="s">
        <v>130</v>
      </c>
      <c r="F50" s="73">
        <v>1</v>
      </c>
      <c r="G50" s="11">
        <v>1.6</v>
      </c>
      <c r="H50" s="12" t="s">
        <v>132</v>
      </c>
      <c r="I50" s="15">
        <f>product_footprints[[#This Row],[footprint as presented in study]]</f>
        <v>1.6</v>
      </c>
      <c r="J50" s="14" t="s">
        <v>55</v>
      </c>
      <c r="K50" s="17"/>
      <c r="L50" s="17"/>
      <c r="M50" s="31" t="s">
        <v>39</v>
      </c>
      <c r="N50" s="10">
        <v>11.2</v>
      </c>
      <c r="O50" s="9" t="s">
        <v>151</v>
      </c>
      <c r="P50" s="15">
        <f>product_footprints[[#This Row],[protein as presented in study or label]]*10</f>
        <v>112</v>
      </c>
      <c r="Q50" s="11">
        <f>product_footprints[[#This Row],[footprint / kg]]*100/P50</f>
        <v>1.4285714285714286</v>
      </c>
      <c r="R50" s="17"/>
      <c r="S50" s="33"/>
      <c r="T50" s="9" t="s">
        <v>62</v>
      </c>
    </row>
    <row r="51" spans="1:20" s="12" customFormat="1" ht="15" customHeight="1" x14ac:dyDescent="0.2">
      <c r="A51" s="12" t="s">
        <v>8</v>
      </c>
      <c r="B51" s="12" t="s">
        <v>54</v>
      </c>
      <c r="C51" s="12" t="s">
        <v>18</v>
      </c>
      <c r="D51" s="70" t="s">
        <v>226</v>
      </c>
      <c r="E51" s="23" t="s">
        <v>130</v>
      </c>
      <c r="F51" s="73">
        <v>1</v>
      </c>
      <c r="G51" s="11">
        <v>1.5</v>
      </c>
      <c r="H51" s="12" t="s">
        <v>132</v>
      </c>
      <c r="I51" s="15">
        <f>product_footprints[[#This Row],[footprint as presented in study]]</f>
        <v>1.5</v>
      </c>
      <c r="J51" s="14" t="s">
        <v>55</v>
      </c>
      <c r="K51" s="17"/>
      <c r="L51" s="17"/>
      <c r="M51" s="31" t="s">
        <v>39</v>
      </c>
      <c r="N51" s="10">
        <v>4.5</v>
      </c>
      <c r="O51" s="9" t="s">
        <v>151</v>
      </c>
      <c r="P51" s="15">
        <f>product_footprints[[#This Row],[protein as presented in study or label]]*10</f>
        <v>45</v>
      </c>
      <c r="Q51" s="11">
        <f>product_footprints[[#This Row],[footprint / kg]]*100/P51</f>
        <v>3.3333333333333335</v>
      </c>
      <c r="R51" s="17"/>
      <c r="S51" s="33"/>
      <c r="T51" s="9" t="s">
        <v>185</v>
      </c>
    </row>
    <row r="52" spans="1:20" s="12" customFormat="1" ht="15" customHeight="1" x14ac:dyDescent="0.2">
      <c r="A52" s="12" t="s">
        <v>8</v>
      </c>
      <c r="B52" s="12" t="s">
        <v>54</v>
      </c>
      <c r="C52" s="12" t="s">
        <v>31</v>
      </c>
      <c r="D52" s="70" t="s">
        <v>226</v>
      </c>
      <c r="E52" s="23" t="s">
        <v>130</v>
      </c>
      <c r="F52" s="73">
        <v>1</v>
      </c>
      <c r="G52" s="11">
        <v>1.5</v>
      </c>
      <c r="H52" s="12" t="s">
        <v>132</v>
      </c>
      <c r="I52" s="15">
        <f>product_footprints[[#This Row],[footprint as presented in study]]</f>
        <v>1.5</v>
      </c>
      <c r="J52" s="14" t="s">
        <v>55</v>
      </c>
      <c r="K52" s="17"/>
      <c r="L52" s="17"/>
      <c r="M52" s="31" t="s">
        <v>39</v>
      </c>
      <c r="N52" s="10">
        <v>4.5</v>
      </c>
      <c r="O52" s="9" t="s">
        <v>151</v>
      </c>
      <c r="P52" s="15">
        <f>product_footprints[[#This Row],[protein as presented in study or label]]*10</f>
        <v>45</v>
      </c>
      <c r="Q52" s="11">
        <f>product_footprints[[#This Row],[footprint / kg]]*100/P52</f>
        <v>3.3333333333333335</v>
      </c>
      <c r="R52" s="17"/>
      <c r="S52" s="33"/>
      <c r="T52" s="9" t="s">
        <v>185</v>
      </c>
    </row>
    <row r="53" spans="1:20" s="12" customFormat="1" ht="15" customHeight="1" x14ac:dyDescent="0.2">
      <c r="A53" s="12" t="s">
        <v>8</v>
      </c>
      <c r="B53" s="12" t="s">
        <v>54</v>
      </c>
      <c r="C53" s="12" t="s">
        <v>19</v>
      </c>
      <c r="D53" s="70" t="s">
        <v>226</v>
      </c>
      <c r="E53" s="23" t="s">
        <v>130</v>
      </c>
      <c r="F53" s="73">
        <v>1</v>
      </c>
      <c r="G53" s="11">
        <v>1.5</v>
      </c>
      <c r="H53" s="12" t="s">
        <v>132</v>
      </c>
      <c r="I53" s="15">
        <f>product_footprints[[#This Row],[footprint as presented in study]]</f>
        <v>1.5</v>
      </c>
      <c r="J53" s="14" t="s">
        <v>55</v>
      </c>
      <c r="K53" s="17"/>
      <c r="L53" s="17"/>
      <c r="M53" s="31" t="s">
        <v>39</v>
      </c>
      <c r="N53" s="10">
        <v>4.5</v>
      </c>
      <c r="O53" s="9" t="s">
        <v>151</v>
      </c>
      <c r="P53" s="15">
        <f>product_footprints[[#This Row],[protein as presented in study or label]]*10</f>
        <v>45</v>
      </c>
      <c r="Q53" s="11">
        <f>product_footprints[[#This Row],[footprint / kg]]*100/P53</f>
        <v>3.3333333333333335</v>
      </c>
      <c r="R53" s="17"/>
      <c r="S53" s="33"/>
      <c r="T53" s="9" t="s">
        <v>185</v>
      </c>
    </row>
    <row r="54" spans="1:20" s="12" customFormat="1" ht="15" customHeight="1" x14ac:dyDescent="0.2">
      <c r="A54" s="12" t="s">
        <v>8</v>
      </c>
      <c r="B54" s="12" t="s">
        <v>54</v>
      </c>
      <c r="C54" s="12" t="s">
        <v>13</v>
      </c>
      <c r="D54" s="70" t="s">
        <v>226</v>
      </c>
      <c r="E54" s="23" t="s">
        <v>130</v>
      </c>
      <c r="F54" s="73">
        <v>1</v>
      </c>
      <c r="G54" s="11">
        <v>1.5</v>
      </c>
      <c r="H54" s="12" t="s">
        <v>132</v>
      </c>
      <c r="I54" s="15">
        <v>1.5</v>
      </c>
      <c r="J54" s="14" t="s">
        <v>55</v>
      </c>
      <c r="K54" s="17"/>
      <c r="L54" s="17"/>
      <c r="M54" s="31" t="s">
        <v>39</v>
      </c>
      <c r="N54" s="10">
        <v>11</v>
      </c>
      <c r="O54" s="9" t="s">
        <v>151</v>
      </c>
      <c r="P54" s="15">
        <f>product_footprints[[#This Row],[protein as presented in study or label]]*10</f>
        <v>110</v>
      </c>
      <c r="Q54" s="11">
        <f>product_footprints[[#This Row],[footprint / kg]]*100/P54</f>
        <v>1.3636363636363635</v>
      </c>
      <c r="R54" s="17"/>
      <c r="S54" s="33"/>
      <c r="T54" s="9" t="s">
        <v>185</v>
      </c>
    </row>
    <row r="55" spans="1:20" s="12" customFormat="1" ht="15" customHeight="1" x14ac:dyDescent="0.2">
      <c r="A55" s="12" t="s">
        <v>8</v>
      </c>
      <c r="B55" s="12" t="s">
        <v>54</v>
      </c>
      <c r="C55" s="12" t="s">
        <v>26</v>
      </c>
      <c r="D55" s="70" t="s">
        <v>226</v>
      </c>
      <c r="E55" s="23" t="s">
        <v>130</v>
      </c>
      <c r="F55" s="73">
        <v>1</v>
      </c>
      <c r="G55" s="11">
        <v>3.1</v>
      </c>
      <c r="H55" s="12" t="s">
        <v>132</v>
      </c>
      <c r="I55" s="15">
        <f>product_footprints[[#This Row],[footprint as presented in study]]</f>
        <v>3.1</v>
      </c>
      <c r="J55" s="14" t="s">
        <v>55</v>
      </c>
      <c r="K55" s="17"/>
      <c r="L55" s="17"/>
      <c r="M55" s="31" t="s">
        <v>39</v>
      </c>
      <c r="N55" s="10">
        <v>11</v>
      </c>
      <c r="O55" s="9" t="s">
        <v>151</v>
      </c>
      <c r="P55" s="15">
        <f>product_footprints[[#This Row],[protein as presented in study or label]]*10</f>
        <v>110</v>
      </c>
      <c r="Q55" s="11">
        <f>product_footprints[[#This Row],[footprint / kg]]*100/P55</f>
        <v>2.8181818181818183</v>
      </c>
      <c r="R55" s="17"/>
      <c r="S55" s="33"/>
      <c r="T55" s="9" t="s">
        <v>62</v>
      </c>
    </row>
    <row r="56" spans="1:20" s="12" customFormat="1" ht="15" customHeight="1" x14ac:dyDescent="0.2">
      <c r="A56" s="12" t="s">
        <v>8</v>
      </c>
      <c r="B56" s="12" t="s">
        <v>54</v>
      </c>
      <c r="C56" s="12" t="s">
        <v>16</v>
      </c>
      <c r="D56" s="70" t="s">
        <v>226</v>
      </c>
      <c r="E56" s="23" t="s">
        <v>130</v>
      </c>
      <c r="F56" s="73">
        <v>1</v>
      </c>
      <c r="G56" s="11">
        <v>1.7</v>
      </c>
      <c r="H56" s="12" t="s">
        <v>132</v>
      </c>
      <c r="I56" s="15">
        <f>product_footprints[[#This Row],[footprint as presented in study]]</f>
        <v>1.7</v>
      </c>
      <c r="J56" s="14" t="s">
        <v>55</v>
      </c>
      <c r="K56" s="17"/>
      <c r="L56" s="17"/>
      <c r="M56" s="31" t="s">
        <v>39</v>
      </c>
      <c r="N56" s="10">
        <v>14.2</v>
      </c>
      <c r="O56" s="9" t="s">
        <v>151</v>
      </c>
      <c r="P56" s="15">
        <f>product_footprints[[#This Row],[protein as presented in study or label]]*10</f>
        <v>142</v>
      </c>
      <c r="Q56" s="11">
        <f>product_footprints[[#This Row],[footprint / kg]]*100/P56</f>
        <v>1.1971830985915493</v>
      </c>
      <c r="R56" s="17"/>
      <c r="S56" s="33"/>
      <c r="T56" s="9" t="s">
        <v>185</v>
      </c>
    </row>
    <row r="57" spans="1:20" s="12" customFormat="1" ht="15" customHeight="1" x14ac:dyDescent="0.2">
      <c r="A57" s="12" t="s">
        <v>8</v>
      </c>
      <c r="B57" s="12" t="s">
        <v>54</v>
      </c>
      <c r="C57" s="12" t="s">
        <v>25</v>
      </c>
      <c r="D57" s="70" t="s">
        <v>226</v>
      </c>
      <c r="E57" s="23" t="s">
        <v>130</v>
      </c>
      <c r="F57" s="73">
        <v>1</v>
      </c>
      <c r="G57" s="11">
        <v>3.1</v>
      </c>
      <c r="H57" s="12" t="s">
        <v>132</v>
      </c>
      <c r="I57" s="15">
        <f>product_footprints[[#This Row],[footprint as presented in study]]</f>
        <v>3.1</v>
      </c>
      <c r="J57" s="14" t="s">
        <v>55</v>
      </c>
      <c r="K57" s="17"/>
      <c r="L57" s="17"/>
      <c r="M57" s="31" t="s">
        <v>39</v>
      </c>
      <c r="N57" s="10">
        <v>13.5</v>
      </c>
      <c r="O57" s="9" t="s">
        <v>151</v>
      </c>
      <c r="P57" s="15">
        <f>product_footprints[[#This Row],[protein as presented in study or label]]*10</f>
        <v>135</v>
      </c>
      <c r="Q57" s="11">
        <f>product_footprints[[#This Row],[footprint / kg]]*100/P57</f>
        <v>2.2962962962962963</v>
      </c>
      <c r="R57" s="17"/>
      <c r="S57" s="33"/>
      <c r="T57" s="9" t="s">
        <v>62</v>
      </c>
    </row>
    <row r="58" spans="1:20" s="12" customFormat="1" ht="15" customHeight="1" x14ac:dyDescent="0.2">
      <c r="A58" s="12" t="s">
        <v>8</v>
      </c>
      <c r="B58" s="12" t="s">
        <v>54</v>
      </c>
      <c r="C58" s="12" t="s">
        <v>14</v>
      </c>
      <c r="D58" s="70" t="s">
        <v>226</v>
      </c>
      <c r="E58" s="23" t="s">
        <v>130</v>
      </c>
      <c r="F58" s="73">
        <v>1</v>
      </c>
      <c r="G58" s="11">
        <v>1.5</v>
      </c>
      <c r="H58" s="12" t="s">
        <v>132</v>
      </c>
      <c r="I58" s="15">
        <f>product_footprints[[#This Row],[footprint as presented in study]]</f>
        <v>1.5</v>
      </c>
      <c r="J58" s="14" t="s">
        <v>55</v>
      </c>
      <c r="K58" s="17"/>
      <c r="L58" s="17"/>
      <c r="M58" s="31" t="s">
        <v>39</v>
      </c>
      <c r="N58" s="10">
        <v>11.1</v>
      </c>
      <c r="O58" s="9" t="s">
        <v>151</v>
      </c>
      <c r="P58" s="15">
        <f>product_footprints[[#This Row],[protein as presented in study or label]]*10</f>
        <v>111</v>
      </c>
      <c r="Q58" s="11">
        <f>product_footprints[[#This Row],[footprint / kg]]*100/P58</f>
        <v>1.3513513513513513</v>
      </c>
      <c r="R58" s="17"/>
      <c r="S58" s="33"/>
      <c r="T58" s="9" t="s">
        <v>62</v>
      </c>
    </row>
    <row r="59" spans="1:20" s="12" customFormat="1" ht="15" customHeight="1" x14ac:dyDescent="0.2">
      <c r="A59" s="12" t="s">
        <v>8</v>
      </c>
      <c r="B59" s="12" t="s">
        <v>54</v>
      </c>
      <c r="C59" s="12" t="s">
        <v>17</v>
      </c>
      <c r="D59" s="70" t="s">
        <v>226</v>
      </c>
      <c r="E59" s="23" t="s">
        <v>130</v>
      </c>
      <c r="F59" s="73">
        <v>1</v>
      </c>
      <c r="G59" s="11">
        <v>3</v>
      </c>
      <c r="H59" s="12" t="s">
        <v>132</v>
      </c>
      <c r="I59" s="15">
        <f>product_footprints[[#This Row],[footprint as presented in study]]</f>
        <v>3</v>
      </c>
      <c r="J59" s="14" t="s">
        <v>55</v>
      </c>
      <c r="K59" s="17"/>
      <c r="L59" s="17"/>
      <c r="M59" s="31" t="s">
        <v>39</v>
      </c>
      <c r="N59" s="10">
        <v>12</v>
      </c>
      <c r="O59" s="9" t="s">
        <v>151</v>
      </c>
      <c r="P59" s="15">
        <f>product_footprints[[#This Row],[protein as presented in study or label]]*10</f>
        <v>120</v>
      </c>
      <c r="Q59" s="11">
        <f>product_footprints[[#This Row],[footprint / kg]]*100/P59</f>
        <v>2.5</v>
      </c>
      <c r="R59" s="17"/>
      <c r="S59" s="33"/>
      <c r="T59" s="9" t="s">
        <v>62</v>
      </c>
    </row>
    <row r="60" spans="1:20" s="12" customFormat="1" ht="15" customHeight="1" x14ac:dyDescent="0.2">
      <c r="A60" s="12" t="s">
        <v>8</v>
      </c>
      <c r="B60" s="12" t="s">
        <v>54</v>
      </c>
      <c r="C60" s="12" t="s">
        <v>12</v>
      </c>
      <c r="D60" s="70" t="s">
        <v>226</v>
      </c>
      <c r="E60" s="23" t="s">
        <v>130</v>
      </c>
      <c r="F60" s="73">
        <v>1</v>
      </c>
      <c r="G60" s="11">
        <v>1.4</v>
      </c>
      <c r="H60" s="12" t="s">
        <v>132</v>
      </c>
      <c r="I60" s="15">
        <v>1.4</v>
      </c>
      <c r="J60" s="14" t="s">
        <v>55</v>
      </c>
      <c r="K60" s="17"/>
      <c r="L60" s="17"/>
      <c r="M60" s="31" t="s">
        <v>39</v>
      </c>
      <c r="N60" s="10">
        <v>15.3</v>
      </c>
      <c r="O60" s="9" t="s">
        <v>151</v>
      </c>
      <c r="P60" s="15">
        <f>product_footprints[[#This Row],[protein as presented in study or label]]*10</f>
        <v>153</v>
      </c>
      <c r="Q60" s="11">
        <f>product_footprints[[#This Row],[footprint / kg]]*100/P60</f>
        <v>0.91503267973856206</v>
      </c>
      <c r="R60" s="17"/>
      <c r="S60" s="33"/>
      <c r="T60" s="9" t="s">
        <v>62</v>
      </c>
    </row>
    <row r="61" spans="1:20" s="12" customFormat="1" ht="15" customHeight="1" x14ac:dyDescent="0.2">
      <c r="A61" s="12" t="s">
        <v>251</v>
      </c>
      <c r="B61" s="12" t="s">
        <v>54</v>
      </c>
      <c r="C61" s="12" t="s">
        <v>112</v>
      </c>
      <c r="D61" s="70" t="s">
        <v>49</v>
      </c>
      <c r="E61" s="23" t="s">
        <v>130</v>
      </c>
      <c r="F61" s="71">
        <v>1</v>
      </c>
      <c r="G61" s="11">
        <v>1.5</v>
      </c>
      <c r="H61" s="21" t="s">
        <v>132</v>
      </c>
      <c r="I61" s="15">
        <v>1.5</v>
      </c>
      <c r="J61" s="14" t="s">
        <v>55</v>
      </c>
      <c r="K61" s="17"/>
      <c r="L61" s="17"/>
      <c r="M61" s="31" t="s">
        <v>39</v>
      </c>
      <c r="N61" s="11">
        <v>15</v>
      </c>
      <c r="O61" s="9" t="s">
        <v>151</v>
      </c>
      <c r="P61" s="15">
        <f>product_footprints[[#This Row],[protein as presented in study or label]]*10</f>
        <v>150</v>
      </c>
      <c r="Q61" s="11">
        <f>product_footprints[[#This Row],[footprint / kg]]*100/P61</f>
        <v>1</v>
      </c>
      <c r="R61" s="17"/>
      <c r="S61" s="33"/>
      <c r="T61" s="9"/>
    </row>
    <row r="62" spans="1:20" s="12" customFormat="1" ht="15" customHeight="1" x14ac:dyDescent="0.2">
      <c r="A62" s="12" t="s">
        <v>251</v>
      </c>
      <c r="B62" s="12" t="s">
        <v>54</v>
      </c>
      <c r="C62" s="12" t="s">
        <v>114</v>
      </c>
      <c r="D62" s="70" t="s">
        <v>49</v>
      </c>
      <c r="E62" s="23" t="s">
        <v>130</v>
      </c>
      <c r="F62" s="71">
        <v>1</v>
      </c>
      <c r="G62" s="11">
        <v>2.2000000000000002</v>
      </c>
      <c r="H62" s="21" t="s">
        <v>132</v>
      </c>
      <c r="I62" s="15">
        <v>2.2000000000000002</v>
      </c>
      <c r="J62" s="14" t="s">
        <v>55</v>
      </c>
      <c r="K62" s="17"/>
      <c r="L62" s="17"/>
      <c r="M62" s="31" t="s">
        <v>39</v>
      </c>
      <c r="N62" s="10">
        <v>19.100000000000001</v>
      </c>
      <c r="O62" s="9" t="s">
        <v>151</v>
      </c>
      <c r="P62" s="15">
        <f>product_footprints[[#This Row],[protein as presented in study or label]]*10</f>
        <v>191</v>
      </c>
      <c r="Q62" s="11">
        <f>product_footprints[[#This Row],[footprint / kg]]*100/P62</f>
        <v>1.1518324607329844</v>
      </c>
      <c r="R62" s="17"/>
      <c r="S62" s="33"/>
      <c r="T62" s="9"/>
    </row>
    <row r="63" spans="1:20" s="12" customFormat="1" ht="15" customHeight="1" x14ac:dyDescent="0.2">
      <c r="A63" s="12" t="s">
        <v>251</v>
      </c>
      <c r="B63" s="12" t="s">
        <v>54</v>
      </c>
      <c r="C63" s="12" t="s">
        <v>115</v>
      </c>
      <c r="D63" s="70" t="s">
        <v>49</v>
      </c>
      <c r="E63" s="23" t="s">
        <v>130</v>
      </c>
      <c r="F63" s="71">
        <v>1</v>
      </c>
      <c r="G63" s="11">
        <v>2.2000000000000002</v>
      </c>
      <c r="H63" s="21" t="s">
        <v>132</v>
      </c>
      <c r="I63" s="15">
        <v>2.2000000000000002</v>
      </c>
      <c r="J63" s="14" t="s">
        <v>55</v>
      </c>
      <c r="K63" s="17"/>
      <c r="L63" s="17"/>
      <c r="M63" s="31" t="s">
        <v>39</v>
      </c>
      <c r="N63" s="11">
        <v>17</v>
      </c>
      <c r="O63" s="9" t="s">
        <v>151</v>
      </c>
      <c r="P63" s="15">
        <f>product_footprints[[#This Row],[protein as presented in study or label]]*10</f>
        <v>170</v>
      </c>
      <c r="Q63" s="11">
        <f>product_footprints[[#This Row],[footprint / kg]]*100/P63</f>
        <v>1.2941176470588236</v>
      </c>
      <c r="R63" s="17"/>
      <c r="S63" s="33"/>
      <c r="T63" s="9"/>
    </row>
    <row r="64" spans="1:20" s="12" customFormat="1" ht="15" customHeight="1" x14ac:dyDescent="0.2">
      <c r="A64" s="12" t="s">
        <v>251</v>
      </c>
      <c r="B64" s="12" t="s">
        <v>54</v>
      </c>
      <c r="C64" s="12" t="s">
        <v>110</v>
      </c>
      <c r="D64" s="70" t="s">
        <v>49</v>
      </c>
      <c r="E64" s="23" t="s">
        <v>130</v>
      </c>
      <c r="F64" s="71">
        <v>1</v>
      </c>
      <c r="G64" s="11">
        <v>1.5</v>
      </c>
      <c r="H64" s="21" t="s">
        <v>132</v>
      </c>
      <c r="I64" s="15">
        <v>1.5</v>
      </c>
      <c r="J64" s="14" t="s">
        <v>55</v>
      </c>
      <c r="K64" s="17"/>
      <c r="L64" s="17"/>
      <c r="M64" s="31" t="s">
        <v>39</v>
      </c>
      <c r="N64" s="11">
        <v>15</v>
      </c>
      <c r="O64" s="9" t="s">
        <v>151</v>
      </c>
      <c r="P64" s="15">
        <f>product_footprints[[#This Row],[protein as presented in study or label]]*10</f>
        <v>150</v>
      </c>
      <c r="Q64" s="11">
        <f>product_footprints[[#This Row],[footprint / kg]]*100/P64</f>
        <v>1</v>
      </c>
      <c r="R64" s="17"/>
      <c r="S64" s="33"/>
      <c r="T64" s="9"/>
    </row>
    <row r="65" spans="1:20" s="12" customFormat="1" ht="15" customHeight="1" x14ac:dyDescent="0.2">
      <c r="A65" s="12" t="s">
        <v>251</v>
      </c>
      <c r="B65" s="12" t="s">
        <v>54</v>
      </c>
      <c r="C65" s="12" t="s">
        <v>113</v>
      </c>
      <c r="D65" s="70" t="s">
        <v>49</v>
      </c>
      <c r="E65" s="23" t="s">
        <v>130</v>
      </c>
      <c r="F65" s="71">
        <v>1</v>
      </c>
      <c r="G65" s="11">
        <v>1.5</v>
      </c>
      <c r="H65" s="21" t="s">
        <v>132</v>
      </c>
      <c r="I65" s="15">
        <v>1.5</v>
      </c>
      <c r="J65" s="14" t="s">
        <v>55</v>
      </c>
      <c r="K65" s="17"/>
      <c r="L65" s="17"/>
      <c r="M65" s="31" t="s">
        <v>39</v>
      </c>
      <c r="N65" s="10">
        <v>7.8</v>
      </c>
      <c r="O65" s="9" t="s">
        <v>151</v>
      </c>
      <c r="P65" s="15">
        <f>product_footprints[[#This Row],[protein as presented in study or label]]*10</f>
        <v>78</v>
      </c>
      <c r="Q65" s="11">
        <f>product_footprints[[#This Row],[footprint / kg]]*100/P65</f>
        <v>1.9230769230769231</v>
      </c>
      <c r="R65" s="17"/>
      <c r="S65" s="33"/>
      <c r="T65" s="9"/>
    </row>
    <row r="66" spans="1:20" s="12" customFormat="1" ht="15" customHeight="1" x14ac:dyDescent="0.2">
      <c r="A66" s="12" t="s">
        <v>251</v>
      </c>
      <c r="B66" s="12" t="s">
        <v>54</v>
      </c>
      <c r="C66" s="12" t="s">
        <v>111</v>
      </c>
      <c r="D66" s="70" t="s">
        <v>49</v>
      </c>
      <c r="E66" s="23" t="s">
        <v>130</v>
      </c>
      <c r="F66" s="71">
        <v>1</v>
      </c>
      <c r="G66" s="11">
        <v>1.5</v>
      </c>
      <c r="H66" s="21" t="s">
        <v>132</v>
      </c>
      <c r="I66" s="15">
        <v>1.5</v>
      </c>
      <c r="J66" s="14" t="s">
        <v>55</v>
      </c>
      <c r="K66" s="17"/>
      <c r="L66" s="17"/>
      <c r="M66" s="31" t="s">
        <v>39</v>
      </c>
      <c r="N66" s="10">
        <v>13.3</v>
      </c>
      <c r="O66" s="9" t="s">
        <v>151</v>
      </c>
      <c r="P66" s="15">
        <f>product_footprints[[#This Row],[protein as presented in study or label]]*10</f>
        <v>133</v>
      </c>
      <c r="Q66" s="11">
        <f>product_footprints[[#This Row],[footprint / kg]]*100/P66</f>
        <v>1.1278195488721805</v>
      </c>
      <c r="R66" s="17"/>
      <c r="S66" s="33"/>
      <c r="T66" s="9"/>
    </row>
    <row r="67" spans="1:20" s="12" customFormat="1" ht="15" customHeight="1" x14ac:dyDescent="0.2">
      <c r="A67" s="12" t="s">
        <v>251</v>
      </c>
      <c r="B67" s="12" t="s">
        <v>54</v>
      </c>
      <c r="C67" s="12" t="s">
        <v>112</v>
      </c>
      <c r="D67" s="70" t="s">
        <v>49</v>
      </c>
      <c r="E67" s="23" t="s">
        <v>144</v>
      </c>
      <c r="F67" s="71">
        <v>1</v>
      </c>
      <c r="G67" s="11">
        <v>1.7</v>
      </c>
      <c r="H67" s="4" t="s">
        <v>138</v>
      </c>
      <c r="I67" s="11">
        <f>product_footprints[[#This Row],[footprint as presented in study]]</f>
        <v>1.7</v>
      </c>
      <c r="J67" s="14" t="s">
        <v>55</v>
      </c>
      <c r="K67" s="25"/>
      <c r="L67" s="25"/>
      <c r="M67" s="29" t="s">
        <v>39</v>
      </c>
      <c r="N67" s="11">
        <v>15</v>
      </c>
      <c r="O67" s="9" t="s">
        <v>151</v>
      </c>
      <c r="P67" s="15">
        <f>product_footprints[[#This Row],[protein as presented in study or label]]*10</f>
        <v>150</v>
      </c>
      <c r="Q67" s="15">
        <f>product_footprints[[#This Row],[footprint / kg]]*100/product_footprints[[#This Row],[g protein / kg]]</f>
        <v>1.1333333333333333</v>
      </c>
      <c r="R67" s="25"/>
      <c r="S67" s="34"/>
      <c r="T67" s="9"/>
    </row>
    <row r="68" spans="1:20" s="12" customFormat="1" ht="15" customHeight="1" x14ac:dyDescent="0.2">
      <c r="A68" s="12" t="s">
        <v>251</v>
      </c>
      <c r="B68" s="12" t="s">
        <v>54</v>
      </c>
      <c r="C68" s="12" t="s">
        <v>114</v>
      </c>
      <c r="D68" s="70" t="s">
        <v>49</v>
      </c>
      <c r="E68" s="23" t="s">
        <v>144</v>
      </c>
      <c r="F68" s="71">
        <v>1</v>
      </c>
      <c r="G68" s="11">
        <v>2.7</v>
      </c>
      <c r="H68" s="4" t="s">
        <v>138</v>
      </c>
      <c r="I68" s="11">
        <f>product_footprints[[#This Row],[footprint as presented in study]]</f>
        <v>2.7</v>
      </c>
      <c r="J68" s="14" t="s">
        <v>55</v>
      </c>
      <c r="K68" s="25"/>
      <c r="L68" s="25"/>
      <c r="M68" s="29" t="s">
        <v>39</v>
      </c>
      <c r="N68" s="10">
        <v>19.100000000000001</v>
      </c>
      <c r="O68" s="9" t="s">
        <v>151</v>
      </c>
      <c r="P68" s="15">
        <f>product_footprints[[#This Row],[protein as presented in study or label]]*10</f>
        <v>191</v>
      </c>
      <c r="Q68" s="15">
        <f>product_footprints[[#This Row],[footprint / kg]]*100/product_footprints[[#This Row],[g protein / kg]]</f>
        <v>1.4136125654450262</v>
      </c>
      <c r="R68" s="25"/>
      <c r="S68" s="34"/>
      <c r="T68" s="9"/>
    </row>
    <row r="69" spans="1:20" s="12" customFormat="1" ht="15" customHeight="1" x14ac:dyDescent="0.2">
      <c r="A69" s="12" t="s">
        <v>251</v>
      </c>
      <c r="B69" s="12" t="s">
        <v>54</v>
      </c>
      <c r="C69" s="12" t="s">
        <v>115</v>
      </c>
      <c r="D69" s="70" t="s">
        <v>49</v>
      </c>
      <c r="E69" s="23" t="s">
        <v>144</v>
      </c>
      <c r="F69" s="71">
        <v>1</v>
      </c>
      <c r="G69" s="11">
        <v>2.7</v>
      </c>
      <c r="H69" s="4" t="s">
        <v>138</v>
      </c>
      <c r="I69" s="11">
        <f>product_footprints[[#This Row],[footprint as presented in study]]</f>
        <v>2.7</v>
      </c>
      <c r="J69" s="14" t="s">
        <v>55</v>
      </c>
      <c r="K69" s="25"/>
      <c r="L69" s="25"/>
      <c r="M69" s="29" t="s">
        <v>39</v>
      </c>
      <c r="N69" s="11">
        <v>17</v>
      </c>
      <c r="O69" s="9" t="s">
        <v>151</v>
      </c>
      <c r="P69" s="15">
        <f>product_footprints[[#This Row],[protein as presented in study or label]]*10</f>
        <v>170</v>
      </c>
      <c r="Q69" s="15">
        <f>product_footprints[[#This Row],[footprint / kg]]*100/product_footprints[[#This Row],[g protein / kg]]</f>
        <v>1.588235294117647</v>
      </c>
      <c r="R69" s="25"/>
      <c r="S69" s="34"/>
      <c r="T69" s="9"/>
    </row>
    <row r="70" spans="1:20" s="12" customFormat="1" ht="15" customHeight="1" x14ac:dyDescent="0.2">
      <c r="A70" s="12" t="s">
        <v>251</v>
      </c>
      <c r="B70" s="12" t="s">
        <v>54</v>
      </c>
      <c r="C70" s="12" t="s">
        <v>110</v>
      </c>
      <c r="D70" s="70" t="s">
        <v>49</v>
      </c>
      <c r="E70" s="23" t="s">
        <v>144</v>
      </c>
      <c r="F70" s="71">
        <v>1</v>
      </c>
      <c r="G70" s="11">
        <v>1.7</v>
      </c>
      <c r="H70" s="4" t="s">
        <v>138</v>
      </c>
      <c r="I70" s="11">
        <f>product_footprints[[#This Row],[footprint as presented in study]]</f>
        <v>1.7</v>
      </c>
      <c r="J70" s="14" t="s">
        <v>55</v>
      </c>
      <c r="K70" s="25"/>
      <c r="L70" s="25"/>
      <c r="M70" s="29" t="s">
        <v>39</v>
      </c>
      <c r="N70" s="11">
        <v>15</v>
      </c>
      <c r="O70" s="9" t="s">
        <v>151</v>
      </c>
      <c r="P70" s="15">
        <f>product_footprints[[#This Row],[protein as presented in study or label]]*10</f>
        <v>150</v>
      </c>
      <c r="Q70" s="15">
        <f>product_footprints[[#This Row],[footprint / kg]]*100/product_footprints[[#This Row],[g protein / kg]]</f>
        <v>1.1333333333333333</v>
      </c>
      <c r="R70" s="25"/>
      <c r="S70" s="34"/>
      <c r="T70" s="9"/>
    </row>
    <row r="71" spans="1:20" s="12" customFormat="1" ht="15" customHeight="1" x14ac:dyDescent="0.2">
      <c r="A71" s="12" t="s">
        <v>251</v>
      </c>
      <c r="B71" s="12" t="s">
        <v>54</v>
      </c>
      <c r="C71" s="12" t="s">
        <v>113</v>
      </c>
      <c r="D71" s="70" t="s">
        <v>49</v>
      </c>
      <c r="E71" s="23" t="s">
        <v>144</v>
      </c>
      <c r="F71" s="71">
        <v>1</v>
      </c>
      <c r="G71" s="11">
        <v>1.7</v>
      </c>
      <c r="H71" s="4" t="s">
        <v>138</v>
      </c>
      <c r="I71" s="11">
        <f>product_footprints[[#This Row],[footprint as presented in study]]</f>
        <v>1.7</v>
      </c>
      <c r="J71" s="14" t="s">
        <v>55</v>
      </c>
      <c r="K71" s="25"/>
      <c r="L71" s="25"/>
      <c r="M71" s="29" t="s">
        <v>39</v>
      </c>
      <c r="N71" s="10">
        <v>7.8</v>
      </c>
      <c r="O71" s="9" t="s">
        <v>151</v>
      </c>
      <c r="P71" s="15">
        <f>product_footprints[[#This Row],[protein as presented in study or label]]*10</f>
        <v>78</v>
      </c>
      <c r="Q71" s="15">
        <f>product_footprints[[#This Row],[footprint / kg]]*100/product_footprints[[#This Row],[g protein / kg]]</f>
        <v>2.1794871794871793</v>
      </c>
      <c r="R71" s="25"/>
      <c r="S71" s="34"/>
      <c r="T71" s="9"/>
    </row>
    <row r="72" spans="1:20" s="12" customFormat="1" ht="15" customHeight="1" x14ac:dyDescent="0.2">
      <c r="A72" s="12" t="s">
        <v>251</v>
      </c>
      <c r="B72" s="12" t="s">
        <v>54</v>
      </c>
      <c r="C72" s="12" t="s">
        <v>111</v>
      </c>
      <c r="D72" s="70" t="s">
        <v>49</v>
      </c>
      <c r="E72" s="23" t="s">
        <v>144</v>
      </c>
      <c r="F72" s="71">
        <v>1</v>
      </c>
      <c r="G72" s="11">
        <v>1.7</v>
      </c>
      <c r="H72" s="4" t="s">
        <v>138</v>
      </c>
      <c r="I72" s="11">
        <f>product_footprints[[#This Row],[footprint as presented in study]]</f>
        <v>1.7</v>
      </c>
      <c r="J72" s="14" t="s">
        <v>55</v>
      </c>
      <c r="K72" s="25"/>
      <c r="L72" s="25"/>
      <c r="M72" s="29" t="s">
        <v>39</v>
      </c>
      <c r="N72" s="10">
        <v>13.3</v>
      </c>
      <c r="O72" s="9" t="s">
        <v>151</v>
      </c>
      <c r="P72" s="15">
        <f>product_footprints[[#This Row],[protein as presented in study or label]]*10</f>
        <v>133</v>
      </c>
      <c r="Q72" s="15">
        <f>product_footprints[[#This Row],[footprint / kg]]*100/product_footprints[[#This Row],[g protein / kg]]</f>
        <v>1.2781954887218046</v>
      </c>
      <c r="R72" s="25"/>
      <c r="S72" s="34"/>
      <c r="T72" s="9"/>
    </row>
    <row r="73" spans="1:20" s="12" customFormat="1" ht="15" customHeight="1" x14ac:dyDescent="0.2">
      <c r="A73" s="12" t="s">
        <v>252</v>
      </c>
      <c r="B73" s="12" t="s">
        <v>53</v>
      </c>
      <c r="C73" s="23" t="s">
        <v>186</v>
      </c>
      <c r="D73" s="70" t="s">
        <v>228</v>
      </c>
      <c r="E73" s="23" t="s">
        <v>130</v>
      </c>
      <c r="F73" s="71">
        <v>1</v>
      </c>
      <c r="G73" s="11" t="s">
        <v>194</v>
      </c>
      <c r="H73" s="12" t="s">
        <v>120</v>
      </c>
      <c r="I73" s="15">
        <f>AVERAGE(product_footprints[[#This Row],[lower footprint / kg]:[higher footprint / kg]])</f>
        <v>24.27</v>
      </c>
      <c r="J73" s="58" t="s">
        <v>122</v>
      </c>
      <c r="K73" s="17">
        <v>23.9</v>
      </c>
      <c r="L73" s="25">
        <v>24.64</v>
      </c>
      <c r="M73" s="28" t="s">
        <v>9</v>
      </c>
      <c r="N73" s="10">
        <v>26</v>
      </c>
      <c r="O73" s="19" t="s">
        <v>214</v>
      </c>
      <c r="P73" s="15">
        <f>product_footprints[[#This Row],[protein as presented in study or label]]*10</f>
        <v>260</v>
      </c>
      <c r="Q73" s="15">
        <f>AVERAGE(product_footprints[[#This Row],[lower footprint / 100 g protein]:[higher footprint / 100 g protein]])</f>
        <v>9.3346153846153843</v>
      </c>
      <c r="R73" s="17">
        <f>product_footprints[[#This Row],[lower footprint / kg]]*100/product_footprints[[#This Row],[g protein / kg]]</f>
        <v>9.1923076923076916</v>
      </c>
      <c r="S73" s="33">
        <f>product_footprints[[#This Row],[higher footprint / kg]]*100/product_footprints[[#This Row],[g protein / kg]]</f>
        <v>9.476923076923077</v>
      </c>
      <c r="T73" s="9" t="s">
        <v>63</v>
      </c>
    </row>
    <row r="74" spans="1:20" s="12" customFormat="1" ht="15" customHeight="1" x14ac:dyDescent="0.2">
      <c r="A74" s="12" t="s">
        <v>252</v>
      </c>
      <c r="B74" s="12" t="s">
        <v>54</v>
      </c>
      <c r="C74" s="12" t="s">
        <v>7</v>
      </c>
      <c r="D74" s="70" t="s">
        <v>225</v>
      </c>
      <c r="E74" s="23" t="s">
        <v>130</v>
      </c>
      <c r="F74" s="71">
        <v>1</v>
      </c>
      <c r="G74" s="11" t="s">
        <v>61</v>
      </c>
      <c r="H74" s="9" t="s">
        <v>132</v>
      </c>
      <c r="I74" s="15">
        <f>AVERAGE(product_footprints[[#This Row],[lower footprint / kg]:[higher footprint / kg]])</f>
        <v>5.85</v>
      </c>
      <c r="J74" s="58" t="s">
        <v>122</v>
      </c>
      <c r="K74" s="17">
        <v>5.55</v>
      </c>
      <c r="L74" s="17">
        <v>6.15</v>
      </c>
      <c r="M74" s="28" t="s">
        <v>9</v>
      </c>
      <c r="N74" s="10">
        <v>10</v>
      </c>
      <c r="O74" s="9" t="s">
        <v>214</v>
      </c>
      <c r="P74" s="15">
        <f>product_footprints[[#This Row],[protein as presented in study or label]]*10</f>
        <v>100</v>
      </c>
      <c r="Q74" s="15">
        <f>AVERAGE(product_footprints[[#This Row],[lower footprint / 100 g protein]:[higher footprint / 100 g protein]])</f>
        <v>5.85</v>
      </c>
      <c r="R74" s="17">
        <f>product_footprints[[#This Row],[lower footprint / kg]]*100/product_footprints[[#This Row],[g protein / kg]]</f>
        <v>5.55</v>
      </c>
      <c r="S74" s="33">
        <f>product_footprints[[#This Row],[higher footprint / kg]]*100/product_footprints[[#This Row],[g protein / kg]]</f>
        <v>6.15</v>
      </c>
      <c r="T74" s="9" t="s">
        <v>65</v>
      </c>
    </row>
    <row r="75" spans="1:20" s="12" customFormat="1" ht="15" customHeight="1" x14ac:dyDescent="0.2">
      <c r="A75" s="12" t="s">
        <v>252</v>
      </c>
      <c r="B75" s="12" t="s">
        <v>53</v>
      </c>
      <c r="C75" s="23" t="s">
        <v>186</v>
      </c>
      <c r="D75" s="70" t="s">
        <v>228</v>
      </c>
      <c r="E75" s="23" t="s">
        <v>144</v>
      </c>
      <c r="F75" s="71">
        <v>1</v>
      </c>
      <c r="G75" s="11" t="s">
        <v>66</v>
      </c>
      <c r="H75" s="16" t="s">
        <v>143</v>
      </c>
      <c r="I75" s="15">
        <f>AVERAGE(product_footprints[[#This Row],[lower footprint / kg]:[higher footprint / kg]])</f>
        <v>0.58000000000000007</v>
      </c>
      <c r="J75" s="58" t="s">
        <v>122</v>
      </c>
      <c r="K75" s="25">
        <v>0.39</v>
      </c>
      <c r="L75" s="25">
        <v>0.77</v>
      </c>
      <c r="M75" s="29" t="s">
        <v>9</v>
      </c>
      <c r="N75" s="10">
        <v>26</v>
      </c>
      <c r="O75" s="19" t="s">
        <v>214</v>
      </c>
      <c r="P75" s="15">
        <f>product_footprints[[#This Row],[protein as presented in study or label]]*10</f>
        <v>260</v>
      </c>
      <c r="Q75" s="15">
        <f>AVERAGE(product_footprints[[#This Row],[lower footprint / 100 g protein]:[higher footprint / 100 g protein]])</f>
        <v>0.22307692307692306</v>
      </c>
      <c r="R75" s="25">
        <f>product_footprints[[#This Row],[lower footprint / kg]]*100/product_footprints[[#This Row],[g protein / kg]]</f>
        <v>0.15</v>
      </c>
      <c r="S75" s="34">
        <f>product_footprints[[#This Row],[higher footprint / kg]]*100/product_footprints[[#This Row],[g protein / kg]]</f>
        <v>0.29615384615384616</v>
      </c>
      <c r="T75" s="9"/>
    </row>
    <row r="76" spans="1:20" s="12" customFormat="1" ht="15" customHeight="1" x14ac:dyDescent="0.2">
      <c r="A76" s="12" t="s">
        <v>252</v>
      </c>
      <c r="B76" s="12" t="s">
        <v>54</v>
      </c>
      <c r="C76" s="12" t="s">
        <v>7</v>
      </c>
      <c r="D76" s="70" t="s">
        <v>225</v>
      </c>
      <c r="E76" s="23" t="s">
        <v>144</v>
      </c>
      <c r="F76" s="71">
        <v>1</v>
      </c>
      <c r="G76" s="11" t="s">
        <v>60</v>
      </c>
      <c r="H76" s="9" t="s">
        <v>138</v>
      </c>
      <c r="I76" s="15">
        <f>AVERAGE(product_footprints[[#This Row],[lower footprint / kg]:[higher footprint / kg]])</f>
        <v>0.81499999999999995</v>
      </c>
      <c r="J76" s="58" t="s">
        <v>122</v>
      </c>
      <c r="K76" s="25">
        <v>0.79</v>
      </c>
      <c r="L76" s="25">
        <v>0.84</v>
      </c>
      <c r="M76" s="29" t="s">
        <v>9</v>
      </c>
      <c r="N76" s="10">
        <v>10</v>
      </c>
      <c r="O76" s="9" t="s">
        <v>214</v>
      </c>
      <c r="P76" s="15">
        <f>product_footprints[[#This Row],[protein as presented in study or label]]*10</f>
        <v>100</v>
      </c>
      <c r="Q76" s="15">
        <f>product_footprints[[#This Row],[footprint / kg]]*100/product_footprints[[#This Row],[g protein / kg]]</f>
        <v>0.81499999999999995</v>
      </c>
      <c r="R76" s="25"/>
      <c r="S76" s="34"/>
      <c r="T76" s="9"/>
    </row>
    <row r="77" spans="1:20" s="12" customFormat="1" ht="15" customHeight="1" x14ac:dyDescent="0.2">
      <c r="A77" s="12" t="s">
        <v>0</v>
      </c>
      <c r="B77" s="12" t="s">
        <v>53</v>
      </c>
      <c r="C77" s="23" t="s">
        <v>212</v>
      </c>
      <c r="D77" s="70" t="s">
        <v>228</v>
      </c>
      <c r="E77" s="23" t="s">
        <v>130</v>
      </c>
      <c r="F77" s="71">
        <v>1</v>
      </c>
      <c r="G77" s="11">
        <v>2235</v>
      </c>
      <c r="H77" s="12" t="s">
        <v>121</v>
      </c>
      <c r="I77" s="15">
        <f>product_footprints[[#This Row],[footprint as presented in study]]/1000</f>
        <v>2.2349999999999999</v>
      </c>
      <c r="J77" s="14" t="s">
        <v>55</v>
      </c>
      <c r="K77" s="17">
        <f>2036/1000</f>
        <v>2.036</v>
      </c>
      <c r="L77" s="17">
        <f>2663/1000</f>
        <v>2.6629999999999998</v>
      </c>
      <c r="M77" s="28" t="s">
        <v>5</v>
      </c>
      <c r="N77" s="10">
        <v>19</v>
      </c>
      <c r="O77" s="19" t="s">
        <v>214</v>
      </c>
      <c r="P77" s="15">
        <f>product_footprints[[#This Row],[protein as presented in study or label]]*10</f>
        <v>190</v>
      </c>
      <c r="Q77" s="11">
        <f>product_footprints[[#This Row],[footprint / kg]]*100/product_footprints[[#This Row],[g protein / kg]]</f>
        <v>1.1763157894736842</v>
      </c>
      <c r="R77" s="17">
        <f>product_footprints[[#This Row],[lower footprint / kg]]*100/product_footprints[[#This Row],[g protein / kg]]</f>
        <v>1.071578947368421</v>
      </c>
      <c r="S77" s="33">
        <f>product_footprints[[#This Row],[higher footprint / kg]]*100/product_footprints[[#This Row],[g protein / kg]]</f>
        <v>1.4015789473684208</v>
      </c>
      <c r="T77" s="9"/>
    </row>
    <row r="78" spans="1:20" s="12" customFormat="1" ht="15" customHeight="1" x14ac:dyDescent="0.2">
      <c r="A78" s="12" t="s">
        <v>0</v>
      </c>
      <c r="B78" s="12" t="s">
        <v>53</v>
      </c>
      <c r="C78" s="23" t="s">
        <v>211</v>
      </c>
      <c r="D78" s="70" t="s">
        <v>228</v>
      </c>
      <c r="E78" s="23" t="s">
        <v>130</v>
      </c>
      <c r="F78" s="71">
        <v>1</v>
      </c>
      <c r="G78" s="11">
        <v>1896</v>
      </c>
      <c r="H78" s="12" t="s">
        <v>121</v>
      </c>
      <c r="I78" s="15">
        <f>product_footprints[[#This Row],[footprint as presented in study]]/1000</f>
        <v>1.8959999999999999</v>
      </c>
      <c r="J78" s="14" t="s">
        <v>55</v>
      </c>
      <c r="K78" s="17">
        <f>1696/1000</f>
        <v>1.696</v>
      </c>
      <c r="L78" s="17">
        <f>2310/1000</f>
        <v>2.31</v>
      </c>
      <c r="M78" s="28" t="s">
        <v>5</v>
      </c>
      <c r="N78" s="10">
        <v>19</v>
      </c>
      <c r="O78" s="19" t="s">
        <v>214</v>
      </c>
      <c r="P78" s="15">
        <f>product_footprints[[#This Row],[protein as presented in study or label]]*10</f>
        <v>190</v>
      </c>
      <c r="Q78" s="11">
        <f>product_footprints[[#This Row],[footprint / kg]]*100/product_footprints[[#This Row],[g protein / kg]]</f>
        <v>0.99789473684210528</v>
      </c>
      <c r="R78" s="17">
        <f>product_footprints[[#This Row],[lower footprint / kg]]*100/product_footprints[[#This Row],[g protein / kg]]</f>
        <v>0.89263157894736844</v>
      </c>
      <c r="S78" s="33">
        <f>product_footprints[[#This Row],[higher footprint / kg]]*100/product_footprints[[#This Row],[g protein / kg]]</f>
        <v>1.2157894736842105</v>
      </c>
      <c r="T78" s="9"/>
    </row>
    <row r="79" spans="1:20" s="12" customFormat="1" ht="15" customHeight="1" x14ac:dyDescent="0.2">
      <c r="A79" s="12" t="s">
        <v>0</v>
      </c>
      <c r="B79" s="12" t="s">
        <v>53</v>
      </c>
      <c r="C79" s="23" t="s">
        <v>210</v>
      </c>
      <c r="D79" s="70" t="s">
        <v>228</v>
      </c>
      <c r="E79" s="23" t="s">
        <v>130</v>
      </c>
      <c r="F79" s="71">
        <v>1</v>
      </c>
      <c r="G79" s="11">
        <v>1891</v>
      </c>
      <c r="H79" s="12" t="s">
        <v>121</v>
      </c>
      <c r="I79" s="15">
        <f>product_footprints[[#This Row],[footprint as presented in study]]/1000</f>
        <v>1.891</v>
      </c>
      <c r="J79" s="14" t="s">
        <v>55</v>
      </c>
      <c r="K79" s="17">
        <f>1692/1000</f>
        <v>1.6919999999999999</v>
      </c>
      <c r="L79" s="17">
        <f>2290/1000</f>
        <v>2.29</v>
      </c>
      <c r="M79" s="28" t="s">
        <v>5</v>
      </c>
      <c r="N79" s="10">
        <v>19</v>
      </c>
      <c r="O79" s="19" t="s">
        <v>214</v>
      </c>
      <c r="P79" s="15">
        <f>product_footprints[[#This Row],[protein as presented in study or label]]*10</f>
        <v>190</v>
      </c>
      <c r="Q79" s="11">
        <f>product_footprints[[#This Row],[footprint / kg]]*100/product_footprints[[#This Row],[g protein / kg]]</f>
        <v>0.99526315789473685</v>
      </c>
      <c r="R79" s="17">
        <f>product_footprints[[#This Row],[lower footprint / kg]]*100/product_footprints[[#This Row],[g protein / kg]]</f>
        <v>0.89052631578947361</v>
      </c>
      <c r="S79" s="33">
        <f>product_footprints[[#This Row],[higher footprint / kg]]*100/product_footprints[[#This Row],[g protein / kg]]</f>
        <v>1.2052631578947368</v>
      </c>
      <c r="T79" s="9"/>
    </row>
    <row r="80" spans="1:20" s="12" customFormat="1" ht="15" customHeight="1" x14ac:dyDescent="0.2">
      <c r="A80" s="12" t="s">
        <v>0</v>
      </c>
      <c r="B80" s="12" t="s">
        <v>53</v>
      </c>
      <c r="C80" s="23" t="s">
        <v>212</v>
      </c>
      <c r="D80" s="70" t="s">
        <v>228</v>
      </c>
      <c r="E80" s="23" t="s">
        <v>201</v>
      </c>
      <c r="F80" s="71">
        <v>1</v>
      </c>
      <c r="G80" s="59">
        <v>367</v>
      </c>
      <c r="H80" s="23" t="s">
        <v>188</v>
      </c>
      <c r="I80" s="15">
        <f>product_footprints[[#This Row],[footprint as presented in study]]</f>
        <v>367</v>
      </c>
      <c r="J80" s="14" t="s">
        <v>55</v>
      </c>
      <c r="K80" s="25">
        <v>282</v>
      </c>
      <c r="L80" s="25">
        <v>565</v>
      </c>
      <c r="M80" s="29" t="s">
        <v>39</v>
      </c>
      <c r="N80" s="10">
        <v>19</v>
      </c>
      <c r="O80" s="19" t="s">
        <v>214</v>
      </c>
      <c r="P80" s="15">
        <f>product_footprints[[#This Row],[protein as presented in study or label]]*10</f>
        <v>190</v>
      </c>
      <c r="Q80" s="15">
        <f>product_footprints[[#This Row],[footprint / kg]]*100/product_footprints[[#This Row],[g protein / kg]]</f>
        <v>193.15789473684211</v>
      </c>
      <c r="R80" s="25">
        <f>product_footprints[[#This Row],[lower footprint / kg]]*100/product_footprints[[#This Row],[g protein / kg]]</f>
        <v>148.42105263157896</v>
      </c>
      <c r="S80" s="34">
        <f>product_footprints[[#This Row],[higher footprint / kg]]*100/product_footprints[[#This Row],[g protein / kg]]</f>
        <v>297.36842105263156</v>
      </c>
      <c r="T80" s="9" t="s">
        <v>230</v>
      </c>
    </row>
    <row r="81" spans="1:20" s="12" customFormat="1" ht="15" customHeight="1" x14ac:dyDescent="0.2">
      <c r="A81" s="12" t="s">
        <v>0</v>
      </c>
      <c r="B81" s="12" t="s">
        <v>53</v>
      </c>
      <c r="C81" s="23" t="s">
        <v>211</v>
      </c>
      <c r="D81" s="70" t="s">
        <v>228</v>
      </c>
      <c r="E81" s="23" t="s">
        <v>201</v>
      </c>
      <c r="F81" s="71">
        <v>1</v>
      </c>
      <c r="G81" s="59">
        <v>430</v>
      </c>
      <c r="H81" s="23" t="s">
        <v>188</v>
      </c>
      <c r="I81" s="15">
        <f>product_footprints[[#This Row],[footprint as presented in study]]</f>
        <v>430</v>
      </c>
      <c r="J81" s="14" t="s">
        <v>55</v>
      </c>
      <c r="K81" s="25">
        <v>275.13409961685824</v>
      </c>
      <c r="L81" s="25">
        <v>536.26436781609198</v>
      </c>
      <c r="M81" s="29" t="s">
        <v>39</v>
      </c>
      <c r="N81" s="10">
        <v>19</v>
      </c>
      <c r="O81" s="19" t="s">
        <v>214</v>
      </c>
      <c r="P81" s="15">
        <f>product_footprints[[#This Row],[protein as presented in study or label]]*10</f>
        <v>190</v>
      </c>
      <c r="Q81" s="15">
        <f>product_footprints[[#This Row],[footprint / kg]]*100/product_footprints[[#This Row],[g protein / kg]]</f>
        <v>226.31578947368422</v>
      </c>
      <c r="R81" s="25">
        <f>product_footprints[[#This Row],[lower footprint / kg]]*100/product_footprints[[#This Row],[g protein / kg]]</f>
        <v>144.80742085097802</v>
      </c>
      <c r="S81" s="34">
        <f>product_footprints[[#This Row],[higher footprint / kg]]*100/product_footprints[[#This Row],[g protein / kg]]</f>
        <v>282.24440411373263</v>
      </c>
      <c r="T81" s="9" t="s">
        <v>230</v>
      </c>
    </row>
    <row r="82" spans="1:20" s="12" customFormat="1" ht="15" customHeight="1" x14ac:dyDescent="0.2">
      <c r="A82" s="12" t="s">
        <v>0</v>
      </c>
      <c r="B82" s="12" t="s">
        <v>53</v>
      </c>
      <c r="C82" s="23" t="s">
        <v>210</v>
      </c>
      <c r="D82" s="70" t="s">
        <v>228</v>
      </c>
      <c r="E82" s="23" t="s">
        <v>201</v>
      </c>
      <c r="F82" s="71">
        <v>1</v>
      </c>
      <c r="G82" s="59">
        <v>111</v>
      </c>
      <c r="H82" s="23" t="s">
        <v>188</v>
      </c>
      <c r="I82" s="15">
        <f>product_footprints[[#This Row],[footprint as presented in study]]</f>
        <v>111</v>
      </c>
      <c r="J82" s="14" t="s">
        <v>55</v>
      </c>
      <c r="K82" s="25">
        <v>106.27659574468086</v>
      </c>
      <c r="L82" s="25">
        <v>127.82712765957447</v>
      </c>
      <c r="M82" s="29" t="s">
        <v>39</v>
      </c>
      <c r="N82" s="10">
        <v>19</v>
      </c>
      <c r="O82" s="19" t="s">
        <v>214</v>
      </c>
      <c r="P82" s="15">
        <f>product_footprints[[#This Row],[protein as presented in study or label]]*10</f>
        <v>190</v>
      </c>
      <c r="Q82" s="15">
        <f>product_footprints[[#This Row],[footprint / kg]]*100/product_footprints[[#This Row],[g protein / kg]]</f>
        <v>58.421052631578945</v>
      </c>
      <c r="R82" s="25">
        <f>product_footprints[[#This Row],[lower footprint / kg]]*100/product_footprints[[#This Row],[g protein / kg]]</f>
        <v>55.935050391937288</v>
      </c>
      <c r="S82" s="34">
        <f>product_footprints[[#This Row],[higher footprint / kg]]*100/product_footprints[[#This Row],[g protein / kg]]</f>
        <v>67.277435610302348</v>
      </c>
      <c r="T82" s="9" t="s">
        <v>230</v>
      </c>
    </row>
    <row r="83" spans="1:20" s="12" customFormat="1" ht="15" customHeight="1" x14ac:dyDescent="0.2">
      <c r="A83" s="12" t="s">
        <v>0</v>
      </c>
      <c r="B83" s="12" t="s">
        <v>53</v>
      </c>
      <c r="C83" s="23" t="s">
        <v>212</v>
      </c>
      <c r="D83" s="70" t="s">
        <v>228</v>
      </c>
      <c r="E83" s="23" t="s">
        <v>144</v>
      </c>
      <c r="F83" s="71">
        <v>1</v>
      </c>
      <c r="G83" s="11">
        <v>225</v>
      </c>
      <c r="H83" s="16" t="s">
        <v>139</v>
      </c>
      <c r="I83" s="11">
        <f>product_footprints[[#This Row],[footprint as presented in study]]/1000</f>
        <v>0.22500000000000001</v>
      </c>
      <c r="J83" s="14" t="s">
        <v>55</v>
      </c>
      <c r="K83" s="25"/>
      <c r="L83" s="25"/>
      <c r="M83" s="29" t="s">
        <v>39</v>
      </c>
      <c r="N83" s="10">
        <v>19</v>
      </c>
      <c r="O83" s="19" t="s">
        <v>214</v>
      </c>
      <c r="P83" s="15">
        <f>product_footprints[[#This Row],[protein as presented in study or label]]*10</f>
        <v>190</v>
      </c>
      <c r="Q83" s="15">
        <f>product_footprints[[#This Row],[footprint / kg]]*100/product_footprints[[#This Row],[g protein / kg]]</f>
        <v>0.11842105263157894</v>
      </c>
      <c r="R83" s="25"/>
      <c r="S83" s="34"/>
      <c r="T83" s="9"/>
    </row>
    <row r="84" spans="1:20" s="12" customFormat="1" ht="15" customHeight="1" x14ac:dyDescent="0.2">
      <c r="A84" s="12" t="s">
        <v>0</v>
      </c>
      <c r="B84" s="12" t="s">
        <v>53</v>
      </c>
      <c r="C84" s="23" t="s">
        <v>211</v>
      </c>
      <c r="D84" s="70" t="s">
        <v>228</v>
      </c>
      <c r="E84" s="23" t="s">
        <v>144</v>
      </c>
      <c r="F84" s="71">
        <v>1</v>
      </c>
      <c r="G84" s="11">
        <v>232</v>
      </c>
      <c r="H84" s="16" t="s">
        <v>139</v>
      </c>
      <c r="I84" s="11">
        <f>product_footprints[[#This Row],[footprint as presented in study]]/1000</f>
        <v>0.23200000000000001</v>
      </c>
      <c r="J84" s="14" t="s">
        <v>55</v>
      </c>
      <c r="K84" s="25"/>
      <c r="L84" s="25"/>
      <c r="M84" s="29" t="s">
        <v>39</v>
      </c>
      <c r="N84" s="10">
        <v>19</v>
      </c>
      <c r="O84" s="19" t="s">
        <v>214</v>
      </c>
      <c r="P84" s="15">
        <f>product_footprints[[#This Row],[protein as presented in study or label]]*10</f>
        <v>190</v>
      </c>
      <c r="Q84" s="15">
        <f>product_footprints[[#This Row],[footprint / kg]]*100/product_footprints[[#This Row],[g protein / kg]]</f>
        <v>0.12210526315789476</v>
      </c>
      <c r="R84" s="25"/>
      <c r="S84" s="34"/>
      <c r="T84" s="9"/>
    </row>
    <row r="85" spans="1:20" s="12" customFormat="1" ht="15" customHeight="1" x14ac:dyDescent="0.2">
      <c r="A85" s="12" t="s">
        <v>0</v>
      </c>
      <c r="B85" s="12" t="s">
        <v>53</v>
      </c>
      <c r="C85" s="23" t="s">
        <v>210</v>
      </c>
      <c r="D85" s="70" t="s">
        <v>228</v>
      </c>
      <c r="E85" s="23" t="s">
        <v>144</v>
      </c>
      <c r="F85" s="71">
        <v>1</v>
      </c>
      <c r="G85" s="11">
        <v>189</v>
      </c>
      <c r="H85" s="16" t="s">
        <v>139</v>
      </c>
      <c r="I85" s="11">
        <f>product_footprints[[#This Row],[footprint as presented in study]]/1000</f>
        <v>0.189</v>
      </c>
      <c r="J85" s="14" t="s">
        <v>55</v>
      </c>
      <c r="K85" s="25"/>
      <c r="L85" s="25"/>
      <c r="M85" s="29" t="s">
        <v>39</v>
      </c>
      <c r="N85" s="10">
        <v>19</v>
      </c>
      <c r="O85" s="19" t="s">
        <v>214</v>
      </c>
      <c r="P85" s="15">
        <f>product_footprints[[#This Row],[protein as presented in study or label]]*10</f>
        <v>190</v>
      </c>
      <c r="Q85" s="15">
        <f>product_footprints[[#This Row],[footprint / kg]]*100/product_footprints[[#This Row],[g protein / kg]]</f>
        <v>9.9473684210526311E-2</v>
      </c>
      <c r="R85" s="25"/>
      <c r="S85" s="34"/>
      <c r="T85" s="9"/>
    </row>
    <row r="86" spans="1:20" s="12" customFormat="1" ht="15" customHeight="1" x14ac:dyDescent="0.2">
      <c r="A86" s="12" t="s">
        <v>253</v>
      </c>
      <c r="B86" s="12" t="s">
        <v>53</v>
      </c>
      <c r="C86" s="23" t="s">
        <v>213</v>
      </c>
      <c r="D86" s="70" t="s">
        <v>224</v>
      </c>
      <c r="E86" s="23" t="s">
        <v>130</v>
      </c>
      <c r="F86" s="71">
        <v>1</v>
      </c>
      <c r="G86" s="11" t="s">
        <v>75</v>
      </c>
      <c r="H86" s="12" t="s">
        <v>121</v>
      </c>
      <c r="I86" s="15">
        <f>AVERAGE(product_footprints[[#This Row],[lower footprint / kg]:[higher footprint / kg]])</f>
        <v>3.8224999999999998</v>
      </c>
      <c r="J86" s="58" t="s">
        <v>122</v>
      </c>
      <c r="K86" s="17">
        <f>3266/1000</f>
        <v>3.266</v>
      </c>
      <c r="L86" s="17">
        <f>4379/1000</f>
        <v>4.3789999999999996</v>
      </c>
      <c r="M86" s="28" t="s">
        <v>9</v>
      </c>
      <c r="N86" s="10">
        <v>19</v>
      </c>
      <c r="O86" s="19" t="s">
        <v>214</v>
      </c>
      <c r="P86" s="15">
        <f>product_footprints[[#This Row],[protein as presented in study or label]]*10</f>
        <v>190</v>
      </c>
      <c r="Q86" s="15">
        <f>AVERAGE(product_footprints[[#This Row],[lower footprint / 100 g protein]:[higher footprint / 100 g protein]])</f>
        <v>2.0118421052631579</v>
      </c>
      <c r="R86" s="17">
        <f>product_footprints[[#This Row],[lower footprint / kg]]*100/product_footprints[[#This Row],[g protein / kg]]</f>
        <v>1.7189473684210528</v>
      </c>
      <c r="S86" s="33">
        <f>product_footprints[[#This Row],[higher footprint / kg]]*100/product_footprints[[#This Row],[g protein / kg]]</f>
        <v>2.304736842105263</v>
      </c>
      <c r="T86" s="9"/>
    </row>
    <row r="87" spans="1:20" s="12" customFormat="1" ht="15" customHeight="1" x14ac:dyDescent="0.2">
      <c r="A87" s="12" t="s">
        <v>253</v>
      </c>
      <c r="B87" s="12" t="s">
        <v>53</v>
      </c>
      <c r="C87" s="23" t="s">
        <v>213</v>
      </c>
      <c r="D87" s="70" t="s">
        <v>217</v>
      </c>
      <c r="E87" s="23" t="s">
        <v>130</v>
      </c>
      <c r="F87" s="71">
        <v>1</v>
      </c>
      <c r="G87" s="11" t="s">
        <v>76</v>
      </c>
      <c r="H87" s="12" t="s">
        <v>121</v>
      </c>
      <c r="I87" s="15">
        <f>AVERAGE(product_footprints[[#This Row],[lower footprint / kg]:[higher footprint / kg]])</f>
        <v>3.5145</v>
      </c>
      <c r="J87" s="58" t="s">
        <v>122</v>
      </c>
      <c r="K87" s="17">
        <f>2958/1000</f>
        <v>2.9580000000000002</v>
      </c>
      <c r="L87" s="17">
        <f>4071/1000</f>
        <v>4.0709999999999997</v>
      </c>
      <c r="M87" s="28" t="s">
        <v>9</v>
      </c>
      <c r="N87" s="10">
        <v>19</v>
      </c>
      <c r="O87" s="19" t="s">
        <v>214</v>
      </c>
      <c r="P87" s="15">
        <f>product_footprints[[#This Row],[protein as presented in study or label]]*10</f>
        <v>190</v>
      </c>
      <c r="Q87" s="15">
        <f>AVERAGE(product_footprints[[#This Row],[lower footprint / 100 g protein]:[higher footprint / 100 g protein]])</f>
        <v>1.8497368421052633</v>
      </c>
      <c r="R87" s="17">
        <f>product_footprints[[#This Row],[lower footprint / kg]]*100/product_footprints[[#This Row],[g protein / kg]]</f>
        <v>1.556842105263158</v>
      </c>
      <c r="S87" s="33">
        <f>product_footprints[[#This Row],[higher footprint / kg]]*100/product_footprints[[#This Row],[g protein / kg]]</f>
        <v>2.1426315789473684</v>
      </c>
      <c r="T87" s="9"/>
    </row>
    <row r="88" spans="1:20" s="12" customFormat="1" ht="15" customHeight="1" x14ac:dyDescent="0.2">
      <c r="A88" s="12" t="s">
        <v>253</v>
      </c>
      <c r="B88" s="12" t="s">
        <v>53</v>
      </c>
      <c r="C88" s="23" t="s">
        <v>213</v>
      </c>
      <c r="D88" s="70" t="s">
        <v>228</v>
      </c>
      <c r="E88" s="23" t="s">
        <v>130</v>
      </c>
      <c r="F88" s="71">
        <v>1</v>
      </c>
      <c r="G88" s="11" t="s">
        <v>74</v>
      </c>
      <c r="H88" s="12" t="s">
        <v>121</v>
      </c>
      <c r="I88" s="15">
        <f>AVERAGE(product_footprints[[#This Row],[lower footprint / kg]:[higher footprint / kg]])</f>
        <v>2.8244999999999996</v>
      </c>
      <c r="J88" s="58" t="s">
        <v>122</v>
      </c>
      <c r="K88" s="17">
        <f>2268/1000</f>
        <v>2.2679999999999998</v>
      </c>
      <c r="L88" s="17">
        <f>3381/1000</f>
        <v>3.3809999999999998</v>
      </c>
      <c r="M88" s="28" t="s">
        <v>9</v>
      </c>
      <c r="N88" s="10">
        <v>19</v>
      </c>
      <c r="O88" s="19" t="s">
        <v>214</v>
      </c>
      <c r="P88" s="15">
        <f>product_footprints[[#This Row],[protein as presented in study or label]]*10</f>
        <v>190</v>
      </c>
      <c r="Q88" s="15">
        <f>AVERAGE(product_footprints[[#This Row],[lower footprint / 100 g protein]:[higher footprint / 100 g protein]])</f>
        <v>1.4865789473684208</v>
      </c>
      <c r="R88" s="17">
        <f>product_footprints[[#This Row],[lower footprint / kg]]*100/product_footprints[[#This Row],[g protein / kg]]</f>
        <v>1.1936842105263157</v>
      </c>
      <c r="S88" s="33">
        <f>product_footprints[[#This Row],[higher footprint / kg]]*100/product_footprints[[#This Row],[g protein / kg]]</f>
        <v>1.7794736842105261</v>
      </c>
      <c r="T88" s="9" t="s">
        <v>215</v>
      </c>
    </row>
    <row r="89" spans="1:20" s="12" customFormat="1" ht="15" customHeight="1" x14ac:dyDescent="0.2">
      <c r="A89" s="12" t="s">
        <v>253</v>
      </c>
      <c r="B89" s="12" t="s">
        <v>53</v>
      </c>
      <c r="C89" s="23" t="s">
        <v>213</v>
      </c>
      <c r="D89" s="70" t="s">
        <v>217</v>
      </c>
      <c r="E89" s="23" t="s">
        <v>201</v>
      </c>
      <c r="F89" s="71">
        <v>1</v>
      </c>
      <c r="G89" s="15">
        <v>773.2</v>
      </c>
      <c r="H89" s="23" t="s">
        <v>188</v>
      </c>
      <c r="I89" s="15">
        <f>product_footprints[[#This Row],[footprint as presented in study]]</f>
        <v>773.2</v>
      </c>
      <c r="J89" s="14" t="s">
        <v>55</v>
      </c>
      <c r="K89" s="25"/>
      <c r="L89" s="25"/>
      <c r="M89" s="29" t="s">
        <v>39</v>
      </c>
      <c r="N89" s="10">
        <v>19</v>
      </c>
      <c r="O89" s="19" t="s">
        <v>214</v>
      </c>
      <c r="P89" s="15">
        <f>product_footprints[[#This Row],[protein as presented in study or label]]*10</f>
        <v>190</v>
      </c>
      <c r="Q89" s="15">
        <f>product_footprints[[#This Row],[footprint / kg]]*100/product_footprints[[#This Row],[g protein / kg]]</f>
        <v>406.94736842105266</v>
      </c>
      <c r="R89" s="25"/>
      <c r="S89" s="34"/>
      <c r="T89" s="9"/>
    </row>
    <row r="90" spans="1:20" s="12" customFormat="1" ht="15" customHeight="1" x14ac:dyDescent="0.2">
      <c r="A90" s="12" t="s">
        <v>253</v>
      </c>
      <c r="B90" s="12" t="s">
        <v>53</v>
      </c>
      <c r="C90" s="23" t="s">
        <v>213</v>
      </c>
      <c r="D90" s="70" t="s">
        <v>228</v>
      </c>
      <c r="E90" s="23" t="s">
        <v>201</v>
      </c>
      <c r="F90" s="71">
        <v>1</v>
      </c>
      <c r="G90" s="15">
        <v>442.6</v>
      </c>
      <c r="H90" s="23" t="s">
        <v>188</v>
      </c>
      <c r="I90" s="15">
        <f>product_footprints[[#This Row],[footprint as presented in study]]</f>
        <v>442.6</v>
      </c>
      <c r="J90" s="14" t="s">
        <v>55</v>
      </c>
      <c r="K90" s="25"/>
      <c r="L90" s="25"/>
      <c r="M90" s="29" t="s">
        <v>39</v>
      </c>
      <c r="N90" s="10">
        <v>19</v>
      </c>
      <c r="O90" s="19" t="s">
        <v>214</v>
      </c>
      <c r="P90" s="15">
        <f>product_footprints[[#This Row],[protein as presented in study or label]]*10</f>
        <v>190</v>
      </c>
      <c r="Q90" s="15">
        <f>product_footprints[[#This Row],[footprint / kg]]*100/product_footprints[[#This Row],[g protein / kg]]</f>
        <v>232.94736842105263</v>
      </c>
      <c r="R90" s="25"/>
      <c r="S90" s="34"/>
      <c r="T90" s="9"/>
    </row>
    <row r="91" spans="1:20" s="12" customFormat="1" ht="15" customHeight="1" x14ac:dyDescent="0.2">
      <c r="A91" s="12" t="s">
        <v>253</v>
      </c>
      <c r="B91" s="12" t="s">
        <v>53</v>
      </c>
      <c r="C91" s="23" t="s">
        <v>213</v>
      </c>
      <c r="D91" s="70" t="s">
        <v>224</v>
      </c>
      <c r="E91" s="23" t="s">
        <v>201</v>
      </c>
      <c r="F91" s="71">
        <v>1</v>
      </c>
      <c r="G91" s="15">
        <v>261.10000000000002</v>
      </c>
      <c r="H91" s="23" t="s">
        <v>188</v>
      </c>
      <c r="I91" s="15">
        <f>product_footprints[[#This Row],[footprint as presented in study]]</f>
        <v>261.10000000000002</v>
      </c>
      <c r="J91" s="14" t="s">
        <v>55</v>
      </c>
      <c r="K91" s="25"/>
      <c r="L91" s="25"/>
      <c r="M91" s="29" t="s">
        <v>39</v>
      </c>
      <c r="N91" s="10">
        <v>19</v>
      </c>
      <c r="O91" s="19" t="s">
        <v>214</v>
      </c>
      <c r="P91" s="15">
        <f>product_footprints[[#This Row],[protein as presented in study or label]]*10</f>
        <v>190</v>
      </c>
      <c r="Q91" s="15">
        <f>product_footprints[[#This Row],[footprint / kg]]*100/product_footprints[[#This Row],[g protein / kg]]</f>
        <v>137.42105263157896</v>
      </c>
      <c r="R91" s="25"/>
      <c r="S91" s="34"/>
      <c r="T91" s="9"/>
    </row>
    <row r="92" spans="1:20" s="12" customFormat="1" ht="15" customHeight="1" x14ac:dyDescent="0.2">
      <c r="A92" s="12" t="s">
        <v>253</v>
      </c>
      <c r="B92" s="12" t="s">
        <v>53</v>
      </c>
      <c r="C92" s="23" t="s">
        <v>213</v>
      </c>
      <c r="D92" s="70" t="s">
        <v>217</v>
      </c>
      <c r="E92" s="23" t="s">
        <v>144</v>
      </c>
      <c r="F92" s="71">
        <v>1</v>
      </c>
      <c r="G92" s="18">
        <v>0.28199999999999997</v>
      </c>
      <c r="H92" s="16" t="s">
        <v>140</v>
      </c>
      <c r="I92" s="11">
        <f>product_footprints[[#This Row],[footprint as presented in study]]*10000/1000</f>
        <v>2.8199999999999994</v>
      </c>
      <c r="J92" s="14" t="s">
        <v>55</v>
      </c>
      <c r="K92" s="25"/>
      <c r="L92" s="25"/>
      <c r="M92" s="29" t="s">
        <v>39</v>
      </c>
      <c r="N92" s="10">
        <v>19</v>
      </c>
      <c r="O92" s="19" t="s">
        <v>214</v>
      </c>
      <c r="P92" s="15">
        <f>product_footprints[[#This Row],[protein as presented in study or label]]*10</f>
        <v>190</v>
      </c>
      <c r="Q92" s="15">
        <f>product_footprints[[#This Row],[footprint / kg]]*100/product_footprints[[#This Row],[g protein / kg]]</f>
        <v>1.4842105263157892</v>
      </c>
      <c r="R92" s="25"/>
      <c r="S92" s="34"/>
      <c r="T92" s="9"/>
    </row>
    <row r="93" spans="1:20" s="12" customFormat="1" ht="15" customHeight="1" x14ac:dyDescent="0.2">
      <c r="A93" s="12" t="s">
        <v>253</v>
      </c>
      <c r="B93" s="12" t="s">
        <v>53</v>
      </c>
      <c r="C93" s="23" t="s">
        <v>213</v>
      </c>
      <c r="D93" s="70" t="s">
        <v>228</v>
      </c>
      <c r="E93" s="23" t="s">
        <v>144</v>
      </c>
      <c r="F93" s="71">
        <v>1</v>
      </c>
      <c r="G93" s="18">
        <v>4.5999999999999999E-2</v>
      </c>
      <c r="H93" s="16" t="s">
        <v>140</v>
      </c>
      <c r="I93" s="11">
        <f>product_footprints[[#This Row],[footprint as presented in study]]*10000/1000</f>
        <v>0.46</v>
      </c>
      <c r="J93" s="14" t="s">
        <v>55</v>
      </c>
      <c r="K93" s="25"/>
      <c r="L93" s="25"/>
      <c r="M93" s="29" t="s">
        <v>39</v>
      </c>
      <c r="N93" s="10">
        <v>19</v>
      </c>
      <c r="O93" s="19" t="s">
        <v>214</v>
      </c>
      <c r="P93" s="15">
        <f>product_footprints[[#This Row],[protein as presented in study or label]]*10</f>
        <v>190</v>
      </c>
      <c r="Q93" s="15">
        <f>product_footprints[[#This Row],[footprint / kg]]*100/product_footprints[[#This Row],[g protein / kg]]</f>
        <v>0.24210526315789474</v>
      </c>
      <c r="R93" s="25"/>
      <c r="S93" s="34"/>
      <c r="T93" s="9"/>
    </row>
    <row r="94" spans="1:20" s="12" customFormat="1" ht="15" customHeight="1" x14ac:dyDescent="0.2">
      <c r="A94" s="12" t="s">
        <v>253</v>
      </c>
      <c r="B94" s="12" t="s">
        <v>53</v>
      </c>
      <c r="C94" s="23" t="s">
        <v>213</v>
      </c>
      <c r="D94" s="70" t="s">
        <v>224</v>
      </c>
      <c r="E94" s="23" t="s">
        <v>144</v>
      </c>
      <c r="F94" s="71">
        <v>1</v>
      </c>
      <c r="G94" s="18">
        <v>0.26</v>
      </c>
      <c r="H94" s="16" t="s">
        <v>140</v>
      </c>
      <c r="I94" s="11">
        <f>product_footprints[[#This Row],[footprint as presented in study]]*10000/1000</f>
        <v>2.6</v>
      </c>
      <c r="J94" s="14" t="s">
        <v>55</v>
      </c>
      <c r="K94" s="25"/>
      <c r="L94" s="25"/>
      <c r="M94" s="29" t="s">
        <v>39</v>
      </c>
      <c r="N94" s="10">
        <v>19</v>
      </c>
      <c r="O94" s="19" t="s">
        <v>214</v>
      </c>
      <c r="P94" s="15">
        <f>product_footprints[[#This Row],[protein as presented in study or label]]*10</f>
        <v>190</v>
      </c>
      <c r="Q94" s="15">
        <f>product_footprints[[#This Row],[footprint / kg]]*100/product_footprints[[#This Row],[g protein / kg]]</f>
        <v>1.368421052631579</v>
      </c>
      <c r="R94" s="25"/>
      <c r="S94" s="34"/>
      <c r="T94" s="9"/>
    </row>
    <row r="95" spans="1:20" s="12" customFormat="1" ht="15" customHeight="1" x14ac:dyDescent="0.2">
      <c r="A95" s="12" t="s">
        <v>256</v>
      </c>
      <c r="B95" s="12" t="s">
        <v>54</v>
      </c>
      <c r="C95" s="23" t="s">
        <v>186</v>
      </c>
      <c r="D95" s="70" t="s">
        <v>218</v>
      </c>
      <c r="E95" s="23" t="s">
        <v>130</v>
      </c>
      <c r="F95" s="71">
        <v>1</v>
      </c>
      <c r="G95" s="59">
        <v>12260</v>
      </c>
      <c r="H95" s="23" t="s">
        <v>259</v>
      </c>
      <c r="I95" s="15">
        <f>product_footprints[[#This Row],[footprint as presented in study]]/4000</f>
        <v>3.0649999999999999</v>
      </c>
      <c r="J95" s="14" t="s">
        <v>55</v>
      </c>
      <c r="K95" s="25"/>
      <c r="L95" s="25">
        <f>12930/4000</f>
        <v>3.2324999999999999</v>
      </c>
      <c r="M95" s="29" t="s">
        <v>262</v>
      </c>
      <c r="N95" s="59">
        <v>25</v>
      </c>
      <c r="O95" s="19" t="s">
        <v>214</v>
      </c>
      <c r="P95" s="15">
        <f>product_footprints[[#This Row],[protein as presented in study or label]]*10</f>
        <v>250</v>
      </c>
      <c r="Q95" s="15">
        <f>product_footprints[[#This Row],[footprint / kg]]*100/product_footprints[[#This Row],[g protein / kg]]</f>
        <v>1.226</v>
      </c>
      <c r="R95" s="25"/>
      <c r="S95" s="34">
        <f>product_footprints[[#This Row],[higher footprint / kg]]*100/product_footprints[[#This Row],[g protein / kg]]</f>
        <v>1.2929999999999999</v>
      </c>
      <c r="T95" s="9"/>
    </row>
    <row r="96" spans="1:20" s="12" customFormat="1" ht="15" customHeight="1" x14ac:dyDescent="0.2">
      <c r="A96" s="12" t="s">
        <v>256</v>
      </c>
      <c r="B96" s="12" t="s">
        <v>54</v>
      </c>
      <c r="C96" s="23" t="s">
        <v>186</v>
      </c>
      <c r="D96" s="70" t="s">
        <v>218</v>
      </c>
      <c r="E96" s="23" t="s">
        <v>144</v>
      </c>
      <c r="F96" s="71">
        <v>1</v>
      </c>
      <c r="G96" s="60">
        <v>1.95</v>
      </c>
      <c r="H96" s="23" t="s">
        <v>260</v>
      </c>
      <c r="I96" s="15">
        <f>product_footprints[[#This Row],[footprint as presented in study]]*10000/4000</f>
        <v>4.875</v>
      </c>
      <c r="J96" s="14" t="s">
        <v>55</v>
      </c>
      <c r="K96" s="25"/>
      <c r="L96" s="25"/>
      <c r="M96" s="29" t="s">
        <v>39</v>
      </c>
      <c r="N96" s="59">
        <v>25</v>
      </c>
      <c r="O96" s="19" t="s">
        <v>214</v>
      </c>
      <c r="P96" s="15">
        <f>product_footprints[[#This Row],[protein as presented in study or label]]*10</f>
        <v>250</v>
      </c>
      <c r="Q96" s="15">
        <f>product_footprints[[#This Row],[footprint / kg]]*100/product_footprints[[#This Row],[g protein / kg]]</f>
        <v>1.95</v>
      </c>
      <c r="R96" s="25"/>
      <c r="S96" s="34"/>
      <c r="T96" s="9"/>
    </row>
    <row r="97" spans="1:20" s="12" customFormat="1" ht="15" customHeight="1" x14ac:dyDescent="0.2">
      <c r="A97" s="12" t="s">
        <v>99</v>
      </c>
      <c r="B97" s="12" t="s">
        <v>51</v>
      </c>
      <c r="C97" s="23" t="s">
        <v>116</v>
      </c>
      <c r="D97" s="23" t="s">
        <v>39</v>
      </c>
      <c r="E97" s="23" t="s">
        <v>130</v>
      </c>
      <c r="F97" s="36">
        <v>1</v>
      </c>
      <c r="G97" s="11">
        <v>5028.8599999999997</v>
      </c>
      <c r="H97" s="12" t="s">
        <v>136</v>
      </c>
      <c r="I97" s="15">
        <f>product_footprints[[#This Row],[footprint as presented in study]]/(1000*2)</f>
        <v>2.5144299999999999</v>
      </c>
      <c r="J97" s="14" t="s">
        <v>55</v>
      </c>
      <c r="K97" s="25"/>
      <c r="L97" s="25"/>
      <c r="M97" s="30" t="s">
        <v>39</v>
      </c>
      <c r="N97" s="20">
        <v>208</v>
      </c>
      <c r="O97" s="19" t="s">
        <v>145</v>
      </c>
      <c r="P97" s="15">
        <f>product_footprints[[#This Row],[protein as presented in study or label]]</f>
        <v>208</v>
      </c>
      <c r="Q97" s="15">
        <f>product_footprints[[#This Row],[footprint / kg]]*100/product_footprints[[#This Row],[g protein / kg]]</f>
        <v>1.2088605769230769</v>
      </c>
      <c r="R97" s="23"/>
      <c r="S97" s="36"/>
      <c r="T97" s="9" t="s">
        <v>69</v>
      </c>
    </row>
    <row r="98" spans="1:20" s="12" customFormat="1" ht="15" customHeight="1" x14ac:dyDescent="0.2">
      <c r="M98" s="11"/>
      <c r="N98" s="11"/>
      <c r="P98" s="13"/>
      <c r="Q98" s="13"/>
      <c r="R98" s="11"/>
      <c r="S98" s="11"/>
      <c r="T98" s="4"/>
    </row>
  </sheetData>
  <mergeCells count="2">
    <mergeCell ref="N1:S1"/>
    <mergeCell ref="G1:M1"/>
  </mergeCells>
  <phoneticPr fontId="1"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87449-15C9-4F49-907C-AB46ABF51FFC}">
  <sheetPr>
    <tabColor theme="9"/>
  </sheetPr>
  <dimension ref="A1:F43"/>
  <sheetViews>
    <sheetView workbookViewId="0">
      <selection activeCell="D31" sqref="D31"/>
    </sheetView>
  </sheetViews>
  <sheetFormatPr defaultRowHeight="15" customHeight="1" x14ac:dyDescent="0.2"/>
  <cols>
    <col min="1" max="1" width="26.625" style="1" bestFit="1" customWidth="1"/>
    <col min="2" max="2" width="20.75" style="1" bestFit="1" customWidth="1"/>
    <col min="3" max="3" width="15.75" style="1" bestFit="1" customWidth="1"/>
    <col min="4" max="4" width="20.625" style="1" bestFit="1" customWidth="1"/>
    <col min="5" max="5" width="16.625" style="1" bestFit="1" customWidth="1"/>
    <col min="6" max="7" width="26" style="1" customWidth="1"/>
    <col min="8" max="8" width="32" style="1" bestFit="1" customWidth="1"/>
    <col min="9" max="9" width="16.5" style="1" bestFit="1" customWidth="1"/>
    <col min="10" max="10" width="24.5" style="1" bestFit="1" customWidth="1"/>
    <col min="11" max="11" width="25.5" style="1" customWidth="1"/>
    <col min="12" max="12" width="23.875" style="1" customWidth="1"/>
    <col min="13" max="16384" width="9" style="1"/>
  </cols>
  <sheetData>
    <row r="1" spans="1:6" ht="12.75" x14ac:dyDescent="0.2">
      <c r="A1" s="63" t="s">
        <v>104</v>
      </c>
      <c r="B1" s="63" t="s">
        <v>103</v>
      </c>
      <c r="C1" s="63" t="s">
        <v>163</v>
      </c>
      <c r="D1" s="63" t="s">
        <v>118</v>
      </c>
      <c r="E1" s="63" t="s">
        <v>155</v>
      </c>
      <c r="F1" s="1" t="s">
        <v>156</v>
      </c>
    </row>
    <row r="2" spans="1:6" ht="12.75" x14ac:dyDescent="0.2">
      <c r="A2" s="64" t="s">
        <v>253</v>
      </c>
      <c r="B2" s="64" t="s">
        <v>53</v>
      </c>
      <c r="C2" s="64" t="s">
        <v>130</v>
      </c>
      <c r="D2" s="63">
        <v>3</v>
      </c>
      <c r="E2" s="68">
        <v>3.3871666666666669</v>
      </c>
      <c r="F2" s="66">
        <v>1.7827192982456139</v>
      </c>
    </row>
    <row r="3" spans="1:6" ht="12.75" x14ac:dyDescent="0.2">
      <c r="A3" s="64" t="s">
        <v>0</v>
      </c>
      <c r="B3" s="64" t="s">
        <v>53</v>
      </c>
      <c r="C3" s="64" t="s">
        <v>130</v>
      </c>
      <c r="D3" s="63">
        <v>3</v>
      </c>
      <c r="E3" s="68">
        <v>2.0073333333333334</v>
      </c>
      <c r="F3" s="66">
        <v>1.0564912280701755</v>
      </c>
    </row>
    <row r="4" spans="1:6" ht="12.75" x14ac:dyDescent="0.2">
      <c r="A4" s="64" t="s">
        <v>252</v>
      </c>
      <c r="B4" s="64" t="s">
        <v>53</v>
      </c>
      <c r="C4" s="64" t="s">
        <v>130</v>
      </c>
      <c r="D4" s="63">
        <v>1</v>
      </c>
      <c r="E4" s="68">
        <v>24.27</v>
      </c>
      <c r="F4" s="66">
        <v>9.3346153846153843</v>
      </c>
    </row>
    <row r="5" spans="1:6" ht="12.75" x14ac:dyDescent="0.2">
      <c r="A5" s="64" t="s">
        <v>250</v>
      </c>
      <c r="B5" s="64" t="s">
        <v>53</v>
      </c>
      <c r="C5" s="64" t="s">
        <v>130</v>
      </c>
      <c r="D5" s="63">
        <v>1</v>
      </c>
      <c r="E5" s="68">
        <v>7.5</v>
      </c>
      <c r="F5" s="66">
        <v>10.714285714285714</v>
      </c>
    </row>
    <row r="6" spans="1:6" ht="12.75" x14ac:dyDescent="0.2">
      <c r="A6" s="64" t="s">
        <v>93</v>
      </c>
      <c r="B6" s="64" t="s">
        <v>50</v>
      </c>
      <c r="C6" s="64" t="s">
        <v>130</v>
      </c>
      <c r="D6" s="63">
        <v>1</v>
      </c>
      <c r="E6" s="68">
        <v>2.57</v>
      </c>
      <c r="F6" s="66">
        <v>0.43499999999999994</v>
      </c>
    </row>
    <row r="7" spans="1:6" ht="12.75" x14ac:dyDescent="0.2">
      <c r="A7" s="64" t="s">
        <v>94</v>
      </c>
      <c r="B7" s="64" t="s">
        <v>50</v>
      </c>
      <c r="C7" s="64" t="s">
        <v>130</v>
      </c>
      <c r="D7" s="63">
        <v>1</v>
      </c>
      <c r="E7" s="68">
        <v>2.65</v>
      </c>
      <c r="F7" s="66">
        <v>1.4</v>
      </c>
    </row>
    <row r="8" spans="1:6" ht="12.75" x14ac:dyDescent="0.2">
      <c r="A8" s="64" t="s">
        <v>252</v>
      </c>
      <c r="B8" s="64" t="s">
        <v>54</v>
      </c>
      <c r="C8" s="64" t="s">
        <v>130</v>
      </c>
      <c r="D8" s="63">
        <v>1</v>
      </c>
      <c r="E8" s="68">
        <v>5.85</v>
      </c>
      <c r="F8" s="66">
        <v>5.85</v>
      </c>
    </row>
    <row r="9" spans="1:6" ht="12.75" x14ac:dyDescent="0.2">
      <c r="A9" s="64" t="s">
        <v>8</v>
      </c>
      <c r="B9" s="64" t="s">
        <v>54</v>
      </c>
      <c r="C9" s="64" t="s">
        <v>130</v>
      </c>
      <c r="D9" s="63">
        <v>22</v>
      </c>
      <c r="E9" s="68">
        <v>1.9704545454545455</v>
      </c>
      <c r="F9" s="66">
        <v>1.8981386418744182</v>
      </c>
    </row>
    <row r="10" spans="1:6" ht="12.75" x14ac:dyDescent="0.2">
      <c r="A10" s="64" t="s">
        <v>251</v>
      </c>
      <c r="B10" s="64" t="s">
        <v>54</v>
      </c>
      <c r="C10" s="64" t="s">
        <v>130</v>
      </c>
      <c r="D10" s="63">
        <v>6</v>
      </c>
      <c r="E10" s="68">
        <v>1.7333333333333334</v>
      </c>
      <c r="F10" s="66">
        <v>1.2494744299568186</v>
      </c>
    </row>
    <row r="11" spans="1:6" ht="12.75" x14ac:dyDescent="0.2">
      <c r="A11" s="64" t="s">
        <v>249</v>
      </c>
      <c r="B11" s="64" t="s">
        <v>54</v>
      </c>
      <c r="C11" s="64" t="s">
        <v>130</v>
      </c>
      <c r="D11" s="63">
        <v>1</v>
      </c>
      <c r="E11" s="68">
        <v>3.4699999999999998</v>
      </c>
      <c r="F11" s="66">
        <v>2.0710050342730444</v>
      </c>
    </row>
    <row r="12" spans="1:6" ht="12.75" x14ac:dyDescent="0.2">
      <c r="A12" s="64" t="s">
        <v>256</v>
      </c>
      <c r="B12" s="64" t="s">
        <v>54</v>
      </c>
      <c r="C12" s="64" t="s">
        <v>130</v>
      </c>
      <c r="D12" s="63">
        <v>1</v>
      </c>
      <c r="E12" s="68">
        <v>3.0649999999999999</v>
      </c>
      <c r="F12" s="66">
        <v>1.226</v>
      </c>
    </row>
    <row r="13" spans="1:6" ht="12.75" x14ac:dyDescent="0.2">
      <c r="A13" s="64" t="s">
        <v>246</v>
      </c>
      <c r="B13" s="64" t="s">
        <v>54</v>
      </c>
      <c r="C13" s="64" t="s">
        <v>130</v>
      </c>
      <c r="D13" s="63">
        <v>4</v>
      </c>
      <c r="E13" s="68">
        <v>4.7322500000000005</v>
      </c>
      <c r="F13" s="66">
        <v>1.3477015582386813</v>
      </c>
    </row>
    <row r="14" spans="1:6" ht="12.75" x14ac:dyDescent="0.2">
      <c r="A14" s="64" t="s">
        <v>245</v>
      </c>
      <c r="B14" s="64" t="s">
        <v>54</v>
      </c>
      <c r="C14" s="64" t="s">
        <v>130</v>
      </c>
      <c r="D14" s="63">
        <v>1</v>
      </c>
      <c r="E14" s="68">
        <v>2.2400000000000002</v>
      </c>
      <c r="F14" s="66">
        <v>2.2400000000000002</v>
      </c>
    </row>
    <row r="15" spans="1:6" ht="12.75" x14ac:dyDescent="0.2">
      <c r="A15" s="64" t="s">
        <v>263</v>
      </c>
      <c r="B15" s="64" t="s">
        <v>54</v>
      </c>
      <c r="C15" s="64" t="s">
        <v>130</v>
      </c>
      <c r="D15" s="63">
        <v>56</v>
      </c>
      <c r="E15" s="68">
        <v>2.1875</v>
      </c>
      <c r="F15" s="66">
        <v>1.0839285714285714</v>
      </c>
    </row>
    <row r="16" spans="1:6" ht="12.75" x14ac:dyDescent="0.2">
      <c r="A16" s="64" t="s">
        <v>3</v>
      </c>
      <c r="B16" s="64" t="s">
        <v>54</v>
      </c>
      <c r="C16" s="64" t="s">
        <v>130</v>
      </c>
      <c r="D16" s="63">
        <v>1</v>
      </c>
      <c r="E16" s="68">
        <v>2.38099437379848</v>
      </c>
      <c r="F16" s="66">
        <v>1.3499996449500935</v>
      </c>
    </row>
    <row r="17" spans="1:6" ht="12.75" x14ac:dyDescent="0.2">
      <c r="A17" s="64" t="s">
        <v>248</v>
      </c>
      <c r="B17" s="64" t="s">
        <v>54</v>
      </c>
      <c r="C17" s="64" t="s">
        <v>130</v>
      </c>
      <c r="D17" s="63">
        <v>1</v>
      </c>
      <c r="E17" s="68">
        <v>2.4</v>
      </c>
      <c r="F17" s="66">
        <v>2.4</v>
      </c>
    </row>
    <row r="18" spans="1:6" ht="12.75" x14ac:dyDescent="0.2">
      <c r="A18" s="64" t="s">
        <v>247</v>
      </c>
      <c r="B18" s="64" t="s">
        <v>54</v>
      </c>
      <c r="C18" s="64" t="s">
        <v>130</v>
      </c>
      <c r="D18" s="63">
        <v>1</v>
      </c>
      <c r="E18" s="68">
        <v>6.9366504999999998</v>
      </c>
      <c r="F18" s="66">
        <v>3.053103213028169</v>
      </c>
    </row>
    <row r="19" spans="1:6" ht="12.75" x14ac:dyDescent="0.2">
      <c r="A19" s="64" t="s">
        <v>99</v>
      </c>
      <c r="B19" s="64" t="s">
        <v>51</v>
      </c>
      <c r="C19" s="64" t="s">
        <v>130</v>
      </c>
      <c r="D19" s="63">
        <v>1</v>
      </c>
      <c r="E19" s="68">
        <v>2.5144299999999999</v>
      </c>
      <c r="F19" s="66">
        <v>1.2088605769230769</v>
      </c>
    </row>
    <row r="20" spans="1:6" ht="12.75" x14ac:dyDescent="0.2">
      <c r="A20" s="64" t="s">
        <v>97</v>
      </c>
      <c r="B20" s="64" t="s">
        <v>51</v>
      </c>
      <c r="C20" s="64" t="s">
        <v>130</v>
      </c>
      <c r="D20" s="63">
        <v>2</v>
      </c>
      <c r="E20" s="68">
        <v>3.2</v>
      </c>
      <c r="F20" s="66">
        <v>1.1684964828084938</v>
      </c>
    </row>
    <row r="21" spans="1:6" ht="12.75" x14ac:dyDescent="0.2">
      <c r="A21" s="64" t="s">
        <v>253</v>
      </c>
      <c r="B21" s="64" t="s">
        <v>53</v>
      </c>
      <c r="C21" s="64" t="s">
        <v>201</v>
      </c>
      <c r="D21" s="63">
        <v>3</v>
      </c>
      <c r="E21" s="68">
        <v>492.3</v>
      </c>
      <c r="F21" s="66">
        <v>259.10526315789474</v>
      </c>
    </row>
    <row r="22" spans="1:6" ht="12.75" x14ac:dyDescent="0.2">
      <c r="A22" s="64" t="s">
        <v>0</v>
      </c>
      <c r="B22" s="64" t="s">
        <v>53</v>
      </c>
      <c r="C22" s="64" t="s">
        <v>201</v>
      </c>
      <c r="D22" s="63">
        <v>3</v>
      </c>
      <c r="E22" s="68">
        <v>302.66666666666669</v>
      </c>
      <c r="F22" s="66">
        <v>159.2982456140351</v>
      </c>
    </row>
    <row r="23" spans="1:6" ht="12.75" x14ac:dyDescent="0.2">
      <c r="A23" s="64" t="s">
        <v>95</v>
      </c>
      <c r="B23" s="64" t="s">
        <v>50</v>
      </c>
      <c r="C23" s="64" t="s">
        <v>201</v>
      </c>
      <c r="D23" s="63">
        <v>1</v>
      </c>
      <c r="E23" s="68">
        <v>395.80493269230777</v>
      </c>
      <c r="F23" s="66">
        <v>212.7983509098429</v>
      </c>
    </row>
    <row r="24" spans="1:6" ht="12.75" x14ac:dyDescent="0.2">
      <c r="A24" s="64" t="s">
        <v>93</v>
      </c>
      <c r="B24" s="64" t="s">
        <v>50</v>
      </c>
      <c r="C24" s="64" t="s">
        <v>201</v>
      </c>
      <c r="D24" s="63">
        <v>1</v>
      </c>
      <c r="E24" s="68">
        <v>420</v>
      </c>
      <c r="F24" s="66">
        <v>71</v>
      </c>
    </row>
    <row r="25" spans="1:6" ht="12.75" x14ac:dyDescent="0.2">
      <c r="A25" s="64" t="s">
        <v>247</v>
      </c>
      <c r="B25" s="64" t="s">
        <v>54</v>
      </c>
      <c r="C25" s="64" t="s">
        <v>201</v>
      </c>
      <c r="D25" s="63">
        <v>1</v>
      </c>
      <c r="E25" s="68">
        <v>180</v>
      </c>
      <c r="F25" s="66">
        <v>79.225352112676063</v>
      </c>
    </row>
    <row r="26" spans="1:6" ht="12.75" x14ac:dyDescent="0.2">
      <c r="A26" s="64" t="s">
        <v>3</v>
      </c>
      <c r="B26" s="64" t="s">
        <v>54</v>
      </c>
      <c r="C26" s="64" t="s">
        <v>201</v>
      </c>
      <c r="D26" s="63">
        <v>1</v>
      </c>
      <c r="E26" s="68">
        <v>14.109596289176176</v>
      </c>
      <c r="F26" s="66">
        <v>7.9999978960005533</v>
      </c>
    </row>
    <row r="27" spans="1:6" ht="12.75" x14ac:dyDescent="0.2">
      <c r="A27" s="64" t="s">
        <v>249</v>
      </c>
      <c r="B27" s="64" t="s">
        <v>54</v>
      </c>
      <c r="C27" s="64" t="s">
        <v>201</v>
      </c>
      <c r="D27" s="63">
        <v>1</v>
      </c>
      <c r="E27" s="68">
        <v>106.61999999999999</v>
      </c>
      <c r="F27" s="66">
        <v>63.634166211582695</v>
      </c>
    </row>
    <row r="28" spans="1:6" ht="12.75" x14ac:dyDescent="0.2">
      <c r="A28" s="64" t="s">
        <v>246</v>
      </c>
      <c r="B28" s="64" t="s">
        <v>54</v>
      </c>
      <c r="C28" s="64" t="s">
        <v>201</v>
      </c>
      <c r="D28" s="63">
        <v>4</v>
      </c>
      <c r="E28" s="68">
        <v>36.541666666666671</v>
      </c>
      <c r="F28" s="66">
        <v>11.726830121082001</v>
      </c>
    </row>
    <row r="29" spans="1:6" ht="12.75" x14ac:dyDescent="0.2">
      <c r="A29" s="64" t="s">
        <v>253</v>
      </c>
      <c r="B29" s="64" t="s">
        <v>53</v>
      </c>
      <c r="C29" s="64" t="s">
        <v>144</v>
      </c>
      <c r="D29" s="63">
        <v>3</v>
      </c>
      <c r="E29" s="68">
        <v>1.9599999999999997</v>
      </c>
      <c r="F29" s="66">
        <v>1.0315789473684209</v>
      </c>
    </row>
    <row r="30" spans="1:6" ht="12.75" x14ac:dyDescent="0.2">
      <c r="A30" s="64" t="s">
        <v>250</v>
      </c>
      <c r="B30" s="64" t="s">
        <v>53</v>
      </c>
      <c r="C30" s="64" t="s">
        <v>144</v>
      </c>
      <c r="D30" s="63">
        <v>1</v>
      </c>
      <c r="E30" s="68">
        <v>5.5</v>
      </c>
      <c r="F30" s="66">
        <v>7.8571428571428568</v>
      </c>
    </row>
    <row r="31" spans="1:6" ht="12.75" x14ac:dyDescent="0.2">
      <c r="A31" s="64" t="s">
        <v>252</v>
      </c>
      <c r="B31" s="64" t="s">
        <v>53</v>
      </c>
      <c r="C31" s="64" t="s">
        <v>144</v>
      </c>
      <c r="D31" s="63">
        <v>1</v>
      </c>
      <c r="E31" s="68">
        <v>0.58000000000000007</v>
      </c>
      <c r="F31" s="66">
        <v>0.22307692307692306</v>
      </c>
    </row>
    <row r="32" spans="1:6" ht="12.75" x14ac:dyDescent="0.2">
      <c r="A32" s="64" t="s">
        <v>0</v>
      </c>
      <c r="B32" s="64" t="s">
        <v>53</v>
      </c>
      <c r="C32" s="64" t="s">
        <v>144</v>
      </c>
      <c r="D32" s="63">
        <v>3</v>
      </c>
      <c r="E32" s="68">
        <v>0.21533333333333335</v>
      </c>
      <c r="F32" s="66">
        <v>0.11333333333333334</v>
      </c>
    </row>
    <row r="33" spans="1:6" ht="12.75" x14ac:dyDescent="0.2">
      <c r="A33" s="64" t="s">
        <v>94</v>
      </c>
      <c r="B33" s="64" t="s">
        <v>50</v>
      </c>
      <c r="C33" s="64" t="s">
        <v>144</v>
      </c>
      <c r="D33" s="63">
        <v>1</v>
      </c>
      <c r="E33" s="68">
        <v>3.56</v>
      </c>
      <c r="F33" s="66">
        <v>1.8</v>
      </c>
    </row>
    <row r="34" spans="1:6" ht="12.75" x14ac:dyDescent="0.2">
      <c r="A34" s="64" t="s">
        <v>245</v>
      </c>
      <c r="B34" s="64" t="s">
        <v>54</v>
      </c>
      <c r="C34" s="64" t="s">
        <v>144</v>
      </c>
      <c r="D34" s="63">
        <v>1</v>
      </c>
      <c r="E34" s="68">
        <v>1.1399999999999999</v>
      </c>
      <c r="F34" s="66">
        <v>1.1399999999999999</v>
      </c>
    </row>
    <row r="35" spans="1:6" ht="12.75" x14ac:dyDescent="0.2">
      <c r="A35" s="64" t="s">
        <v>247</v>
      </c>
      <c r="B35" s="64" t="s">
        <v>54</v>
      </c>
      <c r="C35" s="64" t="s">
        <v>144</v>
      </c>
      <c r="D35" s="63">
        <v>1</v>
      </c>
      <c r="E35" s="68">
        <v>3.5</v>
      </c>
      <c r="F35" s="66">
        <v>1.540492957746479</v>
      </c>
    </row>
    <row r="36" spans="1:6" ht="12.75" x14ac:dyDescent="0.2">
      <c r="A36" s="64" t="s">
        <v>246</v>
      </c>
      <c r="B36" s="64" t="s">
        <v>54</v>
      </c>
      <c r="C36" s="64" t="s">
        <v>144</v>
      </c>
      <c r="D36" s="63">
        <v>4</v>
      </c>
      <c r="E36" s="68">
        <v>2.708333333333333</v>
      </c>
      <c r="F36" s="66">
        <v>0.80331131255753585</v>
      </c>
    </row>
    <row r="37" spans="1:6" ht="12.75" x14ac:dyDescent="0.2">
      <c r="A37" s="64" t="s">
        <v>256</v>
      </c>
      <c r="B37" s="64" t="s">
        <v>54</v>
      </c>
      <c r="C37" s="64" t="s">
        <v>144</v>
      </c>
      <c r="D37" s="63">
        <v>1</v>
      </c>
      <c r="E37" s="68">
        <v>4.875</v>
      </c>
      <c r="F37" s="66">
        <v>1.95</v>
      </c>
    </row>
    <row r="38" spans="1:6" ht="12.75" x14ac:dyDescent="0.2">
      <c r="A38" s="64" t="s">
        <v>252</v>
      </c>
      <c r="B38" s="64" t="s">
        <v>54</v>
      </c>
      <c r="C38" s="64" t="s">
        <v>144</v>
      </c>
      <c r="D38" s="63">
        <v>1</v>
      </c>
      <c r="E38" s="68">
        <v>0.81499999999999995</v>
      </c>
      <c r="F38" s="66">
        <v>0.81499999999999995</v>
      </c>
    </row>
    <row r="39" spans="1:6" ht="12.75" x14ac:dyDescent="0.2">
      <c r="A39" s="64" t="s">
        <v>251</v>
      </c>
      <c r="B39" s="64" t="s">
        <v>54</v>
      </c>
      <c r="C39" s="64" t="s">
        <v>144</v>
      </c>
      <c r="D39" s="63">
        <v>6</v>
      </c>
      <c r="E39" s="68">
        <v>2.0333333333333332</v>
      </c>
      <c r="F39" s="66">
        <v>1.4543661990730536</v>
      </c>
    </row>
    <row r="40" spans="1:6" ht="12.75" x14ac:dyDescent="0.2">
      <c r="A40" s="64" t="s">
        <v>249</v>
      </c>
      <c r="B40" s="64" t="s">
        <v>54</v>
      </c>
      <c r="C40" s="64" t="s">
        <v>144</v>
      </c>
      <c r="D40" s="63">
        <v>1</v>
      </c>
      <c r="E40" s="68">
        <v>2.4700000000000002</v>
      </c>
      <c r="F40" s="66">
        <v>1.4741736122923401</v>
      </c>
    </row>
    <row r="41" spans="1:6" ht="12.75" x14ac:dyDescent="0.2">
      <c r="A41" s="64" t="s">
        <v>248</v>
      </c>
      <c r="B41" s="64" t="s">
        <v>54</v>
      </c>
      <c r="C41" s="64" t="s">
        <v>144</v>
      </c>
      <c r="D41" s="63">
        <v>1</v>
      </c>
      <c r="E41" s="68">
        <v>0.41</v>
      </c>
      <c r="F41" s="66">
        <v>0.41</v>
      </c>
    </row>
    <row r="42" spans="1:6" ht="12.75" x14ac:dyDescent="0.2">
      <c r="A42" s="64" t="s">
        <v>3</v>
      </c>
      <c r="B42" s="64" t="s">
        <v>54</v>
      </c>
      <c r="C42" s="64" t="s">
        <v>144</v>
      </c>
      <c r="D42" s="63">
        <v>1</v>
      </c>
      <c r="E42" s="68">
        <v>3.2628441418719909</v>
      </c>
      <c r="F42" s="66">
        <v>1.8499995134501281</v>
      </c>
    </row>
    <row r="43" spans="1:6" ht="12.75" x14ac:dyDescent="0.2"/>
  </sheetData>
  <phoneticPr fontId="1"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7CDF6-2CFA-4D57-B16F-84AB4EFA45B0}">
  <sheetPr>
    <tabColor theme="4"/>
  </sheetPr>
  <dimension ref="A1:B20"/>
  <sheetViews>
    <sheetView zoomScaleNormal="100" workbookViewId="0">
      <selection activeCell="C34" sqref="C34"/>
    </sheetView>
  </sheetViews>
  <sheetFormatPr defaultRowHeight="12.75" x14ac:dyDescent="0.2"/>
  <cols>
    <col min="1" max="1" width="25.5" style="53" customWidth="1"/>
    <col min="2" max="2" width="24.875" style="53" customWidth="1"/>
    <col min="3" max="16384" width="9" style="53"/>
  </cols>
  <sheetData>
    <row r="1" spans="1:2" x14ac:dyDescent="0.2">
      <c r="A1" s="53" t="s">
        <v>180</v>
      </c>
      <c r="B1" s="53" t="s">
        <v>103</v>
      </c>
    </row>
    <row r="2" spans="1:2" x14ac:dyDescent="0.2">
      <c r="A2" s="54" t="s">
        <v>182</v>
      </c>
      <c r="B2" s="55" t="s">
        <v>42</v>
      </c>
    </row>
    <row r="3" spans="1:2" x14ac:dyDescent="0.2">
      <c r="A3" s="54" t="s">
        <v>182</v>
      </c>
      <c r="B3" s="55" t="s">
        <v>52</v>
      </c>
    </row>
    <row r="4" spans="1:2" x14ac:dyDescent="0.2">
      <c r="A4" s="54" t="s">
        <v>182</v>
      </c>
      <c r="B4" s="55" t="s">
        <v>239</v>
      </c>
    </row>
    <row r="5" spans="1:2" x14ac:dyDescent="0.2">
      <c r="A5" s="54" t="s">
        <v>182</v>
      </c>
      <c r="B5" s="55" t="s">
        <v>51</v>
      </c>
    </row>
    <row r="6" spans="1:2" x14ac:dyDescent="0.2">
      <c r="A6" s="54" t="s">
        <v>182</v>
      </c>
      <c r="B6" s="76" t="s">
        <v>255</v>
      </c>
    </row>
    <row r="7" spans="1:2" x14ac:dyDescent="0.2">
      <c r="A7" s="54" t="s">
        <v>183</v>
      </c>
      <c r="B7" s="55" t="s">
        <v>53</v>
      </c>
    </row>
    <row r="8" spans="1:2" x14ac:dyDescent="0.2">
      <c r="A8" s="54" t="s">
        <v>183</v>
      </c>
      <c r="B8" s="55" t="s">
        <v>54</v>
      </c>
    </row>
    <row r="9" spans="1:2" x14ac:dyDescent="0.2">
      <c r="A9" s="54" t="s">
        <v>184</v>
      </c>
      <c r="B9" s="55" t="s">
        <v>44</v>
      </c>
    </row>
    <row r="10" spans="1:2" x14ac:dyDescent="0.2">
      <c r="A10" s="54" t="s">
        <v>184</v>
      </c>
      <c r="B10" s="55" t="s">
        <v>240</v>
      </c>
    </row>
    <row r="11" spans="1:2" x14ac:dyDescent="0.2">
      <c r="A11" s="54" t="s">
        <v>184</v>
      </c>
      <c r="B11" s="55" t="s">
        <v>237</v>
      </c>
    </row>
    <row r="12" spans="1:2" x14ac:dyDescent="0.2">
      <c r="A12" s="54" t="s">
        <v>184</v>
      </c>
      <c r="B12" s="55" t="s">
        <v>238</v>
      </c>
    </row>
    <row r="13" spans="1:2" x14ac:dyDescent="0.2">
      <c r="A13" s="54" t="s">
        <v>184</v>
      </c>
      <c r="B13" s="55" t="s">
        <v>47</v>
      </c>
    </row>
    <row r="14" spans="1:2" x14ac:dyDescent="0.2">
      <c r="A14" s="54" t="s">
        <v>181</v>
      </c>
      <c r="B14" s="55" t="s">
        <v>40</v>
      </c>
    </row>
    <row r="15" spans="1:2" x14ac:dyDescent="0.2">
      <c r="A15" s="54" t="s">
        <v>181</v>
      </c>
      <c r="B15" s="55" t="s">
        <v>41</v>
      </c>
    </row>
    <row r="16" spans="1:2" x14ac:dyDescent="0.2">
      <c r="A16" s="54" t="s">
        <v>181</v>
      </c>
      <c r="B16" s="55" t="s">
        <v>235</v>
      </c>
    </row>
    <row r="17" spans="1:2" x14ac:dyDescent="0.2">
      <c r="A17" s="54" t="s">
        <v>181</v>
      </c>
      <c r="B17" s="55" t="s">
        <v>45</v>
      </c>
    </row>
    <row r="18" spans="1:2" x14ac:dyDescent="0.2">
      <c r="A18" s="56" t="s">
        <v>181</v>
      </c>
      <c r="B18" s="57" t="s">
        <v>46</v>
      </c>
    </row>
    <row r="19" spans="1:2" x14ac:dyDescent="0.2">
      <c r="A19" s="54" t="s">
        <v>181</v>
      </c>
      <c r="B19" s="57" t="s">
        <v>50</v>
      </c>
    </row>
    <row r="20" spans="1:2" x14ac:dyDescent="0.2">
      <c r="A20" s="54" t="s">
        <v>181</v>
      </c>
      <c r="B20" s="57" t="s">
        <v>43</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0B2B-8450-443D-A524-24E6ADB60E72}">
  <sheetPr>
    <tabColor theme="4"/>
  </sheetPr>
  <dimension ref="A1:N38"/>
  <sheetViews>
    <sheetView zoomScaleNormal="100" workbookViewId="0">
      <selection activeCell="E31" sqref="E31"/>
    </sheetView>
  </sheetViews>
  <sheetFormatPr defaultColWidth="11" defaultRowHeight="12.75" x14ac:dyDescent="0.2"/>
  <cols>
    <col min="1" max="1" width="27.75" style="3" customWidth="1"/>
    <col min="2" max="2" width="22.875" style="3" customWidth="1"/>
    <col min="3" max="3" width="17.625" style="3" customWidth="1"/>
    <col min="4" max="4" width="13.125" style="3" customWidth="1"/>
    <col min="5" max="8" width="12.625" style="3" customWidth="1"/>
    <col min="9" max="9" width="17.375" style="3" customWidth="1"/>
    <col min="10" max="13" width="14.625" style="3" customWidth="1"/>
    <col min="14" max="14" width="85.625" style="3" customWidth="1"/>
    <col min="15" max="16384" width="11" style="3"/>
  </cols>
  <sheetData>
    <row r="1" spans="1:14" s="5" customFormat="1" ht="25.5" x14ac:dyDescent="0.2">
      <c r="A1" s="5" t="s">
        <v>104</v>
      </c>
      <c r="B1" s="5" t="s">
        <v>103</v>
      </c>
      <c r="C1" s="62" t="s">
        <v>163</v>
      </c>
      <c r="D1" s="5" t="s">
        <v>198</v>
      </c>
      <c r="E1" s="62" t="s">
        <v>157</v>
      </c>
      <c r="F1" s="62" t="s">
        <v>158</v>
      </c>
      <c r="G1" s="62" t="s">
        <v>206</v>
      </c>
      <c r="H1" s="62" t="s">
        <v>207</v>
      </c>
      <c r="I1" s="5" t="s">
        <v>125</v>
      </c>
      <c r="J1" s="62" t="s">
        <v>159</v>
      </c>
      <c r="K1" s="62" t="s">
        <v>160</v>
      </c>
      <c r="L1" s="62" t="s">
        <v>204</v>
      </c>
      <c r="M1" s="62" t="s">
        <v>205</v>
      </c>
      <c r="N1" s="62" t="s">
        <v>199</v>
      </c>
    </row>
    <row r="2" spans="1:14" x14ac:dyDescent="0.2">
      <c r="A2" s="3" t="s">
        <v>234</v>
      </c>
      <c r="B2" s="3" t="s">
        <v>235</v>
      </c>
      <c r="C2" s="37" t="s">
        <v>201</v>
      </c>
      <c r="D2" s="10">
        <v>200</v>
      </c>
      <c r="E2" s="66">
        <v>537.43304782673101</v>
      </c>
      <c r="F2" s="66">
        <v>325.46324862494299</v>
      </c>
      <c r="G2" s="66">
        <v>245.32762672809801</v>
      </c>
      <c r="H2" s="66">
        <v>529.67476254026701</v>
      </c>
      <c r="I2" s="3" t="s">
        <v>236</v>
      </c>
      <c r="J2" s="67">
        <v>273.87808980437001</v>
      </c>
      <c r="K2" s="67">
        <v>165.85740902122902</v>
      </c>
      <c r="L2" s="67">
        <v>125.01996677769</v>
      </c>
      <c r="M2" s="67">
        <v>269.924435738981</v>
      </c>
      <c r="N2" s="22"/>
    </row>
    <row r="3" spans="1:14" x14ac:dyDescent="0.2">
      <c r="A3" s="3" t="s">
        <v>234</v>
      </c>
      <c r="B3" s="3" t="s">
        <v>42</v>
      </c>
      <c r="C3" s="37" t="s">
        <v>201</v>
      </c>
      <c r="D3" s="10">
        <v>45</v>
      </c>
      <c r="E3" s="66">
        <v>8628.3074232505132</v>
      </c>
      <c r="F3" s="66">
        <v>9258.5669938526298</v>
      </c>
      <c r="G3" s="66">
        <v>7166.3737791532903</v>
      </c>
      <c r="H3" s="66">
        <v>14516.57568544746</v>
      </c>
      <c r="I3" s="3" t="s">
        <v>236</v>
      </c>
      <c r="J3" s="67">
        <v>4799.1684311630606</v>
      </c>
      <c r="K3" s="67">
        <v>5150.214538691429</v>
      </c>
      <c r="L3" s="67">
        <v>3985.8450504596663</v>
      </c>
      <c r="M3" s="67">
        <v>8076.8565802668063</v>
      </c>
      <c r="N3" s="22"/>
    </row>
    <row r="4" spans="1:14" x14ac:dyDescent="0.2">
      <c r="A4" s="3" t="s">
        <v>234</v>
      </c>
      <c r="B4" s="3" t="s">
        <v>255</v>
      </c>
      <c r="C4" s="37" t="s">
        <v>201</v>
      </c>
      <c r="D4" s="10">
        <v>9</v>
      </c>
      <c r="E4" s="66">
        <v>255.555555555555</v>
      </c>
      <c r="F4" s="66">
        <v>284</v>
      </c>
      <c r="G4" s="66">
        <v>246</v>
      </c>
      <c r="H4" s="66">
        <v>288</v>
      </c>
      <c r="I4" s="3" t="s">
        <v>236</v>
      </c>
      <c r="J4" s="67">
        <v>114.390663917407</v>
      </c>
      <c r="K4" s="67">
        <v>128.90860962686099</v>
      </c>
      <c r="L4" s="67">
        <v>110.10943738961001</v>
      </c>
      <c r="M4" s="67">
        <v>131.73628141794299</v>
      </c>
      <c r="N4" s="22"/>
    </row>
    <row r="5" spans="1:14" x14ac:dyDescent="0.2">
      <c r="A5" s="3" t="s">
        <v>234</v>
      </c>
      <c r="B5" s="69" t="s">
        <v>239</v>
      </c>
      <c r="C5" s="37" t="s">
        <v>201</v>
      </c>
      <c r="D5" s="10">
        <v>60</v>
      </c>
      <c r="E5" s="66">
        <v>5747.6378069644597</v>
      </c>
      <c r="F5" s="66">
        <v>10705</v>
      </c>
      <c r="G5" s="66">
        <v>5428</v>
      </c>
      <c r="H5" s="66">
        <v>10810.5</v>
      </c>
      <c r="I5" s="3" t="s">
        <v>236</v>
      </c>
      <c r="J5" s="67">
        <v>2663.8313486009101</v>
      </c>
      <c r="K5" s="67">
        <v>4961.5412713941078</v>
      </c>
      <c r="L5" s="67">
        <v>2515.7826576544276</v>
      </c>
      <c r="M5" s="67">
        <v>5010.4785167799992</v>
      </c>
      <c r="N5" s="22"/>
    </row>
    <row r="6" spans="1:14" x14ac:dyDescent="0.2">
      <c r="A6" s="3" t="s">
        <v>234</v>
      </c>
      <c r="B6" s="69" t="s">
        <v>45</v>
      </c>
      <c r="C6" s="37" t="s">
        <v>201</v>
      </c>
      <c r="D6" s="10">
        <v>181</v>
      </c>
      <c r="E6" s="66">
        <v>442.58956843564198</v>
      </c>
      <c r="F6" s="66">
        <v>523.06663977656797</v>
      </c>
      <c r="G6" s="66">
        <v>388.287295416056</v>
      </c>
      <c r="H6" s="66">
        <v>847.02181993705506</v>
      </c>
      <c r="I6" s="3" t="s">
        <v>236</v>
      </c>
      <c r="J6" s="67">
        <v>300.16728831665705</v>
      </c>
      <c r="K6" s="67">
        <v>354.74739141636297</v>
      </c>
      <c r="L6" s="67">
        <v>263.33911340206902</v>
      </c>
      <c r="M6" s="67">
        <v>574.45602193969603</v>
      </c>
      <c r="N6" s="22"/>
    </row>
    <row r="7" spans="1:14" x14ac:dyDescent="0.2">
      <c r="A7" s="3" t="s">
        <v>234</v>
      </c>
      <c r="B7" s="3" t="s">
        <v>46</v>
      </c>
      <c r="C7" s="37" t="s">
        <v>201</v>
      </c>
      <c r="D7" s="10">
        <v>201</v>
      </c>
      <c r="E7" s="66">
        <v>394.11627133037399</v>
      </c>
      <c r="F7" s="66">
        <v>248.86595551638001</v>
      </c>
      <c r="G7" s="66">
        <v>136.034191464608</v>
      </c>
      <c r="H7" s="66">
        <v>599.46442881797998</v>
      </c>
      <c r="I7" s="3" t="s">
        <v>236</v>
      </c>
      <c r="J7" s="67">
        <v>251.90381749831002</v>
      </c>
      <c r="K7" s="67">
        <v>159.06545555280999</v>
      </c>
      <c r="L7" s="67">
        <v>86.947773114156902</v>
      </c>
      <c r="M7" s="67">
        <v>383.15438630319602</v>
      </c>
      <c r="N7" s="22"/>
    </row>
    <row r="8" spans="1:14" x14ac:dyDescent="0.2">
      <c r="A8" s="3" t="s">
        <v>234</v>
      </c>
      <c r="B8" s="69" t="s">
        <v>237</v>
      </c>
      <c r="C8" s="37" t="s">
        <v>201</v>
      </c>
      <c r="D8" s="10">
        <v>134</v>
      </c>
      <c r="E8" s="66">
        <v>139.57776995389199</v>
      </c>
      <c r="F8" s="66">
        <v>103.43694005168901</v>
      </c>
      <c r="G8" s="66">
        <v>18.196892757908099</v>
      </c>
      <c r="H8" s="66">
        <v>203.14877887303601</v>
      </c>
      <c r="I8" s="3" t="s">
        <v>236</v>
      </c>
      <c r="J8" s="67">
        <v>65.053146305884397</v>
      </c>
      <c r="K8" s="67">
        <v>47.767626741289597</v>
      </c>
      <c r="L8" s="67">
        <v>8.5693912174855402</v>
      </c>
      <c r="M8" s="67">
        <v>93.814985606754803</v>
      </c>
      <c r="N8" s="22"/>
    </row>
    <row r="9" spans="1:14" x14ac:dyDescent="0.2">
      <c r="A9" s="3" t="s">
        <v>234</v>
      </c>
      <c r="B9" s="69" t="s">
        <v>238</v>
      </c>
      <c r="C9" s="37" t="s">
        <v>201</v>
      </c>
      <c r="D9" s="10">
        <v>32</v>
      </c>
      <c r="E9" s="66">
        <v>58.361306249093602</v>
      </c>
      <c r="F9" s="66">
        <v>212.50313359626901</v>
      </c>
      <c r="G9" s="66">
        <v>50.720686557614499</v>
      </c>
      <c r="H9" s="66">
        <v>314.56016378043</v>
      </c>
      <c r="I9" s="3" t="s">
        <v>236</v>
      </c>
      <c r="J9" s="67">
        <v>17.813374789620301</v>
      </c>
      <c r="K9" s="67">
        <v>64.861433131097996</v>
      </c>
      <c r="L9" s="67">
        <v>15.481260741172601</v>
      </c>
      <c r="M9" s="67">
        <v>96.01186901796251</v>
      </c>
      <c r="N9" s="22"/>
    </row>
    <row r="10" spans="1:14" x14ac:dyDescent="0.2">
      <c r="A10" s="3" t="s">
        <v>48</v>
      </c>
      <c r="B10" s="3" t="s">
        <v>40</v>
      </c>
      <c r="C10" s="2" t="s">
        <v>130</v>
      </c>
      <c r="D10" s="20">
        <v>106</v>
      </c>
      <c r="E10" s="67">
        <v>84.160080000000008</v>
      </c>
      <c r="F10" s="67">
        <v>51.06456</v>
      </c>
      <c r="G10" s="67">
        <v>34.153019999999998</v>
      </c>
      <c r="H10" s="67">
        <v>177.53309999999999</v>
      </c>
      <c r="I10" s="3" t="s">
        <v>209</v>
      </c>
      <c r="J10" s="67">
        <v>42.206659979939815</v>
      </c>
      <c r="K10" s="67">
        <v>25.609107321965897</v>
      </c>
      <c r="L10" s="67">
        <v>17.127893681043126</v>
      </c>
      <c r="M10" s="67">
        <v>89.033650952858565</v>
      </c>
      <c r="N10" s="22" t="s">
        <v>200</v>
      </c>
    </row>
    <row r="11" spans="1:14" x14ac:dyDescent="0.2">
      <c r="A11" s="3" t="s">
        <v>48</v>
      </c>
      <c r="B11" s="3" t="s">
        <v>41</v>
      </c>
      <c r="C11" s="2" t="s">
        <v>130</v>
      </c>
      <c r="D11" s="20">
        <v>43</v>
      </c>
      <c r="E11" s="67">
        <v>28.304999999999996</v>
      </c>
      <c r="F11" s="67">
        <v>29.018999999999998</v>
      </c>
      <c r="G11" s="67">
        <v>15.249000000000001</v>
      </c>
      <c r="H11" s="67">
        <v>43.265000000000001</v>
      </c>
      <c r="I11" s="3" t="s">
        <v>209</v>
      </c>
      <c r="J11" s="67">
        <v>14.338905775075984</v>
      </c>
      <c r="K11" s="67">
        <v>14.700607902735564</v>
      </c>
      <c r="L11" s="67">
        <v>7.7249240121580556</v>
      </c>
      <c r="M11" s="67">
        <v>21.917426545086119</v>
      </c>
      <c r="N11" s="22" t="s">
        <v>200</v>
      </c>
    </row>
    <row r="12" spans="1:14" x14ac:dyDescent="0.2">
      <c r="A12" s="3" t="s">
        <v>48</v>
      </c>
      <c r="B12" s="3" t="s">
        <v>42</v>
      </c>
      <c r="C12" s="2" t="s">
        <v>130</v>
      </c>
      <c r="D12" s="20">
        <v>21</v>
      </c>
      <c r="E12" s="67">
        <v>18.029770000000003</v>
      </c>
      <c r="F12" s="67">
        <v>9.8704100000000015</v>
      </c>
      <c r="G12" s="67">
        <v>5.3948399999999994</v>
      </c>
      <c r="H12" s="67">
        <v>34.972520000000003</v>
      </c>
      <c r="I12" s="3" t="s">
        <v>209</v>
      </c>
      <c r="J12" s="67">
        <v>12.207020988490184</v>
      </c>
      <c r="K12" s="67">
        <v>6.6827420446851731</v>
      </c>
      <c r="L12" s="67">
        <v>3.6525660121868646</v>
      </c>
      <c r="M12" s="67">
        <v>23.678077183480028</v>
      </c>
      <c r="N12" s="22" t="s">
        <v>200</v>
      </c>
    </row>
    <row r="13" spans="1:14" x14ac:dyDescent="0.2">
      <c r="A13" s="3" t="s">
        <v>48</v>
      </c>
      <c r="B13" s="3" t="s">
        <v>43</v>
      </c>
      <c r="C13" s="2" t="s">
        <v>130</v>
      </c>
      <c r="D13" s="20">
        <v>31</v>
      </c>
      <c r="E13" s="67">
        <v>4.2917300000000003</v>
      </c>
      <c r="F13" s="67">
        <v>3.8689900000000002</v>
      </c>
      <c r="G13" s="67">
        <v>2.6926700000000001</v>
      </c>
      <c r="H13" s="67">
        <v>7.7104100000000004</v>
      </c>
      <c r="I13" s="3" t="s">
        <v>209</v>
      </c>
      <c r="J13" s="67">
        <v>3.8678172314347514</v>
      </c>
      <c r="K13" s="67">
        <v>3.4868330930064895</v>
      </c>
      <c r="L13" s="67">
        <v>2.4267033165104546</v>
      </c>
      <c r="M13" s="67">
        <v>6.9488193943763532</v>
      </c>
      <c r="N13" s="22" t="s">
        <v>200</v>
      </c>
    </row>
    <row r="14" spans="1:14" x14ac:dyDescent="0.2">
      <c r="A14" s="3" t="s">
        <v>48</v>
      </c>
      <c r="B14" s="3" t="s">
        <v>52</v>
      </c>
      <c r="C14" s="2" t="s">
        <v>130</v>
      </c>
      <c r="D14" s="20">
        <v>54</v>
      </c>
      <c r="E14" s="67">
        <v>11.258380000000001</v>
      </c>
      <c r="F14" s="67">
        <v>6.5171399999999995</v>
      </c>
      <c r="G14" s="67">
        <v>4.6669</v>
      </c>
      <c r="H14" s="67">
        <v>21.897259999999999</v>
      </c>
      <c r="I14" s="3" t="s">
        <v>209</v>
      </c>
      <c r="J14" s="67">
        <v>4.9368033326024996</v>
      </c>
      <c r="K14" s="67">
        <v>2.8577680333260247</v>
      </c>
      <c r="L14" s="67">
        <v>2.0464371848278886</v>
      </c>
      <c r="M14" s="67">
        <v>9.6019557114667844</v>
      </c>
      <c r="N14" s="22" t="s">
        <v>200</v>
      </c>
    </row>
    <row r="15" spans="1:14" x14ac:dyDescent="0.2">
      <c r="A15" s="3" t="s">
        <v>48</v>
      </c>
      <c r="B15" s="3" t="s">
        <v>240</v>
      </c>
      <c r="C15" s="2" t="s">
        <v>130</v>
      </c>
      <c r="D15" s="20">
        <v>44</v>
      </c>
      <c r="E15" s="67">
        <v>1.1473900000000001</v>
      </c>
      <c r="F15" s="67">
        <v>0.89098999999999995</v>
      </c>
      <c r="G15" s="67">
        <v>0.62817999999999996</v>
      </c>
      <c r="H15" s="67">
        <v>2.4037500000000001</v>
      </c>
      <c r="I15" s="3" t="s">
        <v>209</v>
      </c>
      <c r="J15" s="67">
        <v>0.53591312470808039</v>
      </c>
      <c r="K15" s="67">
        <v>0.41615600186828583</v>
      </c>
      <c r="L15" s="67">
        <v>0.29340495095749652</v>
      </c>
      <c r="M15" s="67">
        <v>1.1227230266230734</v>
      </c>
      <c r="N15" s="22" t="s">
        <v>200</v>
      </c>
    </row>
    <row r="16" spans="1:14" x14ac:dyDescent="0.2">
      <c r="A16" s="3" t="s">
        <v>48</v>
      </c>
      <c r="B16" s="3" t="s">
        <v>44</v>
      </c>
      <c r="C16" s="2" t="s">
        <v>130</v>
      </c>
      <c r="D16" s="20">
        <v>33</v>
      </c>
      <c r="E16" s="67">
        <v>0.73499999999999999</v>
      </c>
      <c r="F16" s="67">
        <v>0.60000000000000009</v>
      </c>
      <c r="G16" s="67">
        <v>0.42000000000000004</v>
      </c>
      <c r="H16" s="67">
        <v>1.2524999999999999</v>
      </c>
      <c r="I16" s="3" t="s">
        <v>209</v>
      </c>
      <c r="J16" s="67">
        <v>0.33078307830783082</v>
      </c>
      <c r="K16" s="67">
        <v>0.27002700270027002</v>
      </c>
      <c r="L16" s="67">
        <v>0.18901890189018905</v>
      </c>
      <c r="M16" s="67">
        <v>0.56368136813681369</v>
      </c>
      <c r="N16" s="22" t="s">
        <v>200</v>
      </c>
    </row>
    <row r="17" spans="1:14" x14ac:dyDescent="0.2">
      <c r="A17" s="3" t="s">
        <v>48</v>
      </c>
      <c r="B17" s="3" t="s">
        <v>45</v>
      </c>
      <c r="C17" s="2" t="s">
        <v>130</v>
      </c>
      <c r="D17" s="20">
        <v>75</v>
      </c>
      <c r="E17" s="67">
        <v>9.5648700000000009</v>
      </c>
      <c r="F17" s="67">
        <v>8.2128899999999998</v>
      </c>
      <c r="G17" s="67">
        <v>5.7575700000000003</v>
      </c>
      <c r="H17" s="67">
        <v>17.296020000000002</v>
      </c>
      <c r="I17" s="3" t="s">
        <v>209</v>
      </c>
      <c r="J17" s="67">
        <v>5.9115389369592091</v>
      </c>
      <c r="K17" s="67">
        <v>5.0759517923362178</v>
      </c>
      <c r="L17" s="67">
        <v>3.5584487021013596</v>
      </c>
      <c r="M17" s="67">
        <v>10.689752781211373</v>
      </c>
      <c r="N17" s="22" t="s">
        <v>200</v>
      </c>
    </row>
    <row r="18" spans="1:14" x14ac:dyDescent="0.2">
      <c r="A18" s="3" t="s">
        <v>48</v>
      </c>
      <c r="B18" s="3" t="s">
        <v>46</v>
      </c>
      <c r="C18" s="2" t="s">
        <v>130</v>
      </c>
      <c r="D18" s="20">
        <v>46</v>
      </c>
      <c r="E18" s="67">
        <v>7.6097699999999993</v>
      </c>
      <c r="F18" s="67">
        <v>5.7979199999999995</v>
      </c>
      <c r="G18" s="67">
        <v>3.2227799999999998</v>
      </c>
      <c r="H18" s="67">
        <v>15.51252</v>
      </c>
      <c r="I18" s="3" t="s">
        <v>209</v>
      </c>
      <c r="J18" s="67">
        <v>4.3936316397228632</v>
      </c>
      <c r="K18" s="67">
        <v>3.3475288683602771</v>
      </c>
      <c r="L18" s="67">
        <v>1.8607274826789839</v>
      </c>
      <c r="M18" s="67">
        <v>8.9564203233256361</v>
      </c>
      <c r="N18" s="22" t="s">
        <v>200</v>
      </c>
    </row>
    <row r="19" spans="1:14" x14ac:dyDescent="0.2">
      <c r="A19" s="3" t="s">
        <v>48</v>
      </c>
      <c r="B19" s="3" t="s">
        <v>47</v>
      </c>
      <c r="C19" s="2" t="s">
        <v>130</v>
      </c>
      <c r="D19" s="20">
        <v>47</v>
      </c>
      <c r="E19" s="67">
        <v>2.28152</v>
      </c>
      <c r="F19" s="67">
        <v>1.86276</v>
      </c>
      <c r="G19" s="67">
        <v>1.1552</v>
      </c>
      <c r="H19" s="67">
        <v>4.0070999999999994</v>
      </c>
      <c r="I19" s="3" t="s">
        <v>209</v>
      </c>
      <c r="J19" s="67">
        <v>1.4259500000000001</v>
      </c>
      <c r="K19" s="67">
        <v>1.1642250000000001</v>
      </c>
      <c r="L19" s="67">
        <v>0.72199999999999998</v>
      </c>
      <c r="M19" s="67">
        <v>2.5044374999999994</v>
      </c>
      <c r="N19" s="22" t="s">
        <v>200</v>
      </c>
    </row>
    <row r="20" spans="1:14" x14ac:dyDescent="0.2">
      <c r="A20" s="3" t="s">
        <v>48</v>
      </c>
      <c r="B20" s="3" t="s">
        <v>40</v>
      </c>
      <c r="C20" s="2" t="s">
        <v>144</v>
      </c>
      <c r="D20" s="20">
        <v>106</v>
      </c>
      <c r="E20" s="66">
        <v>326.20999999999998</v>
      </c>
      <c r="F20" s="66">
        <v>170.37</v>
      </c>
      <c r="G20" s="66">
        <v>82.84</v>
      </c>
      <c r="H20" s="66">
        <v>735.09</v>
      </c>
      <c r="I20" s="3" t="s">
        <v>209</v>
      </c>
      <c r="J20" s="66">
        <v>163.59578736208624</v>
      </c>
      <c r="K20" s="66">
        <v>85.44132397191575</v>
      </c>
      <c r="L20" s="66">
        <v>41.544633901705119</v>
      </c>
      <c r="M20" s="66">
        <v>368.65095285857575</v>
      </c>
      <c r="N20" s="22" t="s">
        <v>231</v>
      </c>
    </row>
    <row r="21" spans="1:14" x14ac:dyDescent="0.2">
      <c r="A21" s="3" t="s">
        <v>48</v>
      </c>
      <c r="B21" s="3" t="s">
        <v>41</v>
      </c>
      <c r="C21" s="2" t="s">
        <v>144</v>
      </c>
      <c r="D21" s="20">
        <v>43</v>
      </c>
      <c r="E21" s="66">
        <v>43.24</v>
      </c>
      <c r="F21" s="66">
        <v>25.94</v>
      </c>
      <c r="G21" s="66">
        <v>14.39</v>
      </c>
      <c r="H21" s="66">
        <v>64.12</v>
      </c>
      <c r="I21" s="3" t="s">
        <v>209</v>
      </c>
      <c r="J21" s="66">
        <v>21.904761904761905</v>
      </c>
      <c r="K21" s="66">
        <v>13.140830800405269</v>
      </c>
      <c r="L21" s="66">
        <v>7.289766970618035</v>
      </c>
      <c r="M21" s="66">
        <v>32.4822695035461</v>
      </c>
      <c r="N21" s="22" t="s">
        <v>231</v>
      </c>
    </row>
    <row r="22" spans="1:14" x14ac:dyDescent="0.2">
      <c r="A22" s="3" t="s">
        <v>48</v>
      </c>
      <c r="B22" s="3" t="s">
        <v>42</v>
      </c>
      <c r="C22" s="2" t="s">
        <v>144</v>
      </c>
      <c r="D22" s="20">
        <v>21</v>
      </c>
      <c r="E22" s="66">
        <v>2.97</v>
      </c>
      <c r="F22" s="66">
        <v>0.82</v>
      </c>
      <c r="G22" s="66">
        <v>0.61</v>
      </c>
      <c r="H22" s="66">
        <v>5.19</v>
      </c>
      <c r="I22" s="3" t="s">
        <v>209</v>
      </c>
      <c r="J22" s="66">
        <v>2.0108327691266079</v>
      </c>
      <c r="K22" s="66">
        <v>0.55517941773865942</v>
      </c>
      <c r="L22" s="66">
        <v>0.41299932295192954</v>
      </c>
      <c r="M22" s="66">
        <v>3.5138794854434665</v>
      </c>
      <c r="N22" s="22" t="s">
        <v>231</v>
      </c>
    </row>
    <row r="23" spans="1:14" x14ac:dyDescent="0.2">
      <c r="A23" s="3" t="s">
        <v>48</v>
      </c>
      <c r="B23" s="3" t="s">
        <v>43</v>
      </c>
      <c r="C23" s="2" t="s">
        <v>144</v>
      </c>
      <c r="D23" s="20">
        <v>31</v>
      </c>
      <c r="E23" s="66">
        <v>6.27</v>
      </c>
      <c r="F23" s="66">
        <v>5.71</v>
      </c>
      <c r="G23" s="66">
        <v>4.38</v>
      </c>
      <c r="H23" s="66">
        <v>8.7899999999999991</v>
      </c>
      <c r="I23" s="3" t="s">
        <v>209</v>
      </c>
      <c r="J23" s="66">
        <v>5.6506849315068495</v>
      </c>
      <c r="K23" s="66">
        <v>5.1459985580389329</v>
      </c>
      <c r="L23" s="66">
        <v>3.9473684210526319</v>
      </c>
      <c r="M23" s="66">
        <v>7.9217736121124727</v>
      </c>
      <c r="N23" s="22" t="s">
        <v>231</v>
      </c>
    </row>
    <row r="24" spans="1:14" x14ac:dyDescent="0.2">
      <c r="A24" s="3" t="s">
        <v>48</v>
      </c>
      <c r="B24" s="3" t="s">
        <v>52</v>
      </c>
      <c r="C24" s="2" t="s">
        <v>144</v>
      </c>
      <c r="D24" s="20">
        <v>54</v>
      </c>
      <c r="E24" s="66">
        <v>8.41</v>
      </c>
      <c r="F24" s="66">
        <v>5.6</v>
      </c>
      <c r="G24" s="66">
        <v>0.82</v>
      </c>
      <c r="H24" s="66">
        <v>10.5</v>
      </c>
      <c r="I24" s="3" t="s">
        <v>209</v>
      </c>
      <c r="J24" s="66">
        <v>3.6877877658408247</v>
      </c>
      <c r="K24" s="66">
        <v>2.4556018417013812</v>
      </c>
      <c r="L24" s="66">
        <v>0.35957026967770223</v>
      </c>
      <c r="M24" s="66">
        <v>4.6042534531900898</v>
      </c>
      <c r="N24" s="22" t="s">
        <v>231</v>
      </c>
    </row>
    <row r="25" spans="1:14" x14ac:dyDescent="0.2">
      <c r="A25" s="3" t="s">
        <v>48</v>
      </c>
      <c r="B25" s="3" t="s">
        <v>240</v>
      </c>
      <c r="C25" s="2" t="s">
        <v>144</v>
      </c>
      <c r="D25" s="20">
        <v>44</v>
      </c>
      <c r="E25" s="66">
        <v>15.57</v>
      </c>
      <c r="F25" s="66">
        <v>12.24</v>
      </c>
      <c r="G25" s="66">
        <v>9.93</v>
      </c>
      <c r="H25" s="66">
        <v>41.25</v>
      </c>
      <c r="I25" s="3" t="s">
        <v>209</v>
      </c>
      <c r="J25" s="66">
        <v>7.2723026623073332</v>
      </c>
      <c r="K25" s="66">
        <v>5.7169546940681926</v>
      </c>
      <c r="L25" s="66">
        <v>4.638019617001401</v>
      </c>
      <c r="M25" s="66">
        <v>19.266697804764128</v>
      </c>
      <c r="N25" s="22" t="s">
        <v>231</v>
      </c>
    </row>
    <row r="26" spans="1:14" x14ac:dyDescent="0.2">
      <c r="A26" s="3" t="s">
        <v>48</v>
      </c>
      <c r="B26" s="3" t="s">
        <v>44</v>
      </c>
      <c r="C26" s="2" t="s">
        <v>144</v>
      </c>
      <c r="D26" s="20">
        <v>33</v>
      </c>
      <c r="E26" s="66">
        <v>7.46</v>
      </c>
      <c r="F26" s="66">
        <v>6.73</v>
      </c>
      <c r="G26" s="66">
        <v>2.77</v>
      </c>
      <c r="H26" s="66">
        <v>14.19</v>
      </c>
      <c r="I26" s="3" t="s">
        <v>209</v>
      </c>
      <c r="J26" s="66">
        <v>3.3573357335733576</v>
      </c>
      <c r="K26" s="66">
        <v>3.0288028802880289</v>
      </c>
      <c r="L26" s="66">
        <v>1.2466246624662467</v>
      </c>
      <c r="M26" s="66">
        <v>6.3861386138613856</v>
      </c>
      <c r="N26" s="22" t="s">
        <v>231</v>
      </c>
    </row>
    <row r="27" spans="1:14" x14ac:dyDescent="0.2">
      <c r="A27" s="3" t="s">
        <v>48</v>
      </c>
      <c r="B27" s="3" t="s">
        <v>45</v>
      </c>
      <c r="C27" s="2" t="s">
        <v>144</v>
      </c>
      <c r="D27" s="20">
        <v>75</v>
      </c>
      <c r="E27" s="66">
        <v>17.36</v>
      </c>
      <c r="F27" s="66">
        <v>13.44</v>
      </c>
      <c r="G27" s="66">
        <v>7.76</v>
      </c>
      <c r="H27" s="66">
        <v>31.11</v>
      </c>
      <c r="I27" s="3" t="s">
        <v>209</v>
      </c>
      <c r="J27" s="66">
        <v>10.72929542645241</v>
      </c>
      <c r="K27" s="66">
        <v>8.3065512978986398</v>
      </c>
      <c r="L27" s="66">
        <v>4.7960444993819529</v>
      </c>
      <c r="M27" s="66">
        <v>19.227441285537701</v>
      </c>
      <c r="N27" s="22" t="s">
        <v>231</v>
      </c>
    </row>
    <row r="28" spans="1:14" x14ac:dyDescent="0.2">
      <c r="A28" s="3" t="s">
        <v>48</v>
      </c>
      <c r="B28" s="3" t="s">
        <v>46</v>
      </c>
      <c r="C28" s="2" t="s">
        <v>144</v>
      </c>
      <c r="D28" s="20">
        <v>46</v>
      </c>
      <c r="E28" s="66">
        <v>12.22</v>
      </c>
      <c r="F28" s="66">
        <v>11.01</v>
      </c>
      <c r="G28" s="66">
        <v>6.65</v>
      </c>
      <c r="H28" s="66">
        <v>16.02</v>
      </c>
      <c r="I28" s="3" t="s">
        <v>209</v>
      </c>
      <c r="J28" s="66">
        <v>7.0554272517321017</v>
      </c>
      <c r="K28" s="66">
        <v>6.3568129330254042</v>
      </c>
      <c r="L28" s="66">
        <v>3.8394919168591226</v>
      </c>
      <c r="M28" s="66">
        <v>9.2494226327944578</v>
      </c>
      <c r="N28" s="22" t="s">
        <v>231</v>
      </c>
    </row>
    <row r="29" spans="1:14" x14ac:dyDescent="0.2">
      <c r="A29" s="3" t="s">
        <v>48</v>
      </c>
      <c r="B29" s="3" t="s">
        <v>47</v>
      </c>
      <c r="C29" s="2" t="s">
        <v>144</v>
      </c>
      <c r="D29" s="20">
        <v>47</v>
      </c>
      <c r="E29" s="66">
        <v>3.52</v>
      </c>
      <c r="F29" s="66">
        <v>3.41</v>
      </c>
      <c r="G29" s="66">
        <v>1.77</v>
      </c>
      <c r="H29" s="66">
        <v>4.9400000000000004</v>
      </c>
      <c r="I29" s="3" t="s">
        <v>209</v>
      </c>
      <c r="J29" s="66">
        <v>2.1999999999999997</v>
      </c>
      <c r="K29" s="66">
        <v>2.1312500000000001</v>
      </c>
      <c r="L29" s="66">
        <v>1.10625</v>
      </c>
      <c r="M29" s="66">
        <v>3.0874999999999999</v>
      </c>
      <c r="N29" s="22" t="s">
        <v>231</v>
      </c>
    </row>
    <row r="32" spans="1:14" x14ac:dyDescent="0.2">
      <c r="J32" s="1"/>
      <c r="K32" s="1"/>
      <c r="L32" s="1"/>
      <c r="M32" s="1"/>
    </row>
    <row r="33" spans="10:13" x14ac:dyDescent="0.2">
      <c r="J33" s="1"/>
      <c r="K33" s="1"/>
      <c r="L33" s="1"/>
      <c r="M33" s="1"/>
    </row>
    <row r="34" spans="10:13" x14ac:dyDescent="0.2">
      <c r="J34" s="1"/>
      <c r="K34" s="1"/>
      <c r="L34" s="1"/>
      <c r="M34" s="1"/>
    </row>
    <row r="35" spans="10:13" x14ac:dyDescent="0.2">
      <c r="J35" s="1"/>
      <c r="K35" s="1"/>
      <c r="L35" s="1"/>
      <c r="M35" s="1"/>
    </row>
    <row r="36" spans="10:13" x14ac:dyDescent="0.2">
      <c r="J36" s="1"/>
      <c r="K36" s="1"/>
      <c r="L36" s="1"/>
      <c r="M36" s="1"/>
    </row>
    <row r="37" spans="10:13" x14ac:dyDescent="0.2">
      <c r="J37" s="1"/>
      <c r="K37" s="1"/>
      <c r="L37" s="1"/>
      <c r="M37" s="1"/>
    </row>
    <row r="38" spans="10:13" x14ac:dyDescent="0.2">
      <c r="J38" s="1"/>
      <c r="K38" s="1"/>
      <c r="L38" s="1"/>
      <c r="M38" s="1"/>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39809-EF97-4E4A-B1B7-76C8DB69689D}">
  <sheetPr>
    <tabColor theme="9"/>
  </sheetPr>
  <dimension ref="A1:P54"/>
  <sheetViews>
    <sheetView zoomScaleNormal="100" workbookViewId="0">
      <selection activeCell="C43" sqref="C43"/>
    </sheetView>
  </sheetViews>
  <sheetFormatPr defaultRowHeight="12.75" x14ac:dyDescent="0.2"/>
  <cols>
    <col min="1" max="1" width="18.375" style="1" bestFit="1" customWidth="1"/>
    <col min="2" max="2" width="19.125" style="1" bestFit="1" customWidth="1"/>
    <col min="3" max="3" width="22.375" style="1" bestFit="1" customWidth="1"/>
    <col min="4" max="4" width="15.75" style="1" bestFit="1" customWidth="1"/>
    <col min="5" max="5" width="15.5" style="1" bestFit="1" customWidth="1"/>
    <col min="6" max="6" width="19.5" style="1" bestFit="1" customWidth="1"/>
    <col min="7" max="7" width="14.75" style="1" bestFit="1" customWidth="1"/>
    <col min="8" max="8" width="17.75" style="1" bestFit="1" customWidth="1"/>
    <col min="9" max="9" width="16.625" style="1" bestFit="1" customWidth="1"/>
    <col min="10" max="10" width="17" style="1" bestFit="1" customWidth="1"/>
    <col min="11" max="11" width="27.625" style="1" bestFit="1" customWidth="1"/>
    <col min="12" max="12" width="22.75" style="1" bestFit="1" customWidth="1"/>
    <col min="13" max="13" width="25.75" style="1" bestFit="1" customWidth="1"/>
    <col min="14" max="14" width="24.625" style="1" bestFit="1" customWidth="1"/>
    <col min="15" max="15" width="25" style="1" bestFit="1" customWidth="1"/>
    <col min="16" max="16" width="81" style="1" bestFit="1" customWidth="1"/>
    <col min="17" max="17" width="16.625" style="1" bestFit="1" customWidth="1"/>
    <col min="18" max="18" width="22.75" style="1" bestFit="1" customWidth="1"/>
    <col min="19" max="19" width="25.75" style="1" bestFit="1" customWidth="1"/>
    <col min="20" max="20" width="21.875" style="1" bestFit="1" customWidth="1"/>
    <col min="21" max="22" width="22.25" style="1" customWidth="1"/>
    <col min="23" max="16384" width="9" style="1"/>
  </cols>
  <sheetData>
    <row r="1" spans="1:16" x14ac:dyDescent="0.2">
      <c r="A1" s="1" t="s">
        <v>104</v>
      </c>
      <c r="B1" s="1" t="s">
        <v>180</v>
      </c>
      <c r="C1" s="1" t="s">
        <v>103</v>
      </c>
      <c r="D1" s="1" t="s">
        <v>163</v>
      </c>
      <c r="E1" s="1" t="s">
        <v>161</v>
      </c>
      <c r="F1" s="1" t="s">
        <v>198</v>
      </c>
      <c r="G1" s="1" t="s">
        <v>157</v>
      </c>
      <c r="H1" s="1" t="s">
        <v>158</v>
      </c>
      <c r="I1" s="1" t="s">
        <v>206</v>
      </c>
      <c r="J1" s="1" t="s">
        <v>207</v>
      </c>
      <c r="K1" s="1" t="s">
        <v>125</v>
      </c>
      <c r="L1" s="1" t="s">
        <v>159</v>
      </c>
      <c r="M1" s="1" t="s">
        <v>160</v>
      </c>
      <c r="N1" s="1" t="s">
        <v>204</v>
      </c>
      <c r="O1" s="1" t="s">
        <v>205</v>
      </c>
      <c r="P1" s="1" t="s">
        <v>199</v>
      </c>
    </row>
    <row r="2" spans="1:16" x14ac:dyDescent="0.2">
      <c r="A2" s="1" t="s">
        <v>48</v>
      </c>
      <c r="B2" s="2" t="s">
        <v>182</v>
      </c>
      <c r="C2" s="2" t="s">
        <v>42</v>
      </c>
      <c r="D2" s="2" t="s">
        <v>130</v>
      </c>
      <c r="F2" s="1">
        <v>21</v>
      </c>
      <c r="G2" s="65">
        <v>18.029770000000003</v>
      </c>
      <c r="H2" s="65">
        <v>9.8704100000000015</v>
      </c>
      <c r="I2" s="66">
        <v>5.3948399999999994</v>
      </c>
      <c r="J2" s="66">
        <v>34.972520000000003</v>
      </c>
      <c r="K2" s="2" t="s">
        <v>209</v>
      </c>
      <c r="L2" s="65">
        <v>12.207020988490184</v>
      </c>
      <c r="M2" s="65">
        <v>6.6827420446851731</v>
      </c>
      <c r="N2" s="66">
        <v>3.6525660121868646</v>
      </c>
      <c r="O2" s="66">
        <v>23.678077183480028</v>
      </c>
      <c r="P2" s="1" t="s">
        <v>200</v>
      </c>
    </row>
    <row r="3" spans="1:16" x14ac:dyDescent="0.2">
      <c r="A3" s="1" t="s">
        <v>48</v>
      </c>
      <c r="B3" s="2" t="s">
        <v>182</v>
      </c>
      <c r="C3" s="2" t="s">
        <v>52</v>
      </c>
      <c r="D3" s="2" t="s">
        <v>130</v>
      </c>
      <c r="F3" s="1">
        <v>54</v>
      </c>
      <c r="G3" s="65">
        <v>11.258380000000001</v>
      </c>
      <c r="H3" s="65">
        <v>6.5171399999999995</v>
      </c>
      <c r="I3" s="66">
        <v>4.6669</v>
      </c>
      <c r="J3" s="66">
        <v>21.897259999999999</v>
      </c>
      <c r="K3" s="2" t="s">
        <v>209</v>
      </c>
      <c r="L3" s="65">
        <v>4.9368033326024996</v>
      </c>
      <c r="M3" s="65">
        <v>2.8577680333260247</v>
      </c>
      <c r="N3" s="66">
        <v>2.0464371848278886</v>
      </c>
      <c r="O3" s="66">
        <v>9.6019557114667844</v>
      </c>
      <c r="P3" s="1" t="s">
        <v>200</v>
      </c>
    </row>
    <row r="4" spans="1:16" x14ac:dyDescent="0.2">
      <c r="A4" s="1" t="s">
        <v>162</v>
      </c>
      <c r="B4" s="2" t="s">
        <v>182</v>
      </c>
      <c r="C4" s="2" t="s">
        <v>51</v>
      </c>
      <c r="D4" s="2" t="s">
        <v>130</v>
      </c>
      <c r="E4" s="1">
        <v>2</v>
      </c>
      <c r="G4" s="65">
        <v>2.8572150000000001</v>
      </c>
      <c r="H4" s="65">
        <v>2.8572150000000001</v>
      </c>
      <c r="I4" s="66">
        <v>2.5144299999999999</v>
      </c>
      <c r="J4" s="66">
        <v>3.7</v>
      </c>
      <c r="K4" s="2" t="s">
        <v>208</v>
      </c>
      <c r="L4" s="65">
        <v>1.1886785298657854</v>
      </c>
      <c r="M4" s="65">
        <v>1.1886785298657854</v>
      </c>
      <c r="N4" s="66">
        <v>0.92465753424657537</v>
      </c>
      <c r="O4" s="66">
        <v>1.3962264150943395</v>
      </c>
    </row>
    <row r="5" spans="1:16" x14ac:dyDescent="0.2">
      <c r="A5" s="1" t="s">
        <v>234</v>
      </c>
      <c r="B5" s="2" t="s">
        <v>182</v>
      </c>
      <c r="C5" s="2" t="s">
        <v>42</v>
      </c>
      <c r="D5" s="2" t="s">
        <v>201</v>
      </c>
      <c r="F5" s="1">
        <v>45</v>
      </c>
      <c r="G5" s="65">
        <v>8628.3074232505132</v>
      </c>
      <c r="H5" s="65">
        <v>9258.5669938526298</v>
      </c>
      <c r="I5" s="66">
        <v>7166.3737791532903</v>
      </c>
      <c r="J5" s="66">
        <v>14516.57568544746</v>
      </c>
      <c r="K5" s="2" t="s">
        <v>236</v>
      </c>
      <c r="L5" s="65">
        <v>4799.1684311630606</v>
      </c>
      <c r="M5" s="65">
        <v>5150.214538691429</v>
      </c>
      <c r="N5" s="66">
        <v>3985.8450504596663</v>
      </c>
      <c r="O5" s="66">
        <v>8076.8565802668063</v>
      </c>
    </row>
    <row r="6" spans="1:16" x14ac:dyDescent="0.2">
      <c r="A6" s="1" t="s">
        <v>234</v>
      </c>
      <c r="B6" s="2" t="s">
        <v>182</v>
      </c>
      <c r="C6" s="2" t="s">
        <v>255</v>
      </c>
      <c r="D6" s="2" t="s">
        <v>201</v>
      </c>
      <c r="F6" s="1">
        <v>9</v>
      </c>
      <c r="G6" s="65">
        <v>255.555555555555</v>
      </c>
      <c r="H6" s="65">
        <v>284</v>
      </c>
      <c r="I6" s="66">
        <v>246</v>
      </c>
      <c r="J6" s="66">
        <v>288</v>
      </c>
      <c r="K6" s="2" t="s">
        <v>236</v>
      </c>
      <c r="L6" s="65">
        <v>114.390663917407</v>
      </c>
      <c r="M6" s="65">
        <v>128.90860962686099</v>
      </c>
      <c r="N6" s="66">
        <v>110.10943738961001</v>
      </c>
      <c r="O6" s="66">
        <v>131.73628141794299</v>
      </c>
    </row>
    <row r="7" spans="1:16" x14ac:dyDescent="0.2">
      <c r="A7" s="1" t="s">
        <v>234</v>
      </c>
      <c r="B7" s="2" t="s">
        <v>182</v>
      </c>
      <c r="C7" s="2" t="s">
        <v>239</v>
      </c>
      <c r="D7" s="2" t="s">
        <v>201</v>
      </c>
      <c r="F7" s="1">
        <v>60</v>
      </c>
      <c r="G7" s="65">
        <v>5747.6378069644597</v>
      </c>
      <c r="H7" s="65">
        <v>10705</v>
      </c>
      <c r="I7" s="66">
        <v>5428</v>
      </c>
      <c r="J7" s="66">
        <v>10810.5</v>
      </c>
      <c r="K7" s="2" t="s">
        <v>236</v>
      </c>
      <c r="L7" s="65">
        <v>2663.8313486009101</v>
      </c>
      <c r="M7" s="65">
        <v>4961.5412713941078</v>
      </c>
      <c r="N7" s="66">
        <v>2515.7826576544276</v>
      </c>
      <c r="O7" s="66">
        <v>5010.4785167799992</v>
      </c>
    </row>
    <row r="8" spans="1:16" x14ac:dyDescent="0.2">
      <c r="A8" s="1" t="s">
        <v>48</v>
      </c>
      <c r="B8" s="2" t="s">
        <v>182</v>
      </c>
      <c r="C8" s="2" t="s">
        <v>42</v>
      </c>
      <c r="D8" s="2" t="s">
        <v>144</v>
      </c>
      <c r="F8" s="1">
        <v>21</v>
      </c>
      <c r="G8" s="65">
        <v>2.97</v>
      </c>
      <c r="H8" s="65">
        <v>0.82</v>
      </c>
      <c r="I8" s="66">
        <v>0.61</v>
      </c>
      <c r="J8" s="66">
        <v>5.19</v>
      </c>
      <c r="K8" s="2" t="s">
        <v>209</v>
      </c>
      <c r="L8" s="65">
        <v>2.0108327691266079</v>
      </c>
      <c r="M8" s="65">
        <v>0.55517941773865942</v>
      </c>
      <c r="N8" s="66">
        <v>0.41299932295192954</v>
      </c>
      <c r="O8" s="66">
        <v>3.5138794854434665</v>
      </c>
      <c r="P8" s="1" t="s">
        <v>231</v>
      </c>
    </row>
    <row r="9" spans="1:16" x14ac:dyDescent="0.2">
      <c r="A9" s="1" t="s">
        <v>48</v>
      </c>
      <c r="B9" s="2" t="s">
        <v>182</v>
      </c>
      <c r="C9" s="2" t="s">
        <v>52</v>
      </c>
      <c r="D9" s="2" t="s">
        <v>144</v>
      </c>
      <c r="F9" s="1">
        <v>54</v>
      </c>
      <c r="G9" s="65">
        <v>8.41</v>
      </c>
      <c r="H9" s="65">
        <v>5.6</v>
      </c>
      <c r="I9" s="66">
        <v>0.82</v>
      </c>
      <c r="J9" s="66">
        <v>10.5</v>
      </c>
      <c r="K9" s="2" t="s">
        <v>209</v>
      </c>
      <c r="L9" s="65">
        <v>3.6877877658408247</v>
      </c>
      <c r="M9" s="65">
        <v>2.4556018417013812</v>
      </c>
      <c r="N9" s="66">
        <v>0.35957026967770223</v>
      </c>
      <c r="O9" s="66">
        <v>4.6042534531900898</v>
      </c>
      <c r="P9" s="1" t="s">
        <v>231</v>
      </c>
    </row>
    <row r="10" spans="1:16" x14ac:dyDescent="0.2">
      <c r="A10" s="1" t="s">
        <v>162</v>
      </c>
      <c r="B10" s="2" t="s">
        <v>183</v>
      </c>
      <c r="C10" s="2" t="s">
        <v>53</v>
      </c>
      <c r="D10" s="2" t="s">
        <v>130</v>
      </c>
      <c r="E10" s="1">
        <v>4</v>
      </c>
      <c r="G10" s="65">
        <v>9.291125000000001</v>
      </c>
      <c r="H10" s="65">
        <v>5.4435833333333328</v>
      </c>
      <c r="I10" s="66">
        <v>1.6919999999999999</v>
      </c>
      <c r="J10" s="66">
        <v>25.4</v>
      </c>
      <c r="K10" s="2" t="s">
        <v>208</v>
      </c>
      <c r="L10" s="65">
        <v>5.7220279063042216</v>
      </c>
      <c r="M10" s="65">
        <v>5.5586673414304988</v>
      </c>
      <c r="N10" s="66">
        <v>0.89052631578947361</v>
      </c>
      <c r="O10" s="66">
        <v>36.285714285714285</v>
      </c>
    </row>
    <row r="11" spans="1:16" x14ac:dyDescent="0.2">
      <c r="A11" s="1" t="s">
        <v>162</v>
      </c>
      <c r="B11" s="2" t="s">
        <v>183</v>
      </c>
      <c r="C11" s="2" t="s">
        <v>54</v>
      </c>
      <c r="D11" s="2" t="s">
        <v>130</v>
      </c>
      <c r="E11" s="1">
        <v>11</v>
      </c>
      <c r="G11" s="65">
        <v>3.3605620684169413</v>
      </c>
      <c r="H11" s="65">
        <v>2.4</v>
      </c>
      <c r="I11" s="66">
        <v>0.89999999999999991</v>
      </c>
      <c r="J11" s="66">
        <v>6.9366504999999998</v>
      </c>
      <c r="K11" s="2" t="s">
        <v>208</v>
      </c>
      <c r="L11" s="65">
        <v>2.1608500994317996</v>
      </c>
      <c r="M11" s="65">
        <v>1.8981386418744182</v>
      </c>
      <c r="N11" s="66">
        <v>0.25</v>
      </c>
      <c r="O11" s="66">
        <v>6.15</v>
      </c>
    </row>
    <row r="12" spans="1:16" x14ac:dyDescent="0.2">
      <c r="A12" s="1" t="s">
        <v>162</v>
      </c>
      <c r="B12" s="2" t="s">
        <v>183</v>
      </c>
      <c r="C12" s="2" t="s">
        <v>53</v>
      </c>
      <c r="D12" s="2" t="s">
        <v>201</v>
      </c>
      <c r="E12" s="1">
        <v>2</v>
      </c>
      <c r="G12" s="65">
        <v>397.48333333333335</v>
      </c>
      <c r="H12" s="65">
        <v>397.48333333333335</v>
      </c>
      <c r="I12" s="66">
        <v>106.27659574468086</v>
      </c>
      <c r="J12" s="66">
        <v>773.2</v>
      </c>
      <c r="K12" s="2" t="s">
        <v>208</v>
      </c>
      <c r="L12" s="65">
        <v>209.20175438596493</v>
      </c>
      <c r="M12" s="65">
        <v>209.20175438596493</v>
      </c>
      <c r="N12" s="66">
        <v>55.935050391937288</v>
      </c>
      <c r="O12" s="66">
        <v>406.94736842105266</v>
      </c>
    </row>
    <row r="13" spans="1:16" x14ac:dyDescent="0.2">
      <c r="A13" s="1" t="s">
        <v>162</v>
      </c>
      <c r="B13" s="2" t="s">
        <v>183</v>
      </c>
      <c r="C13" s="2" t="s">
        <v>54</v>
      </c>
      <c r="D13" s="2" t="s">
        <v>201</v>
      </c>
      <c r="E13" s="1">
        <v>4</v>
      </c>
      <c r="G13" s="65">
        <v>84.317815738960704</v>
      </c>
      <c r="H13" s="65">
        <v>71.580833333333331</v>
      </c>
      <c r="I13" s="66">
        <v>13.387184959170355</v>
      </c>
      <c r="J13" s="66">
        <v>202.88129563752108</v>
      </c>
      <c r="K13" s="2" t="s">
        <v>208</v>
      </c>
      <c r="L13" s="65">
        <v>40.646586585335328</v>
      </c>
      <c r="M13" s="65">
        <v>37.680498166332349</v>
      </c>
      <c r="N13" s="66">
        <v>6.4806201550387597</v>
      </c>
      <c r="O13" s="66">
        <v>121.08593216862938</v>
      </c>
    </row>
    <row r="14" spans="1:16" x14ac:dyDescent="0.2">
      <c r="A14" s="1" t="s">
        <v>162</v>
      </c>
      <c r="B14" s="2" t="s">
        <v>183</v>
      </c>
      <c r="C14" s="2" t="s">
        <v>53</v>
      </c>
      <c r="D14" s="2" t="s">
        <v>144</v>
      </c>
      <c r="E14" s="1">
        <v>4</v>
      </c>
      <c r="G14" s="65">
        <v>2.0638333333333332</v>
      </c>
      <c r="H14" s="65">
        <v>1.27</v>
      </c>
      <c r="I14" s="66">
        <v>0.189</v>
      </c>
      <c r="J14" s="66">
        <v>8.0299999999999994</v>
      </c>
      <c r="K14" s="2" t="s">
        <v>208</v>
      </c>
      <c r="L14" s="65">
        <v>2.3062830152303837</v>
      </c>
      <c r="M14" s="65">
        <v>0.62732793522267194</v>
      </c>
      <c r="N14" s="66">
        <v>9.9473684210526311E-2</v>
      </c>
      <c r="O14" s="66">
        <v>11.47142857142857</v>
      </c>
    </row>
    <row r="15" spans="1:16" x14ac:dyDescent="0.2">
      <c r="A15" s="1" t="s">
        <v>162</v>
      </c>
      <c r="B15" s="2" t="s">
        <v>183</v>
      </c>
      <c r="C15" s="2" t="s">
        <v>54</v>
      </c>
      <c r="D15" s="2" t="s">
        <v>144</v>
      </c>
      <c r="E15" s="1">
        <v>9</v>
      </c>
      <c r="G15" s="65">
        <v>2.3571678676154062</v>
      </c>
      <c r="H15" s="65">
        <v>2.4700000000000002</v>
      </c>
      <c r="I15" s="66">
        <v>0.41</v>
      </c>
      <c r="J15" s="66">
        <v>5</v>
      </c>
      <c r="K15" s="2" t="s">
        <v>208</v>
      </c>
      <c r="L15" s="65">
        <v>1.2708159550132818</v>
      </c>
      <c r="M15" s="65">
        <v>1.4543661990730536</v>
      </c>
      <c r="N15" s="66">
        <v>0.27027027027027029</v>
      </c>
      <c r="O15" s="66">
        <v>2.1817769461926635</v>
      </c>
    </row>
    <row r="16" spans="1:16" x14ac:dyDescent="0.2">
      <c r="A16" s="1" t="s">
        <v>48</v>
      </c>
      <c r="B16" s="2" t="s">
        <v>184</v>
      </c>
      <c r="C16" s="2" t="s">
        <v>240</v>
      </c>
      <c r="D16" s="2" t="s">
        <v>130</v>
      </c>
      <c r="F16" s="1">
        <v>44</v>
      </c>
      <c r="G16" s="65">
        <v>1.1473900000000001</v>
      </c>
      <c r="H16" s="65">
        <v>0.89098999999999995</v>
      </c>
      <c r="I16" s="66">
        <v>0.62817999999999996</v>
      </c>
      <c r="J16" s="66">
        <v>2.4037500000000001</v>
      </c>
      <c r="K16" s="2" t="s">
        <v>209</v>
      </c>
      <c r="L16" s="65">
        <v>0.53591312470808039</v>
      </c>
      <c r="M16" s="65">
        <v>0.41615600186828583</v>
      </c>
      <c r="N16" s="66">
        <v>0.29340495095749652</v>
      </c>
      <c r="O16" s="66">
        <v>1.1227230266230734</v>
      </c>
      <c r="P16" s="1" t="s">
        <v>200</v>
      </c>
    </row>
    <row r="17" spans="1:16" x14ac:dyDescent="0.2">
      <c r="A17" s="1" t="s">
        <v>48</v>
      </c>
      <c r="B17" s="2" t="s">
        <v>184</v>
      </c>
      <c r="C17" s="2" t="s">
        <v>44</v>
      </c>
      <c r="D17" s="2" t="s">
        <v>130</v>
      </c>
      <c r="F17" s="1">
        <v>33</v>
      </c>
      <c r="G17" s="65">
        <v>0.73499999999999999</v>
      </c>
      <c r="H17" s="65">
        <v>0.60000000000000009</v>
      </c>
      <c r="I17" s="66">
        <v>0.42000000000000004</v>
      </c>
      <c r="J17" s="66">
        <v>1.2524999999999999</v>
      </c>
      <c r="K17" s="2" t="s">
        <v>209</v>
      </c>
      <c r="L17" s="65">
        <v>0.33078307830783082</v>
      </c>
      <c r="M17" s="65">
        <v>0.27002700270027002</v>
      </c>
      <c r="N17" s="66">
        <v>0.18901890189018905</v>
      </c>
      <c r="O17" s="66">
        <v>0.56368136813681369</v>
      </c>
      <c r="P17" s="1" t="s">
        <v>200</v>
      </c>
    </row>
    <row r="18" spans="1:16" x14ac:dyDescent="0.2">
      <c r="A18" s="1" t="s">
        <v>48</v>
      </c>
      <c r="B18" s="2" t="s">
        <v>184</v>
      </c>
      <c r="C18" s="2" t="s">
        <v>47</v>
      </c>
      <c r="D18" s="2" t="s">
        <v>130</v>
      </c>
      <c r="F18" s="1">
        <v>47</v>
      </c>
      <c r="G18" s="65">
        <v>2.28152</v>
      </c>
      <c r="H18" s="65">
        <v>1.86276</v>
      </c>
      <c r="I18" s="66">
        <v>1.1552</v>
      </c>
      <c r="J18" s="66">
        <v>4.0070999999999994</v>
      </c>
      <c r="K18" s="2" t="s">
        <v>209</v>
      </c>
      <c r="L18" s="65">
        <v>1.4259500000000001</v>
      </c>
      <c r="M18" s="65">
        <v>1.1642250000000001</v>
      </c>
      <c r="N18" s="66">
        <v>0.72199999999999998</v>
      </c>
      <c r="O18" s="66">
        <v>2.5044374999999994</v>
      </c>
      <c r="P18" s="1" t="s">
        <v>200</v>
      </c>
    </row>
    <row r="19" spans="1:16" x14ac:dyDescent="0.2">
      <c r="A19" s="1" t="s">
        <v>234</v>
      </c>
      <c r="B19" s="2" t="s">
        <v>184</v>
      </c>
      <c r="C19" s="2" t="s">
        <v>237</v>
      </c>
      <c r="D19" s="2" t="s">
        <v>201</v>
      </c>
      <c r="F19" s="1">
        <v>134</v>
      </c>
      <c r="G19" s="65">
        <v>139.57776995389199</v>
      </c>
      <c r="H19" s="65">
        <v>103.43694005168901</v>
      </c>
      <c r="I19" s="66">
        <v>18.196892757908099</v>
      </c>
      <c r="J19" s="66">
        <v>203.14877887303601</v>
      </c>
      <c r="K19" s="2" t="s">
        <v>236</v>
      </c>
      <c r="L19" s="65">
        <v>65.053146305884397</v>
      </c>
      <c r="M19" s="65">
        <v>47.767626741289597</v>
      </c>
      <c r="N19" s="66">
        <v>8.5693912174855402</v>
      </c>
      <c r="O19" s="66">
        <v>93.814985606754803</v>
      </c>
    </row>
    <row r="20" spans="1:16" x14ac:dyDescent="0.2">
      <c r="A20" s="1" t="s">
        <v>234</v>
      </c>
      <c r="B20" s="2" t="s">
        <v>184</v>
      </c>
      <c r="C20" s="2" t="s">
        <v>238</v>
      </c>
      <c r="D20" s="2" t="s">
        <v>201</v>
      </c>
      <c r="F20" s="1">
        <v>32</v>
      </c>
      <c r="G20" s="65">
        <v>58.361306249093602</v>
      </c>
      <c r="H20" s="65">
        <v>212.50313359626901</v>
      </c>
      <c r="I20" s="66">
        <v>50.720686557614499</v>
      </c>
      <c r="J20" s="66">
        <v>314.56016378043</v>
      </c>
      <c r="K20" s="2" t="s">
        <v>236</v>
      </c>
      <c r="L20" s="65">
        <v>17.813374789620301</v>
      </c>
      <c r="M20" s="65">
        <v>64.861433131097996</v>
      </c>
      <c r="N20" s="66">
        <v>15.481260741172601</v>
      </c>
      <c r="O20" s="66">
        <v>96.01186901796251</v>
      </c>
    </row>
    <row r="21" spans="1:16" x14ac:dyDescent="0.2">
      <c r="A21" s="1" t="s">
        <v>48</v>
      </c>
      <c r="B21" s="2" t="s">
        <v>184</v>
      </c>
      <c r="C21" s="2" t="s">
        <v>240</v>
      </c>
      <c r="D21" s="2" t="s">
        <v>144</v>
      </c>
      <c r="F21" s="1">
        <v>44</v>
      </c>
      <c r="G21" s="65">
        <v>15.57</v>
      </c>
      <c r="H21" s="65">
        <v>12.24</v>
      </c>
      <c r="I21" s="66">
        <v>9.93</v>
      </c>
      <c r="J21" s="66">
        <v>41.25</v>
      </c>
      <c r="K21" s="2" t="s">
        <v>209</v>
      </c>
      <c r="L21" s="65">
        <v>7.2723026623073332</v>
      </c>
      <c r="M21" s="65">
        <v>5.7169546940681926</v>
      </c>
      <c r="N21" s="66">
        <v>4.638019617001401</v>
      </c>
      <c r="O21" s="66">
        <v>19.266697804764128</v>
      </c>
      <c r="P21" s="1" t="s">
        <v>231</v>
      </c>
    </row>
    <row r="22" spans="1:16" x14ac:dyDescent="0.2">
      <c r="A22" s="1" t="s">
        <v>48</v>
      </c>
      <c r="B22" s="2" t="s">
        <v>184</v>
      </c>
      <c r="C22" s="2" t="s">
        <v>44</v>
      </c>
      <c r="D22" s="2" t="s">
        <v>144</v>
      </c>
      <c r="F22" s="1">
        <v>33</v>
      </c>
      <c r="G22" s="65">
        <v>7.46</v>
      </c>
      <c r="H22" s="65">
        <v>6.73</v>
      </c>
      <c r="I22" s="66">
        <v>2.77</v>
      </c>
      <c r="J22" s="66">
        <v>14.19</v>
      </c>
      <c r="K22" s="2" t="s">
        <v>209</v>
      </c>
      <c r="L22" s="65">
        <v>3.3573357335733576</v>
      </c>
      <c r="M22" s="65">
        <v>3.0288028802880289</v>
      </c>
      <c r="N22" s="66">
        <v>1.2466246624662467</v>
      </c>
      <c r="O22" s="66">
        <v>6.3861386138613856</v>
      </c>
      <c r="P22" s="1" t="s">
        <v>231</v>
      </c>
    </row>
    <row r="23" spans="1:16" x14ac:dyDescent="0.2">
      <c r="A23" s="1" t="s">
        <v>48</v>
      </c>
      <c r="B23" s="2" t="s">
        <v>184</v>
      </c>
      <c r="C23" s="2" t="s">
        <v>47</v>
      </c>
      <c r="D23" s="2" t="s">
        <v>144</v>
      </c>
      <c r="F23" s="1">
        <v>47</v>
      </c>
      <c r="G23" s="65">
        <v>3.52</v>
      </c>
      <c r="H23" s="65">
        <v>3.41</v>
      </c>
      <c r="I23" s="66">
        <v>1.77</v>
      </c>
      <c r="J23" s="66">
        <v>4.9400000000000004</v>
      </c>
      <c r="K23" s="2" t="s">
        <v>209</v>
      </c>
      <c r="L23" s="65">
        <v>2.1999999999999997</v>
      </c>
      <c r="M23" s="65">
        <v>2.1312500000000001</v>
      </c>
      <c r="N23" s="66">
        <v>1.10625</v>
      </c>
      <c r="O23" s="66">
        <v>3.0874999999999999</v>
      </c>
      <c r="P23" s="1" t="s">
        <v>231</v>
      </c>
    </row>
    <row r="24" spans="1:16" x14ac:dyDescent="0.2">
      <c r="A24" s="1" t="s">
        <v>48</v>
      </c>
      <c r="B24" s="2" t="s">
        <v>181</v>
      </c>
      <c r="C24" s="2" t="s">
        <v>40</v>
      </c>
      <c r="D24" s="2" t="s">
        <v>130</v>
      </c>
      <c r="F24" s="1">
        <v>106</v>
      </c>
      <c r="G24" s="65">
        <v>84.160080000000008</v>
      </c>
      <c r="H24" s="65">
        <v>51.06456</v>
      </c>
      <c r="I24" s="66">
        <v>34.153019999999998</v>
      </c>
      <c r="J24" s="66">
        <v>177.53309999999999</v>
      </c>
      <c r="K24" s="2" t="s">
        <v>209</v>
      </c>
      <c r="L24" s="65">
        <v>42.206659979939815</v>
      </c>
      <c r="M24" s="65">
        <v>25.609107321965897</v>
      </c>
      <c r="N24" s="66">
        <v>17.127893681043126</v>
      </c>
      <c r="O24" s="66">
        <v>89.033650952858565</v>
      </c>
      <c r="P24" s="1" t="s">
        <v>200</v>
      </c>
    </row>
    <row r="25" spans="1:16" x14ac:dyDescent="0.2">
      <c r="A25" s="1" t="s">
        <v>48</v>
      </c>
      <c r="B25" s="2" t="s">
        <v>181</v>
      </c>
      <c r="C25" s="2" t="s">
        <v>41</v>
      </c>
      <c r="D25" s="2" t="s">
        <v>130</v>
      </c>
      <c r="F25" s="1">
        <v>43</v>
      </c>
      <c r="G25" s="65">
        <v>28.304999999999996</v>
      </c>
      <c r="H25" s="65">
        <v>29.018999999999998</v>
      </c>
      <c r="I25" s="66">
        <v>15.249000000000001</v>
      </c>
      <c r="J25" s="66">
        <v>43.265000000000001</v>
      </c>
      <c r="K25" s="2" t="s">
        <v>209</v>
      </c>
      <c r="L25" s="65">
        <v>14.338905775075984</v>
      </c>
      <c r="M25" s="65">
        <v>14.700607902735564</v>
      </c>
      <c r="N25" s="66">
        <v>7.7249240121580556</v>
      </c>
      <c r="O25" s="66">
        <v>21.917426545086119</v>
      </c>
      <c r="P25" s="1" t="s">
        <v>200</v>
      </c>
    </row>
    <row r="26" spans="1:16" x14ac:dyDescent="0.2">
      <c r="A26" s="1" t="s">
        <v>48</v>
      </c>
      <c r="B26" s="2" t="s">
        <v>181</v>
      </c>
      <c r="C26" s="2" t="s">
        <v>43</v>
      </c>
      <c r="D26" s="2" t="s">
        <v>130</v>
      </c>
      <c r="F26" s="1">
        <v>31</v>
      </c>
      <c r="G26" s="65">
        <v>4.2917300000000003</v>
      </c>
      <c r="H26" s="65">
        <v>3.8689900000000002</v>
      </c>
      <c r="I26" s="66">
        <v>2.6926700000000001</v>
      </c>
      <c r="J26" s="66">
        <v>7.7104100000000004</v>
      </c>
      <c r="K26" s="2" t="s">
        <v>209</v>
      </c>
      <c r="L26" s="65">
        <v>3.8678172314347514</v>
      </c>
      <c r="M26" s="65">
        <v>3.4868330930064895</v>
      </c>
      <c r="N26" s="66">
        <v>2.4267033165104546</v>
      </c>
      <c r="O26" s="66">
        <v>6.9488193943763532</v>
      </c>
      <c r="P26" s="1" t="s">
        <v>200</v>
      </c>
    </row>
    <row r="27" spans="1:16" x14ac:dyDescent="0.2">
      <c r="A27" s="1" t="s">
        <v>162</v>
      </c>
      <c r="B27" s="2" t="s">
        <v>181</v>
      </c>
      <c r="C27" s="2" t="s">
        <v>50</v>
      </c>
      <c r="D27" s="2" t="s">
        <v>130</v>
      </c>
      <c r="E27" s="1">
        <v>2</v>
      </c>
      <c r="G27" s="65">
        <v>2.61</v>
      </c>
      <c r="H27" s="65">
        <v>2.61</v>
      </c>
      <c r="I27" s="66">
        <v>2.57</v>
      </c>
      <c r="J27" s="66">
        <v>2.65</v>
      </c>
      <c r="K27" s="2" t="s">
        <v>208</v>
      </c>
      <c r="L27" s="65">
        <v>0.91749999999999998</v>
      </c>
      <c r="M27" s="65">
        <v>0.91749999999999998</v>
      </c>
      <c r="N27" s="66">
        <v>0.43499999999999994</v>
      </c>
      <c r="O27" s="66">
        <v>1.4</v>
      </c>
    </row>
    <row r="28" spans="1:16" x14ac:dyDescent="0.2">
      <c r="A28" s="1" t="s">
        <v>48</v>
      </c>
      <c r="B28" s="2" t="s">
        <v>181</v>
      </c>
      <c r="C28" s="2" t="s">
        <v>45</v>
      </c>
      <c r="D28" s="2" t="s">
        <v>130</v>
      </c>
      <c r="F28" s="1">
        <v>75</v>
      </c>
      <c r="G28" s="65">
        <v>9.5648700000000009</v>
      </c>
      <c r="H28" s="65">
        <v>8.2128899999999998</v>
      </c>
      <c r="I28" s="66">
        <v>5.7575700000000003</v>
      </c>
      <c r="J28" s="66">
        <v>17.296020000000002</v>
      </c>
      <c r="K28" s="2" t="s">
        <v>209</v>
      </c>
      <c r="L28" s="65">
        <v>5.9115389369592091</v>
      </c>
      <c r="M28" s="65">
        <v>5.0759517923362178</v>
      </c>
      <c r="N28" s="66">
        <v>3.5584487021013596</v>
      </c>
      <c r="O28" s="66">
        <v>10.689752781211373</v>
      </c>
      <c r="P28" s="1" t="s">
        <v>200</v>
      </c>
    </row>
    <row r="29" spans="1:16" x14ac:dyDescent="0.2">
      <c r="A29" s="1" t="s">
        <v>48</v>
      </c>
      <c r="B29" s="2" t="s">
        <v>181</v>
      </c>
      <c r="C29" s="2" t="s">
        <v>46</v>
      </c>
      <c r="D29" s="2" t="s">
        <v>130</v>
      </c>
      <c r="F29" s="1">
        <v>46</v>
      </c>
      <c r="G29" s="65">
        <v>7.6097699999999993</v>
      </c>
      <c r="H29" s="65">
        <v>5.7979199999999995</v>
      </c>
      <c r="I29" s="66">
        <v>3.2227799999999998</v>
      </c>
      <c r="J29" s="66">
        <v>15.51252</v>
      </c>
      <c r="K29" s="2" t="s">
        <v>209</v>
      </c>
      <c r="L29" s="65">
        <v>4.3936316397228632</v>
      </c>
      <c r="M29" s="65">
        <v>3.3475288683602771</v>
      </c>
      <c r="N29" s="66">
        <v>1.8607274826789839</v>
      </c>
      <c r="O29" s="66">
        <v>8.9564203233256361</v>
      </c>
      <c r="P29" s="1" t="s">
        <v>200</v>
      </c>
    </row>
    <row r="30" spans="1:16" x14ac:dyDescent="0.2">
      <c r="A30" s="1" t="s">
        <v>234</v>
      </c>
      <c r="B30" s="2" t="s">
        <v>181</v>
      </c>
      <c r="C30" s="2" t="s">
        <v>235</v>
      </c>
      <c r="D30" s="2" t="s">
        <v>201</v>
      </c>
      <c r="F30" s="1">
        <v>200</v>
      </c>
      <c r="G30" s="65">
        <v>537.43304782673101</v>
      </c>
      <c r="H30" s="65">
        <v>325.46324862494299</v>
      </c>
      <c r="I30" s="66">
        <v>245.32762672809801</v>
      </c>
      <c r="J30" s="66">
        <v>529.67476254026701</v>
      </c>
      <c r="K30" s="2" t="s">
        <v>236</v>
      </c>
      <c r="L30" s="65">
        <v>273.87808980437001</v>
      </c>
      <c r="M30" s="65">
        <v>165.85740902122902</v>
      </c>
      <c r="N30" s="66">
        <v>125.01996677769</v>
      </c>
      <c r="O30" s="66">
        <v>269.924435738981</v>
      </c>
    </row>
    <row r="31" spans="1:16" x14ac:dyDescent="0.2">
      <c r="A31" s="1" t="s">
        <v>162</v>
      </c>
      <c r="B31" s="2" t="s">
        <v>181</v>
      </c>
      <c r="C31" s="2" t="s">
        <v>50</v>
      </c>
      <c r="D31" s="2" t="s">
        <v>201</v>
      </c>
      <c r="E31" s="1">
        <v>2</v>
      </c>
      <c r="G31" s="65">
        <v>407.90246634615391</v>
      </c>
      <c r="H31" s="65">
        <v>407.90246634615391</v>
      </c>
      <c r="I31" s="66">
        <v>395.80493269230777</v>
      </c>
      <c r="J31" s="66">
        <v>420.21</v>
      </c>
      <c r="K31" s="2" t="s">
        <v>208</v>
      </c>
      <c r="L31" s="65">
        <v>141.89917545492145</v>
      </c>
      <c r="M31" s="65">
        <v>141.89917545492145</v>
      </c>
      <c r="N31" s="66">
        <v>71</v>
      </c>
      <c r="O31" s="66">
        <v>212.7983509098429</v>
      </c>
    </row>
    <row r="32" spans="1:16" x14ac:dyDescent="0.2">
      <c r="A32" s="1" t="s">
        <v>234</v>
      </c>
      <c r="B32" s="2" t="s">
        <v>181</v>
      </c>
      <c r="C32" s="2" t="s">
        <v>45</v>
      </c>
      <c r="D32" s="2" t="s">
        <v>201</v>
      </c>
      <c r="F32" s="1">
        <v>181</v>
      </c>
      <c r="G32" s="65">
        <v>442.58956843564198</v>
      </c>
      <c r="H32" s="65">
        <v>523.06663977656797</v>
      </c>
      <c r="I32" s="66">
        <v>388.287295416056</v>
      </c>
      <c r="J32" s="66">
        <v>847.02181993705506</v>
      </c>
      <c r="K32" s="2" t="s">
        <v>236</v>
      </c>
      <c r="L32" s="65">
        <v>300.16728831665705</v>
      </c>
      <c r="M32" s="65">
        <v>354.74739141636297</v>
      </c>
      <c r="N32" s="66">
        <v>263.33911340206902</v>
      </c>
      <c r="O32" s="66">
        <v>574.45602193969603</v>
      </c>
    </row>
    <row r="33" spans="1:16" x14ac:dyDescent="0.2">
      <c r="A33" s="1" t="s">
        <v>234</v>
      </c>
      <c r="B33" s="2" t="s">
        <v>181</v>
      </c>
      <c r="C33" s="2" t="s">
        <v>46</v>
      </c>
      <c r="D33" s="2" t="s">
        <v>201</v>
      </c>
      <c r="F33" s="1">
        <v>201</v>
      </c>
      <c r="G33" s="65">
        <v>394.11627133037399</v>
      </c>
      <c r="H33" s="65">
        <v>248.86595551638001</v>
      </c>
      <c r="I33" s="66">
        <v>136.034191464608</v>
      </c>
      <c r="J33" s="66">
        <v>599.46442881797998</v>
      </c>
      <c r="K33" s="2" t="s">
        <v>236</v>
      </c>
      <c r="L33" s="65">
        <v>251.90381749831002</v>
      </c>
      <c r="M33" s="65">
        <v>159.06545555280999</v>
      </c>
      <c r="N33" s="66">
        <v>86.947773114156902</v>
      </c>
      <c r="O33" s="66">
        <v>383.15438630319602</v>
      </c>
    </row>
    <row r="34" spans="1:16" x14ac:dyDescent="0.2">
      <c r="A34" s="1" t="s">
        <v>48</v>
      </c>
      <c r="B34" s="2" t="s">
        <v>181</v>
      </c>
      <c r="C34" s="2" t="s">
        <v>40</v>
      </c>
      <c r="D34" s="2" t="s">
        <v>144</v>
      </c>
      <c r="F34" s="1">
        <v>106</v>
      </c>
      <c r="G34" s="65">
        <v>326.20999999999998</v>
      </c>
      <c r="H34" s="65">
        <v>170.37</v>
      </c>
      <c r="I34" s="66">
        <v>82.84</v>
      </c>
      <c r="J34" s="66">
        <v>735.09</v>
      </c>
      <c r="K34" s="2" t="s">
        <v>209</v>
      </c>
      <c r="L34" s="65">
        <v>163.59578736208624</v>
      </c>
      <c r="M34" s="65">
        <v>85.44132397191575</v>
      </c>
      <c r="N34" s="66">
        <v>41.544633901705119</v>
      </c>
      <c r="O34" s="66">
        <v>368.65095285857575</v>
      </c>
      <c r="P34" s="1" t="s">
        <v>231</v>
      </c>
    </row>
    <row r="35" spans="1:16" x14ac:dyDescent="0.2">
      <c r="A35" s="1" t="s">
        <v>48</v>
      </c>
      <c r="B35" s="2" t="s">
        <v>181</v>
      </c>
      <c r="C35" s="2" t="s">
        <v>41</v>
      </c>
      <c r="D35" s="2" t="s">
        <v>144</v>
      </c>
      <c r="F35" s="1">
        <v>43</v>
      </c>
      <c r="G35" s="65">
        <v>43.24</v>
      </c>
      <c r="H35" s="65">
        <v>25.94</v>
      </c>
      <c r="I35" s="66">
        <v>14.39</v>
      </c>
      <c r="J35" s="66">
        <v>64.12</v>
      </c>
      <c r="K35" s="2" t="s">
        <v>209</v>
      </c>
      <c r="L35" s="65">
        <v>21.904761904761905</v>
      </c>
      <c r="M35" s="65">
        <v>13.140830800405269</v>
      </c>
      <c r="N35" s="66">
        <v>7.289766970618035</v>
      </c>
      <c r="O35" s="66">
        <v>32.4822695035461</v>
      </c>
      <c r="P35" s="1" t="s">
        <v>231</v>
      </c>
    </row>
    <row r="36" spans="1:16" x14ac:dyDescent="0.2">
      <c r="A36" s="1" t="s">
        <v>48</v>
      </c>
      <c r="B36" s="2" t="s">
        <v>181</v>
      </c>
      <c r="C36" s="2" t="s">
        <v>43</v>
      </c>
      <c r="D36" s="2" t="s">
        <v>144</v>
      </c>
      <c r="F36" s="1">
        <v>31</v>
      </c>
      <c r="G36" s="65">
        <v>6.27</v>
      </c>
      <c r="H36" s="65">
        <v>5.71</v>
      </c>
      <c r="I36" s="66">
        <v>4.38</v>
      </c>
      <c r="J36" s="66">
        <v>8.7899999999999991</v>
      </c>
      <c r="K36" s="2" t="s">
        <v>209</v>
      </c>
      <c r="L36" s="65">
        <v>5.6506849315068495</v>
      </c>
      <c r="M36" s="65">
        <v>5.1459985580389329</v>
      </c>
      <c r="N36" s="66">
        <v>3.9473684210526319</v>
      </c>
      <c r="O36" s="66">
        <v>7.9217736121124727</v>
      </c>
      <c r="P36" s="1" t="s">
        <v>231</v>
      </c>
    </row>
    <row r="37" spans="1:16" x14ac:dyDescent="0.2">
      <c r="A37" s="1" t="s">
        <v>162</v>
      </c>
      <c r="B37" s="2" t="s">
        <v>181</v>
      </c>
      <c r="C37" s="2" t="s">
        <v>50</v>
      </c>
      <c r="D37" s="2" t="s">
        <v>144</v>
      </c>
      <c r="E37" s="1">
        <v>1</v>
      </c>
      <c r="G37" s="65">
        <v>3.56</v>
      </c>
      <c r="H37" s="65">
        <v>3.56</v>
      </c>
      <c r="I37" s="66">
        <v>3.56</v>
      </c>
      <c r="J37" s="66">
        <v>3.56</v>
      </c>
      <c r="K37" s="2" t="s">
        <v>208</v>
      </c>
      <c r="L37" s="65">
        <v>1.8</v>
      </c>
      <c r="M37" s="65">
        <v>1.8</v>
      </c>
      <c r="N37" s="66">
        <v>1.8</v>
      </c>
      <c r="O37" s="66">
        <v>1.8</v>
      </c>
    </row>
    <row r="38" spans="1:16" x14ac:dyDescent="0.2">
      <c r="A38" s="1" t="s">
        <v>48</v>
      </c>
      <c r="B38" s="2" t="s">
        <v>181</v>
      </c>
      <c r="C38" s="2" t="s">
        <v>45</v>
      </c>
      <c r="D38" s="2" t="s">
        <v>144</v>
      </c>
      <c r="F38" s="1">
        <v>75</v>
      </c>
      <c r="G38" s="65">
        <v>17.36</v>
      </c>
      <c r="H38" s="65">
        <v>13.44</v>
      </c>
      <c r="I38" s="66">
        <v>7.76</v>
      </c>
      <c r="J38" s="66">
        <v>31.11</v>
      </c>
      <c r="K38" s="2" t="s">
        <v>209</v>
      </c>
      <c r="L38" s="65">
        <v>10.72929542645241</v>
      </c>
      <c r="M38" s="65">
        <v>8.3065512978986398</v>
      </c>
      <c r="N38" s="66">
        <v>4.7960444993819529</v>
      </c>
      <c r="O38" s="66">
        <v>19.227441285537701</v>
      </c>
      <c r="P38" s="1" t="s">
        <v>231</v>
      </c>
    </row>
    <row r="39" spans="1:16" x14ac:dyDescent="0.2">
      <c r="A39" s="1" t="s">
        <v>48</v>
      </c>
      <c r="B39" s="2" t="s">
        <v>181</v>
      </c>
      <c r="C39" s="2" t="s">
        <v>46</v>
      </c>
      <c r="D39" s="2" t="s">
        <v>144</v>
      </c>
      <c r="F39" s="1">
        <v>46</v>
      </c>
      <c r="G39" s="65">
        <v>12.22</v>
      </c>
      <c r="H39" s="65">
        <v>11.01</v>
      </c>
      <c r="I39" s="66">
        <v>6.65</v>
      </c>
      <c r="J39" s="66">
        <v>16.02</v>
      </c>
      <c r="K39" s="2" t="s">
        <v>209</v>
      </c>
      <c r="L39" s="65">
        <v>7.0554272517321017</v>
      </c>
      <c r="M39" s="65">
        <v>6.3568129330254042</v>
      </c>
      <c r="N39" s="66">
        <v>3.8394919168591226</v>
      </c>
      <c r="O39" s="66">
        <v>9.2494226327944578</v>
      </c>
      <c r="P39" s="1" t="s">
        <v>231</v>
      </c>
    </row>
    <row r="54" spans="5:5" x14ac:dyDescent="0.2">
      <c r="E54" s="43"/>
    </row>
  </sheetData>
  <phoneticPr fontId="1"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a 3 4 d 3 f 2 - 5 1 2 9 - 4 d 4 0 - 8 f 3 c - 6 1 e 4 6 2 3 b 1 0 2 2 "   x m l n s = " h t t p : / / s c h e m a s . m i c r o s o f t . c o m / D a t a M a s h u p " > A A A A A L 0 H A A B Q S w M E F A A C A A g A S U z C U F T B D G u m A A A A + A A A A B I A H A B D b 2 5 m a W c v U G F j a 2 F n Z S 5 4 b W w g o h g A K K A U A A A A A A A A A A A A A A A A A A A A A A A A A A A A h Y 8 x D o I w G E a v Q r r T l g p q y E 8 Z X C U x I R p X U i o 0 Q j G 0 W O 7 m 4 J G 8 g i S K u j l + L 2 9 4 3 + N 2 h 3 R s G + 8 q e 6 M 6 n a A A U + R J L b p S 6 S p B g z 3 5 a 5 R y 2 B X i X F T S m 2 R t 4 t G U C a q t v c S E O O e w W + C u r w i j N C D H b J u L W r Y F + s j q v + w r b W y h h U Q c D q 8 Y z v C K 4 S i K l j g M A y A z h k z p r 8 K m Y k y B / E D Y D I 0 d e s m l 9 v c 5 k H k C e b / g T 1 B L A w Q U A A I A C A B J T M J 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U z C U A t w L v 6 1 B A A A T h 8 A A B M A H A B G b 3 J t d W x h c y 9 T Z W N 0 a W 9 u M S 5 t I K I Y A C i g F A A A A A A A A A A A A A A A A A A A A A A A A A A A A O 1 Z S 2 / b O B C + B 8 h / I J S L s h D c u r v Y S 9 F D Y B S L 7 v a B b Q L s w T A K 2 m J k I h J p k J R j w / B / L y l Z t h 7 D h 9 O 0 W y w 2 l w T U a O a b 4 c e Z T 4 w k C 0 U 5 Q 7 f 1 7 / H r y 4 v L C 7 n E g q T o K n p U K c L r D M 2 3 S K o y 3 U b o D c q J u r x A + u e W l 2 J B 9 M r b z Y L k o 0 k p B G H q H y 4 e 5 p w / x N e 7 6 U d c k D f R S v C 0 X K g v 9 5 y r l a B M y W i 2 n 0 4 4 U 9 p 8 l t T O r q L J E r N M R 7 3 b r o i J c 4 f n O R n d C c z k P R f F h O d l w c x D G d e R k 9 2 u 8 Y 2 U e S m p f i F F N m q f o F 1 U Q + 6 v H l 4 Z r L O y m B O B + D 0 6 W E h E 2 S I v U 5 J q 2 3 d M / f 7 b y I S v j I + 5 I C y 1 P Z E 6 F Y 2 d M t Q J i t n 2 h A S V j A 7 D n j y B O Z w e v 0 A P W f O 4 x l o Z r H F e E p Q S u R B 0 Z b Z w 4 C L n j z o v 2 F E D c E m z p d d I m A 1 y h t K V U 0 Q X A S w K 4 g L l e E 7 y v t / m L b A + G W o e Q 5 D a g M c v X 6 K j N V C p Y R 3 A N x w l c d o z v S o 7 8 P f X R 3 L f p J p G a F J K x Y s T u f V q T e u 4 R / 8 E H Y + e T o A I r D i w O Q Q v l m j q 4 O 0 M / Y K m V 3 0 O z W B Y Y x h X B 7 k X V 7 9 C T 4 H Y 9 d F C + 4 f g 5 U q D + c w f 5 Q l s t R r 3 c 2 m f / 3 6 X 6 J 8 5 s 3 2 7 4 I K / p 1 K N b s s i n l 7 5 3 9 H o B z x 8 Q g X D Y w 6 K N w j v 7 n O 9 c K 6 d 6 / m 2 s P 0 V T K v O X r Z o Z S F 5 S K l f e N B C 6 H 7 1 k / 6 V D R 7 M 9 T M 3 K B T 0 Z 1 L w t c F U Q W z R v 3 5 w W I 7 7 2 S V B v D 4 L 8 r 4 N i o u U C B h W 9 e i E q 5 9 A c j y f v u P p Y k f A x r T w 3 n K h B v 3 D L M Z Q L k Z f D K B 8 M k a j G 7 k g L K U s a y s K m 8 n + + v K C M g h D V 2 x V 8 y l B h 7 m j J V f H 7 / / K 6 7 + l v F q O n O K r Z f c T 6 a 8 W q u 8 g w d y 1 8 b 3 i F G L v m C T V A f x A G S 3 K Q D F m c E v l E g T a X b w D t F Z i J g L I g 9 m + O 0 A h j H h j x z j I R O O s q u U B i j d 2 o D A T Q 5 D W G C w a c p A Q X F K 7 9 I G q 2 x u k l k L 3 r I J r 7 s 2 k S d h S d U c u w A Z A u X i Z b 0 / G L Z S H q Q J D D N b I Y e f g s B F D Q 0 i O B l K 2 K U i Y 0 7 P J B U P 2 i + n z t 9 6 S i D v U W V + S f W k N j Y 0 K U 1 T U J E 5 Q U T P h q D i O y K K O d u n E 7 o q X 5 s 0 F V i T j g h L 5 T Y q l 5 e b Z F c v B t 1 W f D O V A V 8 F 1 g n e r g L N M k A y b w 9 X S X E 8 p h P b 0 s 8 g 2 p 0 7 q y D c + 1 5 1 l j Q 3 H Z F 9 k g P K 9 f 5 w K k l L M / H Y / X F j 5 v v 0 C E v n X t V E 4 i + s b X / / n B 3 B B H D S D D n Q M n T o n g p k Y t B J 3 V Q M 7 f G r y x w k v m Y q / A A 3 a f q d Q d e S b t f 7 e z U j 7 X i V g v N h o 2 u r 0 l c W Z b o M u G E J g + + d W A D 9 D k / m O k 6 v p R / W 0 a j d X w Q t U l L m i q 5 x E p x A f i D C c / r s k z Q S q g 3 z U 4 5 a k f 3 I K 3 G i G k N D 3 c R 7 m x e v E A P y L s n T 0 n t y r T 6 V q a 7 q 3 m x V m B r j 3 m q B O u b a v / j 7 W t 1 e e A E R 2 y W c X b m A 7 D Z F k A c L I 1 f 2 t 7 d 4 O y N 0 8 / Q 2 2 z e 7 V i l T 7 Y 6 q 7 P e 3 D h B d z y k i 8 C 9 7 C x C o k 9 j a m j 2 1 U 7 4 I a 0 L S i N i D d I E P Y L o i y s D g M 5 e k 4 s g U H N N 0 e X n X c W Y 4 d l 5 a u D B L g H w w t a R l w q w n N N b u a g k e Z d R Y 9 0 y n x z a S Q S f I s R 8 2 U R v / 1 5 O v c 8 Y + 4 z / 0 K U E s B A i 0 A F A A C A A g A S U z C U F T B D G u m A A A A + A A A A B I A A A A A A A A A A A A A A A A A A A A A A E N v b m Z p Z y 9 Q Y W N r Y W d l L n h t b F B L A Q I t A B Q A A g A I A E l M w l A P y u m r p A A A A O k A A A A T A A A A A A A A A A A A A A A A A P I A A A B b Q 2 9 u d G V u d F 9 U e X B l c 1 0 u e G 1 s U E s B A i 0 A F A A C A A g A S U z C U A t w L v 6 1 B A A A T h 8 A A B M A A A A A A A A A A A A A A A A A 4 w E A A E Z v c m 1 1 b G F z L 1 N l Y 3 R p b 2 4 x L m 1 Q S w U G A A A A A A M A A w D C A A A A 5 Q 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E A A A A A A A A D W Q 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d 3 R k J T I w Y X Z n J T I w Y n k l M j B z d H V k e 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3 d G R f Y X Z n X 2 J 5 X 3 N 0 d W R 5 I i A v P j x F b n R y e S B U e X B l P S J G a W x s Z W R D b 2 1 w b G V 0 Z V J l c 3 V s d F R v V 2 9 y a 3 N o Z W V 0 I i B W Y W x 1 Z T 0 i b D E i I C 8 + P E V u d H J 5 I F R 5 c G U 9 I k Z p b G x D b 2 x 1 b W 5 U e X B l c y I g V m F s d W U 9 I n N C Z 1 l H Q l F B Q S I g L z 4 8 R W 5 0 c n k g V H l w Z T 0 i R m l s b E x h c 3 R V c G R h d G V k I i B W Y W x 1 Z T 0 i Z D I w M j A t M D Y t M D J U M T M 6 M z Q 6 M T c u N D M 3 N T E 1 N V o i I C 8 + P E V u d H J 5 I F R 5 c G U 9 I l F 1 Z X J 5 S U Q i I F Z h b H V l P S J z Y W Y 2 M T B h Y T M t N z J k Y i 0 0 O T R h L T l i Z T Q t Y T I y Z D Y w M D g 1 M m V k I i A v P j x F b n R y e S B U e X B l P S J G a W x s Q 2 9 s d W 1 u T m F t Z X M i I F Z h b H V l P S J z W y Z x d W 9 0 O 3 N 0 d W R 5 J n F 1 b 3 Q 7 L C Z x d W 9 0 O 3 B y b 2 R 1 Y 3 Q g d H l w Z S Z x d W 9 0 O y w m c X V v d D t m b 2 9 0 c H J p b n Q g d H l w Z S Z x d W 9 0 O y w m c X V v d D t u d W 1 i Z X I g b 2 Y g c H J v Z H V j d H M g a W 5 j b H V k Z W Q m c X V v d D s s J n F 1 b 3 Q 7 d 3 R k I G F 2 Z y B m b 2 9 0 c H J p b n Q g L y B r Z y Z x d W 9 0 O y w m c X V v d D t 3 d G Q g Y X Z n I G Z v b 3 R w c m l u d C A v I D E w M C B n I H B y b 3 R l a W 4 m c X V v d D t d I i A v P j x F b n R y e S B U e X B l P S J G a W x s U 3 R h d H V z I i B W Y W x 1 Z T 0 i c 0 N v b X B s Z X R l I i A v P j x F b n R y e S B U e X B l P S J G a W x s R X J y b 3 J D b 3 V u d C I g V m F s d W U 9 I m w w I i A v P j x F b n R y e S B U e X B l P S J G a W x s R X J y b 3 J D b 2 R l I i B W Y W x 1 Z T 0 i c 1 V u a 2 5 v d 2 4 i I C 8 + P E V u d H J 5 I F R 5 c G U 9 I k Z p b G x D b 3 V u d C I g V m F s d W U 9 I m w 0 M S I g L z 4 8 R W 5 0 c n k g V H l w Z T 0 i U m V s Y X R p b 2 5 z a G l w S W 5 m b 0 N v b n R h a W 5 l c i I g V m F s d W U 9 I n N 7 J n F 1 b 3 Q 7 Y 2 9 s d W 1 u Q 2 9 1 b n Q m c X V v d D s 6 N i w m c X V v d D t r Z X l D b 2 x 1 b W 5 O Y W 1 l c y Z x d W 9 0 O z p b J n F 1 b 3 Q 7 c 3 R 1 Z H k m c X V v d D s s J n F 1 b 3 Q 7 c H J v Z H V j d C B 0 e X B l J n F 1 b 3 Q 7 L C Z x d W 9 0 O 2 Z v b 3 R w c m l u d C B 0 e X B l J n F 1 b 3 Q 7 X S w m c X V v d D t x d W V y e V J l b G F 0 a W 9 u c 2 h p c H M m c X V v d D s 6 W 1 0 s J n F 1 b 3 Q 7 Y 2 9 s d W 1 u S W R l b n R p d G l l c y Z x d W 9 0 O z p b J n F 1 b 3 Q 7 U 2 V j d G l v b j E v d 3 R k I G F 2 Z y B i e S B z d H V k e S 9 H c m 9 1 c G V k I F J v d 3 M u e 3 N 0 d W R 5 L D B 9 J n F 1 b 3 Q 7 L C Z x d W 9 0 O 1 N l Y 3 R p b 2 4 x L 3 d 0 Z C B h d m c g Y n k g c 3 R 1 Z H k v R 3 J v d X B l Z C B S b 3 d z L n t w c m 9 k d W N 0 I H R 5 c G U s M X 0 m c X V v d D s s J n F 1 b 3 Q 7 U 2 V j d G l v b j E v d 3 R k I G F 2 Z y B i e S B z d H V k e S 9 H c m 9 1 c G V k I F J v d 3 M u e 2 Z v b 3 R w c m l u d C B 0 e X B l L D J 9 J n F 1 b 3 Q 7 L C Z x d W 9 0 O 1 N l Y 3 R p b 2 4 x L 3 d 0 Z C B h d m c g Y n k g c 3 R 1 Z H k v R 3 J v d X B l Z C B S b 3 d z L n t u d W 1 i Z X I g b 2 Y g c H J v Z H V j d H M g a W 5 j b H V k Z W Q s N X 0 m c X V v d D s s J n F 1 b 3 Q 7 U 2 V j d G l v b j E v d 3 R k I G F 2 Z y B i e S B z d H V k e S 9 B Z G R l Z C B D d X N 0 b 2 0 y L n t 3 d G Q g Y X Z n I G Z v b 3 R w c m l u d C A v I G t n L D Z 9 J n F 1 b 3 Q 7 L C Z x d W 9 0 O 1 N l Y 3 R p b 2 4 x L 3 d 0 Z C B h d m c g Y n k g c 3 R 1 Z H k v Q W R k Z W Q g Q 3 V z d G 9 t M y 5 7 d 3 R k I G F 2 Z y B m b 2 9 0 c H J p b n Q g L y A x M D A g Z y B w c m 9 0 Z W l u L D d 9 J n F 1 b 3 Q 7 X S w m c X V v d D t D b 2 x 1 b W 5 D b 3 V u d C Z x d W 9 0 O z o 2 L C Z x d W 9 0 O 0 t l e U N v b H V t b k 5 h b W V z J n F 1 b 3 Q 7 O l s m c X V v d D t z d H V k e S Z x d W 9 0 O y w m c X V v d D t w c m 9 k d W N 0 I H R 5 c G U m c X V v d D s s J n F 1 b 3 Q 7 Z m 9 v d H B y a W 5 0 I H R 5 c G U m c X V v d D t d L C Z x d W 9 0 O 0 N v b H V t b k l k Z W 5 0 a X R p Z X M m c X V v d D s 6 W y Z x d W 9 0 O 1 N l Y 3 R p b 2 4 x L 3 d 0 Z C B h d m c g Y n k g c 3 R 1 Z H k v R 3 J v d X B l Z C B S b 3 d z L n t z d H V k e S w w f S Z x d W 9 0 O y w m c X V v d D t T Z W N 0 a W 9 u M S 9 3 d G Q g Y X Z n I G J 5 I H N 0 d W R 5 L 0 d y b 3 V w Z W Q g U m 9 3 c y 5 7 c H J v Z H V j d C B 0 e X B l L D F 9 J n F 1 b 3 Q 7 L C Z x d W 9 0 O 1 N l Y 3 R p b 2 4 x L 3 d 0 Z C B h d m c g Y n k g c 3 R 1 Z H k v R 3 J v d X B l Z C B S b 3 d z L n t m b 2 9 0 c H J p b n Q g d H l w Z S w y f S Z x d W 9 0 O y w m c X V v d D t T Z W N 0 a W 9 u M S 9 3 d G Q g Y X Z n I G J 5 I H N 0 d W R 5 L 0 d y b 3 V w Z W Q g U m 9 3 c y 5 7 b n V t Y m V y I G 9 m I H B y b 2 R 1 Y 3 R z I G l u Y 2 x 1 Z G V k L D V 9 J n F 1 b 3 Q 7 L C Z x d W 9 0 O 1 N l Y 3 R p b 2 4 x L 3 d 0 Z C B h d m c g Y n k g c 3 R 1 Z H k v Q W R k Z W Q g Q 3 V z d G 9 t M i 5 7 d 3 R k I G F 2 Z y B m b 2 9 0 c H J p b n Q g L y B r Z y w 2 f S Z x d W 9 0 O y w m c X V v d D t T Z W N 0 a W 9 u M S 9 3 d G Q g Y X Z n I G J 5 I H N 0 d W R 5 L 0 F k Z G V k I E N 1 c 3 R v b T M u e 3 d 0 Z C B h d m c g Z m 9 v d H B y a W 5 0 I C 8 g M T A w I G c g c H J v d G V p b i w 3 f S Z x d W 9 0 O 1 0 s J n F 1 b 3 Q 7 U m V s Y X R p b 2 5 z a G l w S W 5 m b y Z x d W 9 0 O z p b X X 0 i I C 8 + P E V u d H J 5 I F R 5 c G U 9 I k F k Z G V k V G 9 E Y X R h T W 9 k Z W w i I F Z h b H V l P S J s M C I g L z 4 8 L 1 N 0 Y W J s Z U V u d H J p Z X M + P C 9 J d G V t P j x J d G V t P j x J d G V t T G 9 j Y X R p b 2 4 + P E l 0 Z W 1 U e X B l P k Z v c m 1 1 b G E 8 L 0 l 0 Z W 1 U e X B l P j x J d G V t U G F 0 a D 5 T Z W N 0 a W 9 u M S 9 3 d G Q l M j B h d m c l M j B i e S U y M H N 0 d W R 5 L 1 N v d X J j Z T w v S X R l b V B h d G g + P C 9 J d G V t T G 9 j Y X R p b 2 4 + P F N 0 Y W J s Z U V u d H J p Z X M g L z 4 8 L 0 l 0 Z W 0 + P E l 0 Z W 0 + P E l 0 Z W 1 M b 2 N h d G l v b j 4 8 S X R l b V R 5 c G U + R m 9 y b X V s Y T w v S X R l b V R 5 c G U + P E l 0 Z W 1 Q Y X R o P l N l Y 3 R p b 2 4 x L 3 d 0 Z C U y M G F 2 Z y U y M G J 5 J T I w c 3 R 1 Z H k v Q 2 h h b m d l Z C U y M F R 5 c G U 8 L 0 l 0 Z W 1 Q Y X R o P j w v S X R l b U x v Y 2 F 0 a W 9 u P j x T d G F i b G V F b n R y a W V z I C 8 + P C 9 J d G V t P j x J d G V t P j x J d G V t T G 9 j Y X R p b 2 4 + P E l 0 Z W 1 U e X B l P k Z v c m 1 1 b G E 8 L 0 l 0 Z W 1 U e X B l P j x J d G V t U G F 0 a D 5 T Z W N 0 a W 9 u M S 9 3 d G Q l M j B h d m c l M j B i e S U y M H N 0 d W R 5 L 0 F k Z G V k J T I w Q 3 V z d G 9 t P C 9 J d G V t U G F 0 a D 4 8 L 0 l 0 Z W 1 M b 2 N h d G l v b j 4 8 U 3 R h Y m x l R W 5 0 c m l l c y A v P j w v S X R l b T 4 8 S X R l b T 4 8 S X R l b U x v Y 2 F 0 a W 9 u P j x J d G V t V H l w Z T 5 G b 3 J t d W x h P C 9 J d G V t V H l w Z T 4 8 S X R l b V B h d G g + U 2 V j d G l v b j E v d 3 R k J T I w Y X Z n J T I w Y n k l M j B z d H V k e S 9 B Z G R l Z C U y M E N 1 c 3 R v b T E 8 L 0 l 0 Z W 1 Q Y X R o P j w v S X R l b U x v Y 2 F 0 a W 9 u P j x T d G F i b G V F b n R y a W V z I C 8 + P C 9 J d G V t P j x J d G V t P j x J d G V t T G 9 j Y X R p b 2 4 + P E l 0 Z W 1 U e X B l P k Z v c m 1 1 b G E 8 L 0 l 0 Z W 1 U e X B l P j x J d G V t U G F 0 a D 5 T Z W N 0 a W 9 u M S 9 3 d G Q l M j B h d m c l M j B i e S U y M H N 0 d W R 5 L 0 d y b 3 V w Z W Q l M j B S b 3 d z P C 9 J d G V t U G F 0 a D 4 8 L 0 l 0 Z W 1 M b 2 N h d G l v b j 4 8 U 3 R h Y m x l R W 5 0 c m l l c y A v P j w v S X R l b T 4 8 S X R l b T 4 8 S X R l b U x v Y 2 F 0 a W 9 u P j x J d G V t V H l w Z T 5 G b 3 J t d W x h P C 9 J d G V t V H l w Z T 4 8 S X R l b V B h d G g + U 2 V j d G l v b j E v d 3 R k J T I w Y X Z n J T I w Y n k l M j B z d H V k e S 9 B Z G R l Z C U y M E N 1 c 3 R v b T I 8 L 0 l 0 Z W 1 Q Y X R o P j w v S X R l b U x v Y 2 F 0 a W 9 u P j x T d G F i b G V F b n R y a W V z I C 8 + P C 9 J d G V t P j x J d G V t P j x J d G V t T G 9 j Y X R p b 2 4 + P E l 0 Z W 1 U e X B l P k Z v c m 1 1 b G E 8 L 0 l 0 Z W 1 U e X B l P j x J d G V t U G F 0 a D 5 T Z W N 0 a W 9 u M S 9 3 d G Q l M j B h d m c l M j B i e S U y M H N 0 d W R 5 L 0 F k Z G V k J T I w Q 3 V z d G 9 t M z w v S X R l b V B h d G g + P C 9 J d G V t T G 9 j Y X R p b 2 4 + P F N 0 Y W J s Z U V u d H J p Z X M g L z 4 8 L 0 l 0 Z W 0 + P E l 0 Z W 0 + P E l 0 Z W 1 M b 2 N h d G l v b j 4 8 S X R l b V R 5 c G U + R m 9 y b X V s Y T w v S X R l b V R 5 c G U + P E l 0 Z W 1 Q Y X R o P l N l Y 3 R p b 2 4 x L 3 d 0 Z C U y M G F 2 Z y U y M G J 5 J T I w c 3 R 1 Z H k v U m V t b 3 Z l Z C U y M E N v b H V t b n M 8 L 0 l 0 Z W 1 Q Y X R o P j w v S X R l b U x v Y 2 F 0 a W 9 u P j x T d G F i b G V F b n R y a W V z I C 8 + P C 9 J d G V t P j x J d G V t P j x J d G V t T G 9 j Y X R p b 2 4 + P E l 0 Z W 1 U e X B l P k Z v c m 1 1 b G E 8 L 0 l 0 Z W 1 U e X B l P j x J d G V t U G F 0 a D 5 T Z W N 0 a W 9 u M S 9 3 d G Q l M j B h d m c l M j B i e S U y M H N 0 d W R 5 L 1 N v c n R l Z C U y M F J v d 3 M 8 L 0 l 0 Z W 1 Q Y X R o P j w v S X R l b U x v Y 2 F 0 a W 9 u P j x T d G F i b G V F b n R y a W V z I C 8 + P C 9 J d G V t P j x J d G V t P j x J d G V t T G 9 j Y X R p b 2 4 + P E l 0 Z W 1 U e X B l P k Z v c m 1 1 b G E 8 L 0 l 0 Z W 1 U e X B l P j x J d G V t U G F 0 a D 5 T Z W N 0 a W 9 u M S 9 s b 3 d l c i U y Q y U y M G h p Z 2 h l c i U y M G J 5 J T I w c H J v Z H V j d C U y M H R 5 c G 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x h c 3 R V c G R h d G V k I i B W Y W x 1 Z T 0 i Z D I w M j A t M D Q t M D h U M T g 6 N T A 6 N D Q u O T A 4 N j E 4 N l o i I C 8 + P E V u d H J 5 I F R 5 c G U 9 I k x v Y W R l Z F R v Q W 5 h b H l z a X N T Z X J 2 a W N l c y I g V m F s d W U 9 I m w w I i A v P j x F b n R y e S B U e X B l P S J G a W x s U 3 R h d H V z I i B W Y W x 1 Z T 0 i c 0 N v b X B s Z X R l I i A v P j x F b n R y e S B U e X B l P S J S Z W x h d G l v b n N o a X B J b m Z v Q 2 9 u d G F p b m V y I i B W Y W x 1 Z T 0 i c 3 s m c X V v d D t j b 2 x 1 b W 5 D b 3 V u d C Z x d W 9 0 O z o 1 L C Z x d W 9 0 O 2 t l e U N v b H V t b k 5 h b W V z J n F 1 b 3 Q 7 O l s m c X V v d D t w c m 9 k d W N 0 I H R 5 c G U m c X V v d D s s J n F 1 b 3 Q 7 c 3 R 1 Z H k m c X V v d D s s J n F 1 b 3 Q 7 c 3 R h b m R h c m R p e m V k I G Z v b 3 R w c m l u d C B 1 b m l 0 J n F 1 b 3 Q 7 X S w m c X V v d D t x d W V y e V J l b G F 0 a W 9 u c 2 h p c H M m c X V v d D s 6 W 1 0 s J n F 1 b 3 Q 7 Y 2 9 s d W 1 u S W R l b n R p d G l l c y Z x d W 9 0 O z p b J n F 1 b 3 Q 7 U 2 V j d G l v b j E v Y X Z n I G J 5 I H N 0 d W R 5 L 0 d y b 3 V w Z W Q g U m 9 3 c y 5 7 c H J v Z H V j d C B 0 e X B l L D B 9 J n F 1 b 3 Q 7 L C Z x d W 9 0 O 1 N l Y 3 R p b 2 4 x L 2 F 2 Z y B i e S B z d H V k e S 9 H c m 9 1 c G V k I F J v d 3 M u e 3 N 0 d W R 5 L D F 9 J n F 1 b 3 Q 7 L C Z x d W 9 0 O 1 N l Y 3 R p b 2 4 x L 2 F 2 Z y B i e S B z d H V k e S 9 H c m 9 1 c G V k I F J v d 3 M u e 3 N 0 Y W 5 k Y X J k a X p l Z C B m b 2 9 0 c H J p b n Q g d W 5 p d C w y f S Z x d W 9 0 O y w m c X V v d D t T Z W N 0 a W 9 u M S 9 h d m c g Y n k g c 3 R 1 Z H k v Q W R k Z W Q g Q 3 V z d G 9 t M i 5 7 d 3 R k I G F 2 Z y B m b 2 9 0 c H J p b n Q g L y B r Z y w 2 f S Z x d W 9 0 O y w m c X V v d D t T Z W N 0 a W 9 u M S 9 h d m c g Y n k g c 3 R 1 Z H k v Q W R k Z W Q g Q 3 V z d G 9 t M y 5 7 d 3 R k I G F 2 Z y B m b 2 9 0 c H J p b n Q g L y A x M D A g Z y B w c m 9 0 Z W l u L D d 9 J n F 1 b 3 Q 7 X S w m c X V v d D t D b 2 x 1 b W 5 D b 3 V u d C Z x d W 9 0 O z o 1 L C Z x d W 9 0 O 0 t l e U N v b H V t b k 5 h b W V z J n F 1 b 3 Q 7 O l s m c X V v d D t w c m 9 k d W N 0 I H R 5 c G U m c X V v d D s s J n F 1 b 3 Q 7 c 3 R 1 Z H k m c X V v d D s s J n F 1 b 3 Q 7 c 3 R h b m R h c m R p e m V k I G Z v b 3 R w c m l u d C B 1 b m l 0 J n F 1 b 3 Q 7 X S w m c X V v d D t D b 2 x 1 b W 5 J Z G V u d G l 0 a W V z J n F 1 b 3 Q 7 O l s m c X V v d D t T Z W N 0 a W 9 u M S 9 h d m c g Y n k g c 3 R 1 Z H k v R 3 J v d X B l Z C B S b 3 d z L n t w c m 9 k d W N 0 I H R 5 c G U s M H 0 m c X V v d D s s J n F 1 b 3 Q 7 U 2 V j d G l v b j E v Y X Z n I G J 5 I H N 0 d W R 5 L 0 d y b 3 V w Z W Q g U m 9 3 c y 5 7 c 3 R 1 Z H k s M X 0 m c X V v d D s s J n F 1 b 3 Q 7 U 2 V j d G l v b j E v Y X Z n I G J 5 I H N 0 d W R 5 L 0 d y b 3 V w Z W Q g U m 9 3 c y 5 7 c 3 R h b m R h c m R p e m V k I G Z v b 3 R w c m l u d C B 1 b m l 0 L D J 9 J n F 1 b 3 Q 7 L C Z x d W 9 0 O 1 N l Y 3 R p b 2 4 x L 2 F 2 Z y B i e S B z d H V k e S 9 B Z G R l Z C B D d X N 0 b 2 0 y L n t 3 d G Q g Y X Z n I G Z v b 3 R w c m l u d C A v I G t n L D Z 9 J n F 1 b 3 Q 7 L C Z x d W 9 0 O 1 N l Y 3 R p b 2 4 x L 2 F 2 Z y B i e S B z d H V k e S 9 B Z G R l Z C B D d X N 0 b 2 0 z L n t 3 d G Q g Y X Z n I G Z v b 3 R w c m l u d C A v I D E w M C B n I H B y b 3 R l a W 4 s N 3 0 m c X V v d D t d L C Z x d W 9 0 O 1 J l b G F 0 a W 9 u c 2 h p c E l u Z m 8 m c X V v d D s 6 W 1 1 9 I i A v P j x F b n R y e S B U e X B l P S J B Z G R l Z F R v R G F 0 Y U 1 v Z G V s I i B W Y W x 1 Z T 0 i b D A i I C 8 + P E V u d H J 5 I F R 5 c G U 9 I k Z p b G x F c n J v c k N v Z G U i I F Z h b H V l P S J z V W 5 r b m 9 3 b i I g L z 4 8 L 1 N 0 Y W J s Z U V u d H J p Z X M + P C 9 J d G V t P j x J d G V t P j x J d G V t T G 9 j Y X R p b 2 4 + P E l 0 Z W 1 U e X B l P k Z v c m 1 1 b G E 8 L 0 l 0 Z W 1 U e X B l P j x J d G V t U G F 0 a D 5 T Z W N 0 a W 9 u M S 9 s b 3 d l c i U y Q y U y M G h p Z 2 h l c i U y M G J 5 J T I w c H J v Z H V j d C U y M H R 5 c G U v U 2 9 1 c m N l P C 9 J d G V t U G F 0 a D 4 8 L 0 l 0 Z W 1 M b 2 N h d G l v b j 4 8 U 3 R h Y m x l R W 5 0 c m l l c y A v P j w v S X R l b T 4 8 S X R l b T 4 8 S X R l b U x v Y 2 F 0 a W 9 u P j x J d G V t V H l w Z T 5 G b 3 J t d W x h P C 9 J d G V t V H l w Z T 4 8 S X R l b V B h d G g + U 2 V j d G l v b j E v b G 9 3 Z X I l M k M l M j B o a W d o Z X I l M j B i e S U y M H B y b 2 R 1 Y 3 Q l M j B 0 e X B l L 0 N o Y W 5 n Z W Q l M j B U e X B l P C 9 J d G V t U G F 0 a D 4 8 L 0 l 0 Z W 1 M b 2 N h d G l v b j 4 8 U 3 R h Y m x l R W 5 0 c m l l c y A v P j w v S X R l b T 4 8 S X R l b T 4 8 S X R l b U x v Y 2 F 0 a W 9 u P j x J d G V t V H l w Z T 5 G b 3 J t d W x h P C 9 J d G V t V H l w Z T 4 8 S X R l b V B h d G g + U 2 V j d G l v b j E v b G 9 3 Z X I l M k M l M j B o a W d o Z X I l M j B i e S U y M H B y b 2 R 1 Y 3 Q l M j B 0 e X B l L 0 d y b 3 V w Z W Q l M j B S b 3 d z P C 9 J d G V t U G F 0 a D 4 8 L 0 l 0 Z W 1 M b 2 N h d G l v b j 4 8 U 3 R h Y m x l R W 5 0 c m l l c y A v P j w v S X R l b T 4 8 S X R l b T 4 8 S X R l b U x v Y 2 F 0 a W 9 u P j x J d G V t V H l w Z T 5 G b 3 J t d W x h P C 9 J d G V t V H l w Z T 4 8 S X R l b V B h d G g + U 2 V j d G l v b j E v Y X Z n J T I w Y n k l M j B w c m 9 k d W N 0 J T I w d H l w Z T 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h d m d f Y n l f c H J v Z H V j d F 9 0 e X B l I i A v P j x F b n R y e S B U e X B l P S J G a W x s Z W R D b 2 1 w b G V 0 Z V J l c 3 V s d F R v V 2 9 y a 3 N o Z W V 0 I i B W Y W x 1 Z T 0 i b D E i I C 8 + P E V u d H J 5 I F R 5 c G U 9 I k Z p b G x M Y X N 0 V X B k Y X R l Z C I g V m F s d W U 9 I m Q y M D I w L T A 2 L T A y V D E z O j M 0 O j E 4 L j Q 3 M D Y y N z h a I i A v P j x F b n R y e S B U e X B l P S J G a W x s Q 2 9 s d W 1 u V H l w Z X M i I F Z h b H V l P S J z Q U F Z R 0 J n V U F C U V V G Q l F B R k J R V U Z B Q T 0 9 I i A v P j x F b n R y e S B U e X B l P S J R d W V y e U l E I i B W Y W x 1 Z T 0 i c z g 1 M 2 E x Y 2 M w L W N i M W M t N D c 0 N S 1 h M G N h L T E 0 Y z A 3 Z D Q 0 M z I x Y S I g L z 4 8 R W 5 0 c n k g V H l w Z T 0 i R m l s b E N v b H V t b k 5 h b W V z I i B W Y W x 1 Z T 0 i c 1 s m c X V v d D t z d H V k e S Z x d W 9 0 O y w m c X V v d D t w c m 9 k d W N 0 I G N h d G V n b 3 J 5 J n F 1 b 3 Q 7 L C Z x d W 9 0 O 3 B y b 2 R 1 Y 3 Q g d H l w Z S Z x d W 9 0 O y w m c X V v d D t m b 2 9 0 c H J p b n Q g d H l w Z S Z x d W 9 0 O y w m c X V v d D t u d W 1 i Z X I g b 2 Y g c 3 R 1 Z G l l c y Z x d W 9 0 O y w m c X V v d D t u d W 1 i Z X I g b 2 Y g b 2 J z Z X J 2 Y X R p b 2 5 z J n F 1 b 3 Q 7 L C Z x d W 9 0 O 2 F 2 Z y B m b 2 9 0 c H J p b n Q g L y B r Z y Z x d W 9 0 O y w m c X V v d D t t Z W R p Y W 4 g Z m 9 v d H B y a W 5 0 I C 8 g a 2 c m c X V v d D s s J n F 1 b 3 Q 7 b G 9 3 Z X I g Z m 9 v d H B y a W 5 0 I C 8 g a 2 c m c X V v d D s s J n F 1 b 3 Q 7 a G l n a G V y I G Z v b 3 R w c m l u d C A v I G t n J n F 1 b 3 Q 7 L C Z x d W 9 0 O 3 J h b m d l I G R l c 2 N y a X B 0 a W 9 u J n F 1 b 3 Q 7 L C Z x d W 9 0 O 2 F 2 Z y B m b 2 9 0 c H J p b n Q g L y A x M D A g Z y B w c m 9 0 Z W l u J n F 1 b 3 Q 7 L C Z x d W 9 0 O 2 1 l Z G l h b i B m b 2 9 0 c H J p b n Q g L y A x M D A g Z y B w c m 9 0 Z W l u J n F 1 b 3 Q 7 L C Z x d W 9 0 O 2 x v d 2 V y I G Z v b 3 R w c m l u d C A v I D E w M C B n I H B y b 3 R l a W 4 m c X V v d D s s J n F 1 b 3 Q 7 a G l n a G V y I G Z v b 3 R w c m l u d C A v I D E w M C B n I H B y b 3 R l a W 4 m c X V v d D s s J n F 1 b 3 Q 7 b m 9 0 Z S Z x d W 9 0 O 1 0 i I C 8 + P E V u d H J 5 I F R 5 c G U 9 I k Z p b G x T d G F 0 d X M i I F Z h b H V l P S J z Q 2 9 t c G x l d G U i I C 8 + P E V u d H J 5 I F R 5 c G U 9 I k Z p b G x F c n J v c k N v d W 5 0 I i B W Y W x 1 Z T 0 i b D A i I C 8 + P E V u d H J 5 I F R 5 c G U 9 I k Z p b G x F c n J v c k N v Z G U i I F Z h b H V l P S J z V W 5 r b m 9 3 b i I g L z 4 8 R W 5 0 c n k g V H l w Z T 0 i R m l s b E N v d W 5 0 I i B W Y W x 1 Z T 0 i b D M 4 I i A v P j x F b n R y e S B U e X B l P S J S Z W x h d G l v b n N o a X B J b m Z v Q 2 9 u d G F p b m V y I i B W Y W x 1 Z T 0 i c 3 s m c X V v d D t j b 2 x 1 b W 5 D b 3 V u d C Z x d W 9 0 O z o x N i w m c X V v d D t r Z X l D b 2 x 1 b W 5 O Y W 1 l c y Z x d W 9 0 O z p b X S w m c X V v d D t x d W V y e V J l b G F 0 a W 9 u c 2 h p c H M m c X V v d D s 6 W 3 s m c X V v d D t r Z X l D b 2 x 1 b W 5 D b 3 V u d C Z x d W 9 0 O z o x L C Z x d W 9 0 O 2 t l e U N v b H V t b i Z x d W 9 0 O z o y L C Z x d W 9 0 O 2 9 0 a G V y S 2 V 5 Q 2 9 s d W 1 u S W R l b n R p d H k m c X V v d D s 6 J n F 1 b 3 Q 7 U 2 V j d G l v b j E v c H J v Z H V j d C B j Y X R l Z 2 9 y a W V z L 0 N o Y W 5 n Z W Q g V H l w Z S 5 7 c H J v Z H V j d C B 0 e X B l L D F 9 J n F 1 b 3 Q 7 L C Z x d W 9 0 O 0 t l e U N v b H V t b k N v d W 5 0 J n F 1 b 3 Q 7 O j F 9 X S w m c X V v d D t j b 2 x 1 b W 5 J Z G V u d G l 0 a W V z J n F 1 b 3 Q 7 O l s m c X V v d D t T Z W N 0 a W 9 u M S 9 h d m c g Y n k g c H J v Z H V j d C B 0 e X B l L 0 F w c G V u Z G V k I F F 1 Z X J 5 L n t z d H V k e S w 3 f S Z x d W 9 0 O y w m c X V v d D t T Z W N 0 a W 9 u M S 9 w c m 9 k d W N 0 I G N h d G V n b 3 J p Z X M v Q 2 h h b m d l Z C B U e X B l L n t w c m 9 k d W N 0 I G N h d G V n b 3 J 5 L D B 9 J n F 1 b 3 Q 7 L C Z x d W 9 0 O 1 N l Y 3 R p b 2 4 x L 2 F 2 Z y B i e S B w c m 9 k d W N 0 I H R 5 c G U v Q X B w Z W 5 k Z W Q g U X V l c n k u e 3 B y b 2 R 1 Y 3 Q g d H l w Z S w w f S Z x d W 9 0 O y w m c X V v d D t T Z W N 0 a W 9 u M S 9 h d m c g Y n k g c H J v Z H V j d C B 0 e X B l L 0 F w c G V u Z G V k I F F 1 Z X J 5 L n t m b 2 9 0 c H J p b n Q g d H l w Z S w x f S Z x d W 9 0 O y w m c X V v d D t T Z W N 0 a W 9 u M S 9 h d m c g Y n k g c H J v Z H V j d C B 0 e X B l L 0 F w c G V u Z G V k I F F 1 Z X J 5 L n t u d W 1 i Z X I g b 2 Y g c 3 R 1 Z G l l c y w y f S Z x d W 9 0 O y w m c X V v d D t T Z W N 0 a W 9 u M S 9 h d m c g Y n k g c H J v Z H V j d C B 0 e X B l L 0 F w c G V u Z G V k I F F 1 Z X J 5 L n t u d W 1 i Z X I g b 2 Y g b 2 J z Z X J 2 Y X R p b 2 5 z L D E z f S Z x d W 9 0 O y w m c X V v d D t T Z W N 0 a W 9 u M S 9 h d m c g Y n k g c H J v Z H V j d C B 0 e X B l L 0 F w c G V u Z G V k I F F 1 Z X J 5 L n t h d m c g Z m 9 v d H B y a W 5 0 I C 8 g a 2 c s M 3 0 m c X V v d D s s J n F 1 b 3 Q 7 U 2 V j d G l v b j E v Y X Z n I G J 5 I H B y b 2 R 1 Y 3 Q g d H l w Z S 9 B c H B l b m R l Z C B R d W V y e S 5 7 b W V k a W F u I G Z v b 3 R w c m l u d C A v I G t n L D R 9 J n F 1 b 3 Q 7 L C Z x d W 9 0 O 1 N l Y 3 R p b 2 4 x L 2 F 2 Z y B i e S B w c m 9 k d W N 0 I H R 5 c G U v Q X B w Z W 5 k Z W Q g U X V l c n k u e 2 x v d 2 V y I G Z v b 3 R w c m l u d C A v I G t n L D h 9 J n F 1 b 3 Q 7 L C Z x d W 9 0 O 1 N l Y 3 R p b 2 4 x L 2 F 2 Z y B i e S B w c m 9 k d W N 0 I H R 5 c G U v Q X B w Z W 5 k Z W Q g U X V l c n k u e 2 h p Z 2 h l c i B m b 2 9 0 c H J p b n Q g L y B r Z y w 5 f S Z x d W 9 0 O y w m c X V v d D t T Z W N 0 a W 9 u M S 9 h d m c g Y n k g c H J v Z H V j d C B 0 e X B l L 0 F w c G V u Z G V k I F F 1 Z X J 5 L n t y Y W 5 n Z S B k Z X N j c m l w d G l v b i w x M H 0 m c X V v d D s s J n F 1 b 3 Q 7 U 2 V j d G l v b j E v Y X Z n I G J 5 I H B y b 2 R 1 Y 3 Q g d H l w Z S 9 B c H B l b m R l Z C B R d W V y e S 5 7 Y X Z n I G Z v b 3 R w c m l u d C A v I D E w M C B n I H B y b 3 R l a W 4 s N X 0 m c X V v d D s s J n F 1 b 3 Q 7 U 2 V j d G l v b j E v Y X Z n I G J 5 I H B y b 2 R 1 Y 3 Q g d H l w Z S 9 B c H B l b m R l Z C B R d W V y e S 5 7 b W V k a W F u I G Z v b 3 R w c m l u d C A v I D E w M C B n I H B y b 3 R l a W 4 s N n 0 m c X V v d D s s J n F 1 b 3 Q 7 U 2 V j d G l v b j E v Y X Z n I G J 5 I H B y b 2 R 1 Y 3 Q g d H l w Z S 9 B c H B l b m R l Z C B R d W V y e S 5 7 b G 9 3 Z X I g Z m 9 v d H B y a W 5 0 I C 8 g M T A w I G c g c H J v d G V p b i w x M X 0 m c X V v d D s s J n F 1 b 3 Q 7 U 2 V j d G l v b j E v Y X Z n I G J 5 I H B y b 2 R 1 Y 3 Q g d H l w Z S 9 B c H B l b m R l Z C B R d W V y e S 5 7 a G l n a G V y I G Z v b 3 R w c m l u d C A v I D E w M C B n I H B y b 3 R l a W 4 s M T J 9 J n F 1 b 3 Q 7 L C Z x d W 9 0 O 1 N l Y 3 R p b 2 4 x L 2 F 2 Z y B i e S B w c m 9 k d W N 0 I H R 5 c G U v Q X B w Z W 5 k Z W Q g U X V l c n k u e 2 5 v d G U s M T R 9 J n F 1 b 3 Q 7 X S w m c X V v d D t D b 2 x 1 b W 5 D b 3 V u d C Z x d W 9 0 O z o x N i w m c X V v d D t L Z X l D b 2 x 1 b W 5 O Y W 1 l c y Z x d W 9 0 O z p b X S w m c X V v d D t D b 2 x 1 b W 5 J Z G V u d G l 0 a W V z J n F 1 b 3 Q 7 O l s m c X V v d D t T Z W N 0 a W 9 u M S 9 h d m c g Y n k g c H J v Z H V j d C B 0 e X B l L 0 F w c G V u Z G V k I F F 1 Z X J 5 L n t z d H V k e S w 3 f S Z x d W 9 0 O y w m c X V v d D t T Z W N 0 a W 9 u M S 9 w c m 9 k d W N 0 I G N h d G V n b 3 J p Z X M v Q 2 h h b m d l Z C B U e X B l L n t w c m 9 k d W N 0 I G N h d G V n b 3 J 5 L D B 9 J n F 1 b 3 Q 7 L C Z x d W 9 0 O 1 N l Y 3 R p b 2 4 x L 2 F 2 Z y B i e S B w c m 9 k d W N 0 I H R 5 c G U v Q X B w Z W 5 k Z W Q g U X V l c n k u e 3 B y b 2 R 1 Y 3 Q g d H l w Z S w w f S Z x d W 9 0 O y w m c X V v d D t T Z W N 0 a W 9 u M S 9 h d m c g Y n k g c H J v Z H V j d C B 0 e X B l L 0 F w c G V u Z G V k I F F 1 Z X J 5 L n t m b 2 9 0 c H J p b n Q g d H l w Z S w x f S Z x d W 9 0 O y w m c X V v d D t T Z W N 0 a W 9 u M S 9 h d m c g Y n k g c H J v Z H V j d C B 0 e X B l L 0 F w c G V u Z G V k I F F 1 Z X J 5 L n t u d W 1 i Z X I g b 2 Y g c 3 R 1 Z G l l c y w y f S Z x d W 9 0 O y w m c X V v d D t T Z W N 0 a W 9 u M S 9 h d m c g Y n k g c H J v Z H V j d C B 0 e X B l L 0 F w c G V u Z G V k I F F 1 Z X J 5 L n t u d W 1 i Z X I g b 2 Y g b 2 J z Z X J 2 Y X R p b 2 5 z L D E z f S Z x d W 9 0 O y w m c X V v d D t T Z W N 0 a W 9 u M S 9 h d m c g Y n k g c H J v Z H V j d C B 0 e X B l L 0 F w c G V u Z G V k I F F 1 Z X J 5 L n t h d m c g Z m 9 v d H B y a W 5 0 I C 8 g a 2 c s M 3 0 m c X V v d D s s J n F 1 b 3 Q 7 U 2 V j d G l v b j E v Y X Z n I G J 5 I H B y b 2 R 1 Y 3 Q g d H l w Z S 9 B c H B l b m R l Z C B R d W V y e S 5 7 b W V k a W F u I G Z v b 3 R w c m l u d C A v I G t n L D R 9 J n F 1 b 3 Q 7 L C Z x d W 9 0 O 1 N l Y 3 R p b 2 4 x L 2 F 2 Z y B i e S B w c m 9 k d W N 0 I H R 5 c G U v Q X B w Z W 5 k Z W Q g U X V l c n k u e 2 x v d 2 V y I G Z v b 3 R w c m l u d C A v I G t n L D h 9 J n F 1 b 3 Q 7 L C Z x d W 9 0 O 1 N l Y 3 R p b 2 4 x L 2 F 2 Z y B i e S B w c m 9 k d W N 0 I H R 5 c G U v Q X B w Z W 5 k Z W Q g U X V l c n k u e 2 h p Z 2 h l c i B m b 2 9 0 c H J p b n Q g L y B r Z y w 5 f S Z x d W 9 0 O y w m c X V v d D t T Z W N 0 a W 9 u M S 9 h d m c g Y n k g c H J v Z H V j d C B 0 e X B l L 0 F w c G V u Z G V k I F F 1 Z X J 5 L n t y Y W 5 n Z S B k Z X N j c m l w d G l v b i w x M H 0 m c X V v d D s s J n F 1 b 3 Q 7 U 2 V j d G l v b j E v Y X Z n I G J 5 I H B y b 2 R 1 Y 3 Q g d H l w Z S 9 B c H B l b m R l Z C B R d W V y e S 5 7 Y X Z n I G Z v b 3 R w c m l u d C A v I D E w M C B n I H B y b 3 R l a W 4 s N X 0 m c X V v d D s s J n F 1 b 3 Q 7 U 2 V j d G l v b j E v Y X Z n I G J 5 I H B y b 2 R 1 Y 3 Q g d H l w Z S 9 B c H B l b m R l Z C B R d W V y e S 5 7 b W V k a W F u I G Z v b 3 R w c m l u d C A v I D E w M C B n I H B y b 3 R l a W 4 s N n 0 m c X V v d D s s J n F 1 b 3 Q 7 U 2 V j d G l v b j E v Y X Z n I G J 5 I H B y b 2 R 1 Y 3 Q g d H l w Z S 9 B c H B l b m R l Z C B R d W V y e S 5 7 b G 9 3 Z X I g Z m 9 v d H B y a W 5 0 I C 8 g M T A w I G c g c H J v d G V p b i w x M X 0 m c X V v d D s s J n F 1 b 3 Q 7 U 2 V j d G l v b j E v Y X Z n I G J 5 I H B y b 2 R 1 Y 3 Q g d H l w Z S 9 B c H B l b m R l Z C B R d W V y e S 5 7 a G l n a G V y I G Z v b 3 R w c m l u d C A v I D E w M C B n I H B y b 3 R l a W 4 s M T J 9 J n F 1 b 3 Q 7 L C Z x d W 9 0 O 1 N l Y 3 R p b 2 4 x L 2 F 2 Z y B i e S B w c m 9 k d W N 0 I H R 5 c G U v Q X B w Z W 5 k Z W Q g U X V l c n k u e 2 5 v d G U s M T R 9 J n F 1 b 3 Q 7 X S w m c X V v d D t S Z W x h d G l v b n N o a X B J b m Z v J n F 1 b 3 Q 7 O l t 7 J n F 1 b 3 Q 7 a 2 V 5 Q 2 9 s d W 1 u Q 2 9 1 b n Q m c X V v d D s 6 M S w m c X V v d D t r Z X l D b 2 x 1 b W 4 m c X V v d D s 6 M i w m c X V v d D t v d G h l c k t l e U N v b H V t b k l k Z W 5 0 a X R 5 J n F 1 b 3 Q 7 O i Z x d W 9 0 O 1 N l Y 3 R p b 2 4 x L 3 B y b 2 R 1 Y 3 Q g Y 2 F 0 Z W d v c m l l c y 9 D a G F u Z 2 V k I F R 5 c G U u e 3 B y b 2 R 1 Y 3 Q g d H l w Z S w x f S Z x d W 9 0 O y w m c X V v d D t L Z X l D b 2 x 1 b W 5 D b 3 V u d C Z x d W 9 0 O z o x f V 1 9 I i A v P j x F b n R y e S B U e X B l P S J B Z G R l Z F R v R G F 0 Y U 1 v Z G V s I i B W Y W x 1 Z T 0 i b D A i I C 8 + P C 9 T d G F i b G V F b n R y a W V z P j w v S X R l b T 4 8 S X R l b T 4 8 S X R l b U x v Y 2 F 0 a W 9 u P j x J d G V t V H l w Z T 5 G b 3 J t d W x h P C 9 J d G V t V H l w Z T 4 8 S X R l b V B h d G g + U 2 V j d G l v b j E v Y X Z n J T I w Y n k l M j B w c m 9 k d W N 0 J T I w d H l w Z S 9 T b 3 V y Y 2 U 8 L 0 l 0 Z W 1 Q Y X R o P j w v S X R l b U x v Y 2 F 0 a W 9 u P j x T d G F i b G V F b n R y a W V z I C 8 + P C 9 J d G V t P j x J d G V t P j x J d G V t T G 9 j Y X R p b 2 4 + P E l 0 Z W 1 U e X B l P k Z v c m 1 1 b G E 8 L 0 l 0 Z W 1 U e X B l P j x J d G V t U G F 0 a D 5 T Z W N 0 a W 9 u M S 9 h d m c l M j B i e S U y M H B y b 2 R 1 Y 3 Q l M j B 0 e X B l L 0 d y b 3 V w Z W Q l M j B S b 3 d z P C 9 J d G V t U G F 0 a D 4 8 L 0 l 0 Z W 1 M b 2 N h d G l v b j 4 8 U 3 R h Y m x l R W 5 0 c m l l c y A v P j w v S X R l b T 4 8 S X R l b T 4 8 S X R l b U x v Y 2 F 0 a W 9 u P j x J d G V t V H l w Z T 5 G b 3 J t d W x h P C 9 J d G V t V H l w Z T 4 8 S X R l b V B h d G g + U 2 V j d G l v b j E v Y X Z n J T I w Y n k l M j B w c m 9 k d W N 0 J T I w d H l w Z S 9 B Z G R l Z C U y M E N 1 c 3 R v b T w v S X R l b V B h d G g + P C 9 J d G V t T G 9 j Y X R p b 2 4 + P F N 0 Y W J s Z U V u d H J p Z X M g L z 4 8 L 0 l 0 Z W 0 + P E l 0 Z W 0 + P E l 0 Z W 1 M b 2 N h d G l v b j 4 8 S X R l b V R 5 c G U + R m 9 y b X V s Y T w v S X R l b V R 5 c G U + P E l 0 Z W 1 Q Y X R o P l N l Y 3 R p b 2 4 x L 2 F 2 Z y U y M G J 5 J T I w c H J v Z H V j d C U y M H R 5 c G U v T W V y Z 2 V k J T I w U X V l c m l l c z w v S X R l b V B h d G g + P C 9 J d G V t T G 9 j Y X R p b 2 4 + P F N 0 Y W J s Z U V u d H J p Z X M g L z 4 8 L 0 l 0 Z W 0 + P E l 0 Z W 0 + P E l 0 Z W 1 M b 2 N h d G l v b j 4 8 S X R l b V R 5 c G U + R m 9 y b X V s Y T w v S X R l b V R 5 c G U + P E l 0 Z W 1 Q Y X R o P l N l Y 3 R p b 2 4 x L 2 F 2 Z y U y M G J 5 J T I w c H J v Z H V j d C U y M H R 5 c G U v R X h w Y W 5 k Z W Q l M j B s b 3 d l c i U y Q y U y M G h p Z 2 h l c i U y M G J 5 J T I w c H J v Z H V j d C U y M H R 5 c G U 8 L 0 l 0 Z W 1 Q Y X R o P j w v S X R l b U x v Y 2 F 0 a W 9 u P j x T d G F i b G V F b n R y a W V z I C 8 + P C 9 J d G V t P j x J d G V t P j x J d G V t T G 9 j Y X R p b 2 4 + P E l 0 Z W 1 U e X B l P k Z v c m 1 1 b G E 8 L 0 l 0 Z W 1 U e X B l P j x J d G V t U G F 0 a D 5 T Z W N 0 a W 9 u M S 9 h d m c l M j B i e S U y M H B y b 2 R 1 Y 3 Q l M j B 0 e X B l L 0 F w c G V u Z G V k J T I w U X V l c n k 8 L 0 l 0 Z W 1 Q Y X R o P j w v S X R l b U x v Y 2 F 0 a W 9 u P j x T d G F i b G V F b n R y a W V z I C 8 + P C 9 J d G V t P j x J d G V t P j x J d G V t T G 9 j Y X R p b 2 4 + P E l 0 Z W 1 U e X B l P k Z v c m 1 1 b G E 8 L 0 l 0 Z W 1 U e X B l P j x J d G V t U G F 0 a D 5 T Z W N 0 a W 9 u M S 9 h d m c l M j B i e S U y M H B y b 2 R 1 Y 3 Q l M j B 0 e X B l L 1 J l b 3 J k Z X J l Z C U y M E N v b H V t b n M x P C 9 J d G V t U G F 0 a D 4 8 L 0 l 0 Z W 1 M b 2 N h d G l v b j 4 8 U 3 R h Y m x l R W 5 0 c m l l c y A v P j w v S X R l b T 4 8 S X R l b T 4 8 S X R l b U x v Y 2 F 0 a W 9 u P j x J d G V t V H l w Z T 5 G b 3 J t d W x h P C 9 J d G V t V H l w Z T 4 8 S X R l b V B h d G g + U 2 V j d G l v b j E v Y X Z n J T I w Y n k l M j B w c m 9 k d W N 0 J T I w d H l w Z S 9 T b 3 J 0 Z W Q l M j B S b 3 d z P C 9 J d G V t U G F 0 a D 4 8 L 0 l 0 Z W 1 M b 2 N h d G l v b j 4 8 U 3 R h Y m x l R W 5 0 c m l l c y A v P j w v S X R l b T 4 8 S X R l b T 4 8 S X R l b U x v Y 2 F 0 a W 9 u P j x J d G V t V H l w Z T 5 G b 3 J t d W x h P C 9 J d G V t V H l w Z T 4 8 S X R l b V B h d G g + U 2 V j d G l v b j E v c H J v Z H V j d C U y M G N h d G V n b 3 J p 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F N 0 Y X R 1 c y I g V m F s d W U 9 I n N D b 2 1 w b G V 0 Z S I g L z 4 8 R W 5 0 c n k g V H l w Z T 0 i R m l s b E x h c 3 R V c G R h d G V k I i B W Y W x 1 Z T 0 i Z D I w M j A t M D Q t M D d U M T U 6 N D Q 6 N T E u M T U x N D U 0 O F o i I C 8 + P E V u d H J 5 I F R 5 c G U 9 I k Z p b G x F c n J v c k N v Z G U i I F Z h b H V l P S J z V W 5 r b m 9 3 b i I g L z 4 8 R W 5 0 c n k g V H l w Z T 0 i Q W R k Z W R U b 0 R h d G F N b 2 R l b C I g V m F s d W U 9 I m w w I i A v P j w v U 3 R h Y m x l R W 5 0 c m l l c z 4 8 L 0 l 0 Z W 0 + P E l 0 Z W 0 + P E l 0 Z W 1 M b 2 N h d G l v b j 4 8 S X R l b V R 5 c G U + R m 9 y b X V s Y T w v S X R l b V R 5 c G U + P E l 0 Z W 1 Q Y X R o P l N l Y 3 R p b 2 4 x L 3 B y b 2 R 1 Y 3 Q l M j B j Y X R l Z 2 9 y a W V z L 1 N v d X J j Z T w v S X R l b V B h d G g + P C 9 J d G V t T G 9 j Y X R p b 2 4 + P F N 0 Y W J s Z U V u d H J p Z X M g L z 4 8 L 0 l 0 Z W 0 + P E l 0 Z W 0 + P E l 0 Z W 1 M b 2 N h d G l v b j 4 8 S X R l b V R 5 c G U + R m 9 y b X V s Y T w v S X R l b V R 5 c G U + P E l 0 Z W 1 Q Y X R o P l N l Y 3 R p b 2 4 x L 3 B y b 2 R 1 Y 3 Q l M j B j Y X R l Z 2 9 y a W V z L 0 N o Y W 5 n Z W Q l M j B U e X B l P C 9 J d G V t U G F 0 a D 4 8 L 0 l 0 Z W 1 M b 2 N h d G l v b j 4 8 U 3 R h Y m x l R W 5 0 c m l l c y A v P j w v S X R l b T 4 8 S X R l b T 4 8 S X R l b U x v Y 2 F 0 a W 9 u P j x J d G V t V H l w Z T 5 G b 3 J t d W x h P C 9 J d G V t V H l w Z T 4 8 S X R l b V B h d G g + U 2 V j d G l v b j E v d 3 R k J T I w Y X Z n J T I w Y n k l M j B z d H V k e S 9 S Z W 9 y Z G V y Z W Q l M j B D b 2 x 1 b W 5 z P C 9 J d G V t U G F 0 a D 4 8 L 0 l 0 Z W 1 M b 2 N h d G l v b j 4 8 U 3 R h Y m x l R W 5 0 c m l l c y A v P j w v S X R l b T 4 8 S X R l b T 4 8 S X R l b U x v Y 2 F 0 a W 9 u P j x J d G V t V H l w Z T 5 G b 3 J t d W x h P C 9 J d G V t V H l w Z T 4 8 S X R l b V B h d G g + U 2 V j d G l v b j E v Y X Z n J T I w Y n k l M j B w c m 9 k d W N 0 J T I w d H l w Z S 9 N Z X J n Z W Q l M j B R d W V y a W V z M T w v S X R l b V B h d G g + P C 9 J d G V t T G 9 j Y X R p b 2 4 + P F N 0 Y W J s Z U V u d H J p Z X M g L z 4 8 L 0 l 0 Z W 0 + P E l 0 Z W 0 + P E l 0 Z W 1 M b 2 N h d G l v b j 4 8 S X R l b V R 5 c G U + R m 9 y b X V s Y T w v S X R l b V R 5 c G U + P E l 0 Z W 1 Q Y X R o P l N l Y 3 R p b 2 4 x L 2 F 2 Z y U y M G J 5 J T I w c H J v Z H V j d C U y M H R 5 c G U v R X h w Y W 5 k Z W Q l M j B w c m 9 k d W N 0 J T I w Y 2 F 0 Z W d v c m l l c z w v S X R l b V B h d G g + P C 9 J d G V t T G 9 j Y X R p b 2 4 + P F N 0 Y W J s Z U V u d H J p Z X M g L z 4 8 L 0 l 0 Z W 0 + P E l 0 Z W 0 + P E l 0 Z W 1 M b 2 N h d G l v b j 4 8 S X R l b V R 5 c G U + R m 9 y b X V s Y T w v S X R l b V R 5 c G U + P E l 0 Z W 1 Q Y X R o P l N l Y 3 R p b 2 4 x L 2 x v d 2 V y J T J D J T I w a G l n a G V y J T I w Y n k l M j B w c m 9 k d W N 0 J T I w d H l w Z S 9 J b n N l c n R l Z C U y M E 1 p b m l t d W 0 8 L 0 l 0 Z W 1 Q Y X R o P j w v S X R l b U x v Y 2 F 0 a W 9 u P j x T d G F i b G V F b n R y a W V z I C 8 + P C 9 J d G V t P j x J d G V t P j x J d G V t T G 9 j Y X R p b 2 4 + P E l 0 Z W 1 U e X B l P k Z v c m 1 1 b G E 8 L 0 l 0 Z W 1 U e X B l P j x J d G V t U G F 0 a D 5 T Z W N 0 a W 9 u M S 9 s b 3 d l c i U y Q y U y M G h p Z 2 h l c i U y M G J 5 J T I w c H J v Z H V j d C U y M H R 5 c G U v S W 5 z Z X J 0 Z W Q l M j B N Y X h p b X V t P C 9 J d G V t U G F 0 a D 4 8 L 0 l 0 Z W 1 M b 2 N h d G l v b j 4 8 U 3 R h Y m x l R W 5 0 c m l l c y A v P j w v S X R l b T 4 8 S X R l b T 4 8 S X R l b U x v Y 2 F 0 a W 9 u P j x J d G V t V H l w Z T 5 G b 3 J t d W x h P C 9 J d G V t V H l w Z T 4 8 S X R l b V B h d G g + U 2 V j d G l v b j E v b G 9 3 Z X I l M k M l M j B o a W d o Z X I l M j B i e S U y M H B y b 2 R 1 Y 3 Q l M j B 0 e X B l L 0 l u c 2 V y d G V k J T I w T W l u a W 1 1 b T E 8 L 0 l 0 Z W 1 Q Y X R o P j w v S X R l b U x v Y 2 F 0 a W 9 u P j x T d G F i b G V F b n R y a W V z I C 8 + P C 9 J d G V t P j x J d G V t P j x J d G V t T G 9 j Y X R p b 2 4 + P E l 0 Z W 1 U e X B l P k Z v c m 1 1 b G E 8 L 0 l 0 Z W 1 U e X B l P j x J d G V t U G F 0 a D 5 T Z W N 0 a W 9 u M S 9 s b 3 d l c i U y Q y U y M G h p Z 2 h l c i U y M G J 5 J T I w c H J v Z H V j d C U y M H R 5 c G U v S W 5 z Z X J 0 Z W Q l M j B N Y X h p b X V t M T w v S X R l b V B h d G g + P C 9 J d G V t T G 9 j Y X R p b 2 4 + P F N 0 Y W J s Z U V u d H J p Z X M g L z 4 8 L 0 l 0 Z W 0 + P E l 0 Z W 0 + P E l 0 Z W 1 M b 2 N h d G l v b j 4 8 S X R l b V R 5 c G U + R m 9 y b X V s Y T w v S X R l b V R 5 c G U + P E l 0 Z W 1 Q Y X R o P l N l Y 3 R p b 2 4 x L 2 x v d 2 V y J T J D J T I w a G l n a G V y J T I w Y n k l M j B w c m 9 k d W N 0 J T I w d H l w Z S 9 B Z G R l Z C U y M E N 1 c 3 R v b T w v S X R l b V B h d G g + P C 9 J d G V t T G 9 j Y X R p b 2 4 + P F N 0 Y W J s Z U V u d H J p Z X M g L z 4 8 L 0 l 0 Z W 0 + P E l 0 Z W 0 + P E l 0 Z W 1 M b 2 N h d G l v b j 4 8 S X R l b V R 5 c G U + R m 9 y b X V s Y T w v S X R l b V R 5 c G U + P E l 0 Z W 1 Q Y X R o P l N l Y 3 R p b 2 4 x L 2 F n Z 3 J l Z 2 F 0 Z W Q l M j B m b 2 9 0 c H J p b n R 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Q W R k Z W R U b 0 R h d G F N b 2 R l b C I g V m F s d W U 9 I m w w I i A v P j x F b n R y e S B U e X B l P S J G a W x s T G F z d F V w Z G F 0 Z W Q i I F Z h b H V l P S J k M j A y M C 0 w N C 0 w O V Q x N j o 0 M T o w M y 4 x N T Y 2 N D I z W i I g L z 4 8 R W 5 0 c n k g V H l w Z T 0 i R m l s b F N 0 Y X R 1 c y I g V m F s d W U 9 I n N D b 2 1 w b G V 0 Z S I g L z 4 8 L 1 N 0 Y W J s Z U V u d H J p Z X M + P C 9 J d G V t P j x J d G V t P j x J d G V t T G 9 j Y X R p b 2 4 + P E l 0 Z W 1 U e X B l P k Z v c m 1 1 b G E 8 L 0 l 0 Z W 1 U e X B l P j x J d G V t U G F 0 a D 5 T Z W N 0 a W 9 u M S 9 h Z 2 d y Z W d h d G V k J T I w Z m 9 v d H B y a W 5 0 c y 9 T b 3 V y Y 2 U 8 L 0 l 0 Z W 1 Q Y X R o P j w v S X R l b U x v Y 2 F 0 a W 9 u P j x T d G F i b G V F b n R y a W V z I C 8 + P C 9 J d G V t P j x J d G V t P j x J d G V t T G 9 j Y X R p b 2 4 + P E l 0 Z W 1 U e X B l P k Z v c m 1 1 b G E 8 L 0 l 0 Z W 1 U e X B l P j x J d G V t U G F 0 a D 5 T Z W N 0 a W 9 u M S 9 h Z 2 d y Z W d h d G V k J T I w Z m 9 v d H B y a W 5 0 c y 9 D a G F u Z 2 V k J T I w V H l w Z T w v S X R l b V B h d G g + P C 9 J d G V t T G 9 j Y X R p b 2 4 + P F N 0 Y W J s Z U V u d H J p Z X M g L z 4 8 L 0 l 0 Z W 0 + P C 9 J d G V t c z 4 8 L 0 x v Y 2 F s U G F j a 2 F n Z U 1 l d G F k Y X R h R m l s Z T 4 W A A A A U E s F B g A A A A A A A A A A A A A A A A A A A A A A A N o A A A A B A A A A 0 I y d 3 w E V 0 R G M e g D A T 8 K X 6 w E A A A B G v M 2 s 9 0 a l Q q O D j a L x l N 3 t A A A A A A I A A A A A A A N m A A D A A A A A E A A A A I t R / m F P 2 G d q i a S T s 1 y n e 7 k A A A A A B I A A A K A A A A A Q A A A A r r q E M I o Z K a Y d W p v X 1 Y B I z 1 A A A A D e P X S a e P s + L 8 s P f O M P P Q I u u z 8 7 e U / e O A T g i + G V z 1 F W l 1 C W C a 2 t V O r g 1 j a M f M d 0 s 2 V / q h V 4 N 1 S W O Q c Q v 4 t n J L T w K P e f u K E q E B 9 P d o w y j + y z 0 x Q A A A A M w X 5 N E Q M N C L p z L / 9 + B w 9 n j / k 5 F Q = = < / D a t a M a s h u p > 
</file>

<file path=customXml/itemProps1.xml><?xml version="1.0" encoding="utf-8"?>
<ds:datastoreItem xmlns:ds="http://schemas.openxmlformats.org/officeDocument/2006/customXml" ds:itemID="{6F197EED-2651-4B55-92BF-D6990D5CA7A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vt:lpstr>
      <vt:lpstr>study details</vt:lpstr>
      <vt:lpstr>product footprints</vt:lpstr>
      <vt:lpstr>wtd avg by study</vt:lpstr>
      <vt:lpstr>product categories</vt:lpstr>
      <vt:lpstr>aggregated footprints</vt:lpstr>
      <vt:lpstr>avg by product 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Reviewer 1</cp:lastModifiedBy>
  <dcterms:created xsi:type="dcterms:W3CDTF">2019-11-27T19:46:26Z</dcterms:created>
  <dcterms:modified xsi:type="dcterms:W3CDTF">2020-06-02T21:11:42Z</dcterms:modified>
</cp:coreProperties>
</file>