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liabain/Desktop/FINAL FIGURES/"/>
    </mc:Choice>
  </mc:AlternateContent>
  <xr:revisionPtr revIDLastSave="0" documentId="13_ncr:1_{CA88E1C4-BA33-5840-B513-3FD5DC8287E6}" xr6:coauthVersionLast="45" xr6:coauthVersionMax="45" xr10:uidLastSave="{00000000-0000-0000-0000-000000000000}"/>
  <bookViews>
    <workbookView xWindow="80" yWindow="460" windowWidth="25520" windowHeight="14240" xr2:uid="{AB5F2664-0B92-B24B-860D-22B17BBBD1B8}"/>
  </bookViews>
  <sheets>
    <sheet name="Summary results" sheetId="1" r:id="rId1"/>
    <sheet name="Microlite batch variability" sheetId="2" r:id="rId2"/>
    <sheet name="Phenocryst abundance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8" i="1"/>
  <c r="D37" i="1"/>
  <c r="D36" i="1"/>
  <c r="D32" i="1"/>
  <c r="D31" i="1"/>
  <c r="D30" i="1"/>
  <c r="D29" i="1"/>
  <c r="D28" i="1"/>
  <c r="D27" i="1"/>
  <c r="D26" i="1"/>
  <c r="D25" i="1"/>
  <c r="D42" i="3"/>
  <c r="F42" i="3"/>
  <c r="L42" i="3"/>
  <c r="J42" i="3"/>
  <c r="M42" i="3"/>
  <c r="N42" i="3"/>
  <c r="G54" i="3"/>
  <c r="E54" i="3"/>
  <c r="F54" i="3"/>
  <c r="H54" i="3"/>
  <c r="I54" i="3"/>
  <c r="C77" i="3"/>
  <c r="D18" i="3"/>
  <c r="F18" i="3"/>
  <c r="L18" i="3"/>
  <c r="J18" i="3"/>
  <c r="M18" i="3"/>
  <c r="N18" i="3"/>
  <c r="G30" i="3"/>
  <c r="E30" i="3"/>
  <c r="F30" i="3"/>
  <c r="H30" i="3"/>
  <c r="I30" i="3"/>
  <c r="B77" i="3"/>
  <c r="D41" i="3"/>
  <c r="F41" i="3"/>
  <c r="L41" i="3"/>
  <c r="J41" i="3"/>
  <c r="M41" i="3"/>
  <c r="N41" i="3"/>
  <c r="G53" i="3"/>
  <c r="E53" i="3"/>
  <c r="F53" i="3"/>
  <c r="H53" i="3"/>
  <c r="I53" i="3"/>
  <c r="C76" i="3"/>
  <c r="D17" i="3"/>
  <c r="F17" i="3"/>
  <c r="L17" i="3"/>
  <c r="J17" i="3"/>
  <c r="M17" i="3"/>
  <c r="N17" i="3"/>
  <c r="G29" i="3"/>
  <c r="E29" i="3"/>
  <c r="F29" i="3"/>
  <c r="H29" i="3"/>
  <c r="I29" i="3"/>
  <c r="B76" i="3"/>
  <c r="D40" i="3"/>
  <c r="F40" i="3"/>
  <c r="L40" i="3"/>
  <c r="J40" i="3"/>
  <c r="M40" i="3"/>
  <c r="N40" i="3"/>
  <c r="G52" i="3"/>
  <c r="E52" i="3"/>
  <c r="F52" i="3"/>
  <c r="H52" i="3"/>
  <c r="I52" i="3"/>
  <c r="C75" i="3"/>
  <c r="D16" i="3"/>
  <c r="F16" i="3"/>
  <c r="L16" i="3"/>
  <c r="J16" i="3"/>
  <c r="M16" i="3"/>
  <c r="N16" i="3"/>
  <c r="G28" i="3"/>
  <c r="E28" i="3"/>
  <c r="F28" i="3"/>
  <c r="H28" i="3"/>
  <c r="I28" i="3"/>
  <c r="B75" i="3"/>
  <c r="D39" i="3"/>
  <c r="F39" i="3"/>
  <c r="L39" i="3"/>
  <c r="J39" i="3"/>
  <c r="M39" i="3"/>
  <c r="N39" i="3"/>
  <c r="G51" i="3"/>
  <c r="E51" i="3"/>
  <c r="F51" i="3"/>
  <c r="H51" i="3"/>
  <c r="I51" i="3"/>
  <c r="C74" i="3"/>
  <c r="D15" i="3"/>
  <c r="F15" i="3"/>
  <c r="L15" i="3"/>
  <c r="J15" i="3"/>
  <c r="M15" i="3"/>
  <c r="N15" i="3"/>
  <c r="G27" i="3"/>
  <c r="E27" i="3"/>
  <c r="F27" i="3"/>
  <c r="H27" i="3"/>
  <c r="I27" i="3"/>
  <c r="B74" i="3"/>
  <c r="D38" i="3"/>
  <c r="F38" i="3"/>
  <c r="L38" i="3"/>
  <c r="J38" i="3"/>
  <c r="M38" i="3"/>
  <c r="N38" i="3"/>
  <c r="G50" i="3"/>
  <c r="E50" i="3"/>
  <c r="F50" i="3"/>
  <c r="H50" i="3"/>
  <c r="I50" i="3"/>
  <c r="C73" i="3"/>
  <c r="D14" i="3"/>
  <c r="F14" i="3"/>
  <c r="L14" i="3"/>
  <c r="J14" i="3"/>
  <c r="M14" i="3"/>
  <c r="N14" i="3"/>
  <c r="G26" i="3"/>
  <c r="E26" i="3"/>
  <c r="F26" i="3"/>
  <c r="H26" i="3"/>
  <c r="I26" i="3"/>
  <c r="B73" i="3"/>
  <c r="C37" i="3"/>
  <c r="D37" i="3"/>
  <c r="F37" i="3"/>
  <c r="L37" i="3"/>
  <c r="J37" i="3"/>
  <c r="M37" i="3"/>
  <c r="N37" i="3"/>
  <c r="D49" i="3"/>
  <c r="G49" i="3"/>
  <c r="E49" i="3"/>
  <c r="F49" i="3"/>
  <c r="H49" i="3"/>
  <c r="I49" i="3"/>
  <c r="C72" i="3"/>
  <c r="D13" i="3"/>
  <c r="F13" i="3"/>
  <c r="L13" i="3"/>
  <c r="J13" i="3"/>
  <c r="M13" i="3"/>
  <c r="N13" i="3"/>
  <c r="G25" i="3"/>
  <c r="E25" i="3"/>
  <c r="F25" i="3"/>
  <c r="H25" i="3"/>
  <c r="I25" i="3"/>
  <c r="B72" i="3"/>
  <c r="C36" i="3"/>
  <c r="D36" i="3"/>
  <c r="F36" i="3"/>
  <c r="L36" i="3"/>
  <c r="J36" i="3"/>
  <c r="M36" i="3"/>
  <c r="N36" i="3"/>
  <c r="D48" i="3"/>
  <c r="G48" i="3"/>
  <c r="E48" i="3"/>
  <c r="F48" i="3"/>
  <c r="H48" i="3"/>
  <c r="I48" i="3"/>
  <c r="C71" i="3"/>
  <c r="C12" i="3"/>
  <c r="D12" i="3"/>
  <c r="F12" i="3"/>
  <c r="L12" i="3"/>
  <c r="J12" i="3"/>
  <c r="M12" i="3"/>
  <c r="N12" i="3"/>
  <c r="D24" i="3"/>
  <c r="G24" i="3"/>
  <c r="E24" i="3"/>
  <c r="F24" i="3"/>
  <c r="H24" i="3"/>
  <c r="I24" i="3"/>
  <c r="B71" i="3"/>
  <c r="D35" i="3"/>
  <c r="F35" i="3"/>
  <c r="L35" i="3"/>
  <c r="J35" i="3"/>
  <c r="M35" i="3"/>
  <c r="N35" i="3"/>
  <c r="G47" i="3"/>
  <c r="E47" i="3"/>
  <c r="F47" i="3"/>
  <c r="H47" i="3"/>
  <c r="I47" i="3"/>
  <c r="C70" i="3"/>
  <c r="D11" i="3"/>
  <c r="F11" i="3"/>
  <c r="L11" i="3"/>
  <c r="J11" i="3"/>
  <c r="M11" i="3"/>
  <c r="N11" i="3"/>
  <c r="G23" i="3"/>
  <c r="E23" i="3"/>
  <c r="F23" i="3"/>
  <c r="H23" i="3"/>
  <c r="I23" i="3"/>
  <c r="B70" i="3"/>
  <c r="H67" i="3"/>
  <c r="H78" i="3"/>
  <c r="H66" i="3"/>
  <c r="H77" i="3"/>
  <c r="H65" i="3"/>
  <c r="H76" i="3"/>
  <c r="H64" i="3"/>
  <c r="H75" i="3"/>
  <c r="H63" i="3"/>
  <c r="H74" i="3"/>
  <c r="H62" i="3"/>
  <c r="H73" i="3"/>
  <c r="H61" i="3"/>
  <c r="H72" i="3"/>
  <c r="H60" i="3"/>
  <c r="H71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H42" i="3"/>
  <c r="K42" i="3"/>
  <c r="G42" i="3"/>
  <c r="H41" i="3"/>
  <c r="K41" i="3"/>
  <c r="G41" i="3"/>
  <c r="H40" i="3"/>
  <c r="K40" i="3"/>
  <c r="G40" i="3"/>
  <c r="H39" i="3"/>
  <c r="K39" i="3"/>
  <c r="G39" i="3"/>
  <c r="H38" i="3"/>
  <c r="K38" i="3"/>
  <c r="G38" i="3"/>
  <c r="H37" i="3"/>
  <c r="K37" i="3"/>
  <c r="G37" i="3"/>
  <c r="H36" i="3"/>
  <c r="K36" i="3"/>
  <c r="G36" i="3"/>
  <c r="H35" i="3"/>
  <c r="K35" i="3"/>
  <c r="G35" i="3"/>
  <c r="H18" i="3"/>
  <c r="K18" i="3"/>
  <c r="G18" i="3"/>
  <c r="H17" i="3"/>
  <c r="K17" i="3"/>
  <c r="G17" i="3"/>
  <c r="H16" i="3"/>
  <c r="K16" i="3"/>
  <c r="G16" i="3"/>
  <c r="H15" i="3"/>
  <c r="K15" i="3"/>
  <c r="G15" i="3"/>
  <c r="H14" i="3"/>
  <c r="K14" i="3"/>
  <c r="G14" i="3"/>
  <c r="H13" i="3"/>
  <c r="K13" i="3"/>
  <c r="G13" i="3"/>
  <c r="H12" i="3"/>
  <c r="K12" i="3"/>
  <c r="G12" i="3"/>
  <c r="H11" i="3"/>
  <c r="K11" i="3"/>
  <c r="G11" i="3"/>
  <c r="J47" i="2"/>
  <c r="H47" i="2"/>
  <c r="I47" i="2"/>
  <c r="J46" i="2"/>
  <c r="H46" i="2"/>
  <c r="I46" i="2"/>
  <c r="J45" i="2"/>
  <c r="H45" i="2"/>
  <c r="I45" i="2"/>
  <c r="J44" i="2"/>
  <c r="H44" i="2"/>
  <c r="I44" i="2"/>
  <c r="J43" i="2"/>
  <c r="H43" i="2"/>
  <c r="I43" i="2"/>
  <c r="J42" i="2"/>
  <c r="H42" i="2"/>
  <c r="I42" i="2"/>
  <c r="J41" i="2"/>
  <c r="H41" i="2"/>
  <c r="I41" i="2"/>
  <c r="J40" i="2"/>
  <c r="H40" i="2"/>
  <c r="I40" i="2"/>
  <c r="J37" i="2"/>
  <c r="H37" i="2"/>
  <c r="I37" i="2"/>
  <c r="J36" i="2"/>
  <c r="H36" i="2"/>
  <c r="I36" i="2"/>
  <c r="J35" i="2"/>
  <c r="H35" i="2"/>
  <c r="I35" i="2"/>
  <c r="J34" i="2"/>
  <c r="H34" i="2"/>
  <c r="I34" i="2"/>
  <c r="J33" i="2"/>
  <c r="H33" i="2"/>
  <c r="I33" i="2"/>
  <c r="J32" i="2"/>
  <c r="H32" i="2"/>
  <c r="I32" i="2"/>
  <c r="J31" i="2"/>
  <c r="H31" i="2"/>
  <c r="I31" i="2"/>
  <c r="J30" i="2"/>
  <c r="H30" i="2"/>
  <c r="I30" i="2"/>
  <c r="J27" i="2"/>
  <c r="H27" i="2"/>
  <c r="I27" i="2"/>
  <c r="J26" i="2"/>
  <c r="H26" i="2"/>
  <c r="I26" i="2"/>
  <c r="J25" i="2"/>
  <c r="H25" i="2"/>
  <c r="I25" i="2"/>
  <c r="J24" i="2"/>
  <c r="H24" i="2"/>
  <c r="I24" i="2"/>
  <c r="J23" i="2"/>
  <c r="H23" i="2"/>
  <c r="I23" i="2"/>
  <c r="J22" i="2"/>
  <c r="H22" i="2"/>
  <c r="I22" i="2"/>
  <c r="J21" i="2"/>
  <c r="H21" i="2"/>
  <c r="I21" i="2"/>
  <c r="J20" i="2"/>
  <c r="H20" i="2"/>
  <c r="I20" i="2"/>
  <c r="O17" i="2"/>
  <c r="J17" i="2"/>
  <c r="N17" i="2"/>
  <c r="H17" i="2"/>
  <c r="I17" i="2"/>
  <c r="M17" i="2"/>
  <c r="O16" i="2"/>
  <c r="J16" i="2"/>
  <c r="N16" i="2"/>
  <c r="H16" i="2"/>
  <c r="I16" i="2"/>
  <c r="M16" i="2"/>
  <c r="O15" i="2"/>
  <c r="J15" i="2"/>
  <c r="N15" i="2"/>
  <c r="H15" i="2"/>
  <c r="I15" i="2"/>
  <c r="M15" i="2"/>
  <c r="O14" i="2"/>
  <c r="J14" i="2"/>
  <c r="N14" i="2"/>
  <c r="H14" i="2"/>
  <c r="I14" i="2"/>
  <c r="M14" i="2"/>
  <c r="O13" i="2"/>
  <c r="J13" i="2"/>
  <c r="N13" i="2"/>
  <c r="H13" i="2"/>
  <c r="I13" i="2"/>
  <c r="M13" i="2"/>
  <c r="O12" i="2"/>
  <c r="J12" i="2"/>
  <c r="N12" i="2"/>
  <c r="H12" i="2"/>
  <c r="I12" i="2"/>
  <c r="M12" i="2"/>
  <c r="O11" i="2"/>
  <c r="J11" i="2"/>
  <c r="N11" i="2"/>
  <c r="H11" i="2"/>
  <c r="I11" i="2"/>
  <c r="M11" i="2"/>
  <c r="O10" i="2"/>
  <c r="J10" i="2"/>
  <c r="N10" i="2"/>
  <c r="H10" i="2"/>
  <c r="I10" i="2"/>
  <c r="M10" i="2"/>
</calcChain>
</file>

<file path=xl/sharedStrings.xml><?xml version="1.0" encoding="utf-8"?>
<sst xmlns="http://schemas.openxmlformats.org/spreadsheetml/2006/main" count="340" uniqueCount="113">
  <si>
    <t>A. A. Bain, J. E. Kendrick, A. Lamur, Y. Lavallée, E. S. Calder, J. A. Cortés, G. P. Cortés, D. Gomez Martinez, R. A Torres</t>
  </si>
  <si>
    <t>Sample</t>
  </si>
  <si>
    <t>S</t>
  </si>
  <si>
    <t>I</t>
  </si>
  <si>
    <t>L</t>
  </si>
  <si>
    <t>S/L</t>
  </si>
  <si>
    <t>GAL4</t>
  </si>
  <si>
    <t>GAL5</t>
  </si>
  <si>
    <t>GAL6</t>
  </si>
  <si>
    <t>GAL7</t>
  </si>
  <si>
    <t>GAL8</t>
  </si>
  <si>
    <t>GAL14</t>
  </si>
  <si>
    <t>GAL16</t>
  </si>
  <si>
    <t>GAL18</t>
  </si>
  <si>
    <t>Area analysed (mm2)</t>
  </si>
  <si>
    <t>No. crystals analysed</t>
  </si>
  <si>
    <t>Vesicles+Microcracks area %</t>
  </si>
  <si>
    <t>Glass area%</t>
  </si>
  <si>
    <t>Feldspar area %</t>
  </si>
  <si>
    <t>Reference area AR (mm2)</t>
  </si>
  <si>
    <t>Plagioclase microlites</t>
  </si>
  <si>
    <t>Phenocrysts</t>
  </si>
  <si>
    <t>Smallest crystal measured (micron)</t>
  </si>
  <si>
    <t>Klein* relative viscosity</t>
  </si>
  <si>
    <t>Klein* Polydispersity</t>
  </si>
  <si>
    <t>Klein* mean aspect ratio</t>
  </si>
  <si>
    <t>Klein* max. packing fraction</t>
  </si>
  <si>
    <t>*Klein, J., Mueller, S.P., Helo, C., Schweitzer, S., Gurioli, L. and Castro, J.M., 2018. An expanded model and application of the combined effect of crystal-size distribution and crystal shape on the relative viscosity of magmas. Journal of Volcanology and Geothermal Research, 357, pp.128-133.</t>
  </si>
  <si>
    <t>Fe-Ti Oxides area %</t>
  </si>
  <si>
    <t>Groundmass area %</t>
  </si>
  <si>
    <t>Vesicles area %</t>
  </si>
  <si>
    <t>Phenocrysts area %</t>
  </si>
  <si>
    <t>Micro-textural controls on magma rheology and vulcanian explosion cyclicity</t>
  </si>
  <si>
    <t>Supplementary File C: Textural results</t>
  </si>
  <si>
    <t>Analysed area (mm^2)</t>
  </si>
  <si>
    <t>Number of crystals not touching edge</t>
  </si>
  <si>
    <t>Vesicles + microcracks area %</t>
  </si>
  <si>
    <t>Glass area %</t>
  </si>
  <si>
    <t>Reference area AR (mm^2)</t>
  </si>
  <si>
    <t>Mean crystal area (um2)</t>
  </si>
  <si>
    <t>Notes</t>
  </si>
  <si>
    <t>Std Dev Phi</t>
  </si>
  <si>
    <t>RH half</t>
  </si>
  <si>
    <t>LH half</t>
  </si>
  <si>
    <t>Top half</t>
  </si>
  <si>
    <t>Bottom half</t>
  </si>
  <si>
    <t>Crystallinity Phi</t>
  </si>
  <si>
    <t>Std Dev MCA (um2)</t>
  </si>
  <si>
    <t>Mean crystal area (micron2)*</t>
  </si>
  <si>
    <t>Phi*</t>
  </si>
  <si>
    <t>*Standard deviation in brackets was calculated by dividing the stitched groundmass image into four halves (right, left, top, bottom) and performing image analysis on each half</t>
  </si>
  <si>
    <r>
      <t>**R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value from CSDslice (Morgan and Jerram, 2006)</t>
    </r>
  </si>
  <si>
    <t>3814 (199)</t>
  </si>
  <si>
    <t>8188 (252)</t>
  </si>
  <si>
    <t>4030 (231)</t>
  </si>
  <si>
    <t>3724 (224)</t>
  </si>
  <si>
    <t>4550 (265)</t>
  </si>
  <si>
    <t>4243 (434)</t>
  </si>
  <si>
    <t>4246 (304)</t>
  </si>
  <si>
    <t>6511 (337)</t>
  </si>
  <si>
    <t>93 (9)</t>
  </si>
  <si>
    <t>44 (5)</t>
  </si>
  <si>
    <t>70 (1)</t>
  </si>
  <si>
    <t>76 (14)</t>
  </si>
  <si>
    <t>48 (7)</t>
  </si>
  <si>
    <t>50 (7)</t>
  </si>
  <si>
    <t>60 (5)</t>
  </si>
  <si>
    <t>62 (6)</t>
  </si>
  <si>
    <t>0.474 (0.034)</t>
  </si>
  <si>
    <t>0.472 (0.029)</t>
  </si>
  <si>
    <t>0.443 (0.031)</t>
  </si>
  <si>
    <t>0.356 (0.025)</t>
  </si>
  <si>
    <t>0.296 (0.043)</t>
  </si>
  <si>
    <t>0.293 (0.020)</t>
  </si>
  <si>
    <t>0.349 (0.029)</t>
  </si>
  <si>
    <t>0.478 (0.030)</t>
  </si>
  <si>
    <t>Plagioclase microlite batch variability</t>
  </si>
  <si>
    <t>Standard deviation was calculated by dividing the stitched groundmass image into four halves (right, left, top, bottom) and performing image analysis on each half</t>
  </si>
  <si>
    <t>Phenocryst estimation</t>
  </si>
  <si>
    <t>Method 1 on larger areas</t>
  </si>
  <si>
    <t>Total mm2</t>
  </si>
  <si>
    <t>Method 2 on larger areas</t>
  </si>
  <si>
    <t>Method 1 on smaller areas</t>
  </si>
  <si>
    <t>Method 2 on smaller areas</t>
  </si>
  <si>
    <t>Vesicles mm2</t>
  </si>
  <si>
    <t>Groundmass mm2</t>
  </si>
  <si>
    <t>Mean of Method 2</t>
  </si>
  <si>
    <t>Mean of Method 1</t>
  </si>
  <si>
    <t>Mean</t>
  </si>
  <si>
    <t>Evaluation of the two methods</t>
  </si>
  <si>
    <t>Larger area</t>
  </si>
  <si>
    <t>Smaller area</t>
  </si>
  <si>
    <t>Plag+Px area %</t>
  </si>
  <si>
    <t>Fe-Ti Ox mm2</t>
  </si>
  <si>
    <t>Plag+Px mm2</t>
  </si>
  <si>
    <t>All phenocrysts mm2</t>
  </si>
  <si>
    <t>Analysed area minus vesicles (mm2)</t>
  </si>
  <si>
    <t>Phenocrysts on vesicle free basis (area %)</t>
  </si>
  <si>
    <t>Analysed area % without vesicles</t>
  </si>
  <si>
    <t>Method 1 large/small difference (%)</t>
  </si>
  <si>
    <t>Method 2 large/small difference (%)</t>
  </si>
  <si>
    <t>Large area difference between methods (%)</t>
  </si>
  <si>
    <t>Small area difference between methods (%)</t>
  </si>
  <si>
    <t>Larger area (%)</t>
  </si>
  <si>
    <t>Smaller area (%)</t>
  </si>
  <si>
    <t>Mean (%)</t>
  </si>
  <si>
    <r>
      <t>R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for </t>
    </r>
    <r>
      <rPr>
        <i/>
        <sz val="12"/>
        <color theme="1"/>
        <rFont val="Arial"/>
        <family val="2"/>
      </rPr>
      <t>S:I:L</t>
    </r>
  </si>
  <si>
    <r>
      <rPr>
        <i/>
        <sz val="12"/>
        <color theme="1"/>
        <rFont val="Arial"/>
        <family val="2"/>
      </rPr>
      <t>N</t>
    </r>
    <r>
      <rPr>
        <i/>
        <vertAlign val="subscript"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 xml:space="preserve"> (mm-2)*</t>
    </r>
  </si>
  <si>
    <r>
      <rPr>
        <i/>
        <sz val="12"/>
        <color theme="1"/>
        <rFont val="Arial"/>
        <family val="2"/>
      </rPr>
      <t>N</t>
    </r>
    <r>
      <rPr>
        <i/>
        <vertAlign val="subscript"/>
        <sz val="12"/>
        <color theme="1"/>
        <rFont val="Arial"/>
        <family val="2"/>
      </rPr>
      <t>v</t>
    </r>
    <r>
      <rPr>
        <sz val="12"/>
        <color theme="1"/>
        <rFont val="Arial"/>
        <family val="2"/>
      </rPr>
      <t xml:space="preserve"> (mm-3)</t>
    </r>
  </si>
  <si>
    <r>
      <rPr>
        <i/>
        <sz val="12"/>
        <color theme="1"/>
        <rFont val="Arial"/>
        <family val="2"/>
      </rPr>
      <t>L</t>
    </r>
    <r>
      <rPr>
        <i/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(micron)</t>
    </r>
  </si>
  <si>
    <r>
      <t xml:space="preserve">Crystal number density </t>
    </r>
    <r>
      <rPr>
        <b/>
        <i/>
        <sz val="11"/>
        <color theme="1"/>
        <rFont val="Arial"/>
        <family val="2"/>
      </rPr>
      <t>N</t>
    </r>
    <r>
      <rPr>
        <b/>
        <i/>
        <vertAlign val="subscript"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(mm^-2)</t>
    </r>
  </si>
  <si>
    <r>
      <t xml:space="preserve">Std Dev </t>
    </r>
    <r>
      <rPr>
        <b/>
        <i/>
        <sz val="11"/>
        <color theme="1"/>
        <rFont val="Arial"/>
        <family val="2"/>
      </rPr>
      <t>N</t>
    </r>
    <r>
      <rPr>
        <b/>
        <i/>
        <vertAlign val="subscript"/>
        <sz val="11"/>
        <color theme="1"/>
        <rFont val="Arial"/>
        <family val="2"/>
      </rPr>
      <t>A</t>
    </r>
    <r>
      <rPr>
        <b/>
        <sz val="11"/>
        <color theme="1"/>
        <rFont val="Arial"/>
        <family val="2"/>
      </rPr>
      <t xml:space="preserve"> (mm^-2)</t>
    </r>
  </si>
  <si>
    <r>
      <t>ln(</t>
    </r>
    <r>
      <rPr>
        <i/>
        <sz val="12"/>
        <color theme="1"/>
        <rFont val="Arial"/>
        <family val="2"/>
      </rPr>
      <t>n</t>
    </r>
    <r>
      <rPr>
        <i/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 xml:space="preserve"> (mm-4))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</si>
</sst>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2"/>
      <color theme="1"/>
      <name val="Arial"/>
      <family val="2"/>
    </font>
    <font>
      <i/>
      <u/>
      <sz val="12"/>
      <color theme="1"/>
      <name val="Arial"/>
      <family val="2"/>
    </font>
    <font>
      <i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/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/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98C4-E045-5A47-A24D-0141CC719EDA}">
  <dimension ref="A1:Y45"/>
  <sheetViews>
    <sheetView tabSelected="1" workbookViewId="0">
      <selection activeCell="D1" sqref="D1"/>
    </sheetView>
  </sheetViews>
  <sheetFormatPr baseColWidth="10" defaultRowHeight="16" x14ac:dyDescent="0.2"/>
  <cols>
    <col min="1" max="1" width="10.6640625" customWidth="1"/>
    <col min="2" max="2" width="20.83203125" bestFit="1" customWidth="1"/>
    <col min="3" max="3" width="20.6640625" bestFit="1" customWidth="1"/>
    <col min="4" max="4" width="28.33203125" bestFit="1" customWidth="1"/>
    <col min="5" max="5" width="12.83203125" bestFit="1" customWidth="1"/>
    <col min="6" max="6" width="16.33203125" bestFit="1" customWidth="1"/>
    <col min="7" max="7" width="25.33203125" bestFit="1" customWidth="1"/>
    <col min="8" max="8" width="11.83203125" bestFit="1" customWidth="1"/>
    <col min="9" max="9" width="27.83203125" bestFit="1" customWidth="1"/>
    <col min="10" max="10" width="13.33203125" bestFit="1" customWidth="1"/>
    <col min="11" max="11" width="2.5" bestFit="1" customWidth="1"/>
    <col min="12" max="12" width="5.83203125" bestFit="1" customWidth="1"/>
    <col min="13" max="13" width="4.6640625" bestFit="1" customWidth="1"/>
    <col min="14" max="14" width="10.6640625" bestFit="1" customWidth="1"/>
    <col min="15" max="15" width="6.33203125" bestFit="1" customWidth="1"/>
    <col min="16" max="16" width="13.5" bestFit="1" customWidth="1"/>
    <col min="17" max="17" width="33.6640625" bestFit="1" customWidth="1"/>
    <col min="18" max="18" width="10.6640625" bestFit="1" customWidth="1"/>
    <col min="19" max="19" width="11.33203125" bestFit="1" customWidth="1"/>
    <col min="20" max="20" width="22.33203125" bestFit="1" customWidth="1"/>
    <col min="21" max="21" width="20" bestFit="1" customWidth="1"/>
    <col min="22" max="22" width="23.6640625" bestFit="1" customWidth="1"/>
    <col min="23" max="23" width="26.83203125" bestFit="1" customWidth="1"/>
    <col min="25" max="25" width="63.1640625" bestFit="1" customWidth="1"/>
  </cols>
  <sheetData>
    <row r="1" spans="1:25" x14ac:dyDescent="0.2">
      <c r="A1" s="1" t="s">
        <v>33</v>
      </c>
      <c r="B1" s="2"/>
      <c r="C1" s="2"/>
      <c r="D1" s="2"/>
      <c r="E1" s="2"/>
      <c r="F1" s="2"/>
      <c r="G1" s="2"/>
    </row>
    <row r="2" spans="1:25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25" x14ac:dyDescent="0.2">
      <c r="A3" s="3" t="s">
        <v>32</v>
      </c>
      <c r="B3" s="2"/>
      <c r="C3" s="2"/>
      <c r="D3" s="2"/>
      <c r="E3" s="2"/>
      <c r="F3" s="2"/>
      <c r="G3" s="2"/>
    </row>
    <row r="4" spans="1:25" x14ac:dyDescent="0.2">
      <c r="A4" s="2" t="s">
        <v>0</v>
      </c>
      <c r="B4" s="2"/>
      <c r="C4" s="2"/>
      <c r="D4" s="2"/>
      <c r="E4" s="2"/>
    </row>
    <row r="6" spans="1:25" x14ac:dyDescent="0.2">
      <c r="A6" s="1" t="s">
        <v>20</v>
      </c>
    </row>
    <row r="8" spans="1:25" s="2" customFormat="1" ht="19" x14ac:dyDescent="0.25">
      <c r="A8" s="4" t="s">
        <v>1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107</v>
      </c>
      <c r="I8" s="6" t="s">
        <v>48</v>
      </c>
      <c r="J8" s="6" t="s">
        <v>49</v>
      </c>
      <c r="K8" s="47" t="s">
        <v>2</v>
      </c>
      <c r="L8" s="47" t="s">
        <v>3</v>
      </c>
      <c r="M8" s="47" t="s">
        <v>4</v>
      </c>
      <c r="N8" s="6" t="s">
        <v>106</v>
      </c>
      <c r="O8" s="47" t="s">
        <v>5</v>
      </c>
      <c r="P8" s="6" t="s">
        <v>112</v>
      </c>
      <c r="Q8" s="6" t="s">
        <v>22</v>
      </c>
      <c r="R8" s="6" t="s">
        <v>108</v>
      </c>
      <c r="S8" s="6" t="s">
        <v>109</v>
      </c>
      <c r="T8" s="6" t="s">
        <v>23</v>
      </c>
      <c r="U8" s="6" t="s">
        <v>24</v>
      </c>
      <c r="V8" s="6" t="s">
        <v>25</v>
      </c>
      <c r="W8" s="6" t="s">
        <v>26</v>
      </c>
    </row>
    <row r="9" spans="1:25" s="2" customFormat="1" ht="16" customHeight="1" x14ac:dyDescent="0.2">
      <c r="A9" s="2" t="s">
        <v>6</v>
      </c>
      <c r="B9" s="9">
        <v>0.39542146</v>
      </c>
      <c r="C9" s="10">
        <v>1495</v>
      </c>
      <c r="D9" s="7">
        <v>0.883577006</v>
      </c>
      <c r="E9" s="7">
        <v>46.620212240000001</v>
      </c>
      <c r="F9" s="7">
        <v>42.037401205000002</v>
      </c>
      <c r="G9" s="9">
        <v>0.39192760690265049</v>
      </c>
      <c r="H9" s="8" t="s">
        <v>52</v>
      </c>
      <c r="I9" s="8" t="s">
        <v>60</v>
      </c>
      <c r="J9" s="9" t="s">
        <v>68</v>
      </c>
      <c r="K9" s="10">
        <v>1</v>
      </c>
      <c r="L9" s="10">
        <v>1.8</v>
      </c>
      <c r="M9" s="10">
        <v>8</v>
      </c>
      <c r="N9" s="10">
        <v>0.78117872938339572</v>
      </c>
      <c r="O9" s="9">
        <v>0.125</v>
      </c>
      <c r="P9" s="7">
        <v>17.5844561428219</v>
      </c>
      <c r="Q9" s="7">
        <v>0.95897500000000002</v>
      </c>
      <c r="R9" s="8">
        <v>664570.773651361</v>
      </c>
      <c r="S9" s="8">
        <v>15.3358894049033</v>
      </c>
      <c r="T9" s="7">
        <v>10.103145140714922</v>
      </c>
      <c r="U9" s="7">
        <v>0.18727586372734772</v>
      </c>
      <c r="V9" s="7">
        <v>2.9346039341883445</v>
      </c>
      <c r="W9" s="7">
        <v>0.69180179368509775</v>
      </c>
      <c r="Y9" s="48" t="s">
        <v>27</v>
      </c>
    </row>
    <row r="10" spans="1:25" s="2" customFormat="1" x14ac:dyDescent="0.2">
      <c r="A10" s="2" t="s">
        <v>7</v>
      </c>
      <c r="B10" s="9">
        <v>0.40980460699999999</v>
      </c>
      <c r="C10" s="10">
        <v>3315</v>
      </c>
      <c r="D10" s="7">
        <v>1.2049470259999999</v>
      </c>
      <c r="E10" s="7">
        <v>47.741980089000002</v>
      </c>
      <c r="F10" s="7">
        <v>42.694658453000002</v>
      </c>
      <c r="G10" s="9">
        <v>0.40486667857554248</v>
      </c>
      <c r="H10" s="8" t="s">
        <v>53</v>
      </c>
      <c r="I10" s="8" t="s">
        <v>61</v>
      </c>
      <c r="J10" s="9" t="s">
        <v>69</v>
      </c>
      <c r="K10" s="10">
        <v>1</v>
      </c>
      <c r="L10" s="10">
        <v>1.25</v>
      </c>
      <c r="M10" s="10">
        <v>2.1</v>
      </c>
      <c r="N10" s="10">
        <v>0.86339999999999995</v>
      </c>
      <c r="O10" s="9">
        <v>0.47619047619047616</v>
      </c>
      <c r="P10" s="7">
        <v>21.593142857142901</v>
      </c>
      <c r="Q10" s="7">
        <v>0.41130099999999997</v>
      </c>
      <c r="R10" s="8">
        <v>5286810.5405757697</v>
      </c>
      <c r="S10" s="8">
        <v>2.21518987341772</v>
      </c>
      <c r="T10" s="7">
        <v>7.589472532661377</v>
      </c>
      <c r="U10" s="7">
        <v>0.10100384137066801</v>
      </c>
      <c r="V10" s="7">
        <v>2.0410751078810594</v>
      </c>
      <c r="W10" s="7">
        <v>0.74110991101196688</v>
      </c>
      <c r="Y10" s="48"/>
    </row>
    <row r="11" spans="1:25" s="2" customFormat="1" x14ac:dyDescent="0.2">
      <c r="A11" s="2" t="s">
        <v>8</v>
      </c>
      <c r="B11" s="9">
        <v>0.28595015600000001</v>
      </c>
      <c r="C11" s="10">
        <v>1091</v>
      </c>
      <c r="D11" s="7">
        <v>5.320487033</v>
      </c>
      <c r="E11" s="7">
        <v>49.516815022999999</v>
      </c>
      <c r="F11" s="7">
        <v>39.383603698000002</v>
      </c>
      <c r="G11" s="9">
        <v>0.27073621502917672</v>
      </c>
      <c r="H11" s="8" t="s">
        <v>54</v>
      </c>
      <c r="I11" s="8" t="s">
        <v>62</v>
      </c>
      <c r="J11" s="9" t="s">
        <v>70</v>
      </c>
      <c r="K11" s="10">
        <v>1</v>
      </c>
      <c r="L11" s="10">
        <v>1.3</v>
      </c>
      <c r="M11" s="10">
        <v>7</v>
      </c>
      <c r="N11" s="10">
        <v>0.77424999319615651</v>
      </c>
      <c r="O11" s="9">
        <v>0.14285714285714285</v>
      </c>
      <c r="P11" s="7">
        <v>18.012210991422901</v>
      </c>
      <c r="Q11" s="7">
        <v>0.80234000000000005</v>
      </c>
      <c r="R11" s="8">
        <v>707361.14424676495</v>
      </c>
      <c r="S11" s="8">
        <v>10.6423456372745</v>
      </c>
      <c r="T11" s="7">
        <v>7.1511333008719777</v>
      </c>
      <c r="U11" s="7">
        <v>0.16104239155418745</v>
      </c>
      <c r="V11" s="7">
        <v>2.5745527852594039</v>
      </c>
      <c r="W11" s="7">
        <v>0.70762316920255697</v>
      </c>
      <c r="Y11" s="48"/>
    </row>
    <row r="12" spans="1:25" s="2" customFormat="1" x14ac:dyDescent="0.2">
      <c r="A12" s="2" t="s">
        <v>9</v>
      </c>
      <c r="B12" s="9">
        <v>0.208925693</v>
      </c>
      <c r="C12" s="10">
        <v>763</v>
      </c>
      <c r="D12" s="7">
        <v>1.928632643</v>
      </c>
      <c r="E12" s="7">
        <v>57.549589472000001</v>
      </c>
      <c r="F12" s="7">
        <v>31.821691541</v>
      </c>
      <c r="G12" s="9">
        <v>0.20489628388518802</v>
      </c>
      <c r="H12" s="8" t="s">
        <v>55</v>
      </c>
      <c r="I12" s="8" t="s">
        <v>63</v>
      </c>
      <c r="J12" s="9" t="s">
        <v>71</v>
      </c>
      <c r="K12" s="10">
        <v>1</v>
      </c>
      <c r="L12" s="10">
        <v>1.5</v>
      </c>
      <c r="M12" s="10">
        <v>7</v>
      </c>
      <c r="N12" s="10">
        <v>0.8512013157107563</v>
      </c>
      <c r="O12" s="9">
        <v>0.14285714285714285</v>
      </c>
      <c r="P12" s="7">
        <v>17.642871749927</v>
      </c>
      <c r="Q12" s="7">
        <v>0.47548600000000002</v>
      </c>
      <c r="R12" s="8">
        <v>570390.09986021498</v>
      </c>
      <c r="S12" s="8">
        <v>12.4156692056583</v>
      </c>
      <c r="T12" s="7">
        <v>4.236120062640877</v>
      </c>
      <c r="U12" s="7">
        <v>0.20618930433397067</v>
      </c>
      <c r="V12" s="7">
        <v>2.6748788532264167</v>
      </c>
      <c r="W12" s="7">
        <v>0.69254556034131487</v>
      </c>
      <c r="Y12" s="48"/>
    </row>
    <row r="13" spans="1:25" s="2" customFormat="1" x14ac:dyDescent="0.2">
      <c r="A13" s="2" t="s">
        <v>10</v>
      </c>
      <c r="B13" s="9">
        <v>0.51623495699999999</v>
      </c>
      <c r="C13" s="10">
        <v>1782</v>
      </c>
      <c r="D13" s="7">
        <v>24.135001381999999</v>
      </c>
      <c r="E13" s="7">
        <v>44.052487618999997</v>
      </c>
      <c r="F13" s="7">
        <v>18.531227879999999</v>
      </c>
      <c r="G13" s="9">
        <v>0.39164164299368287</v>
      </c>
      <c r="H13" s="8" t="s">
        <v>56</v>
      </c>
      <c r="I13" s="8" t="s">
        <v>64</v>
      </c>
      <c r="J13" s="9" t="s">
        <v>72</v>
      </c>
      <c r="K13" s="10">
        <v>1</v>
      </c>
      <c r="L13" s="10">
        <v>1.2</v>
      </c>
      <c r="M13" s="10">
        <v>7</v>
      </c>
      <c r="N13" s="10">
        <v>0.77441876688656164</v>
      </c>
      <c r="O13" s="9">
        <v>0.14285714285714285</v>
      </c>
      <c r="P13" s="7">
        <v>18.943461538461499</v>
      </c>
      <c r="Q13" s="7">
        <v>0.323654</v>
      </c>
      <c r="R13" s="8">
        <v>1069621.9473697201</v>
      </c>
      <c r="S13" s="8">
        <v>6.3414634146341298</v>
      </c>
      <c r="T13" s="7">
        <v>2.8752433145196155</v>
      </c>
      <c r="U13" s="7">
        <v>0.12068124251093836</v>
      </c>
      <c r="V13" s="7">
        <v>2.5797222699939764</v>
      </c>
      <c r="W13" s="7">
        <v>0.72174987271493807</v>
      </c>
      <c r="Y13" s="48"/>
    </row>
    <row r="14" spans="1:25" s="2" customFormat="1" x14ac:dyDescent="0.2">
      <c r="A14" s="2" t="s">
        <v>11</v>
      </c>
      <c r="B14" s="9">
        <v>0.197606806</v>
      </c>
      <c r="C14" s="10">
        <v>830</v>
      </c>
      <c r="D14" s="7">
        <v>1.011487671</v>
      </c>
      <c r="E14" s="7">
        <v>61.849999767</v>
      </c>
      <c r="F14" s="7">
        <v>25.587803962999999</v>
      </c>
      <c r="G14" s="9">
        <v>0.1956080375202531</v>
      </c>
      <c r="H14" s="8" t="s">
        <v>57</v>
      </c>
      <c r="I14" s="8" t="s">
        <v>65</v>
      </c>
      <c r="J14" s="9" t="s">
        <v>73</v>
      </c>
      <c r="K14" s="10">
        <v>1</v>
      </c>
      <c r="L14" s="10">
        <v>1.6</v>
      </c>
      <c r="M14" s="10">
        <v>3</v>
      </c>
      <c r="N14" s="10">
        <v>0.79548700860501886</v>
      </c>
      <c r="O14" s="9">
        <v>0.33333333333333331</v>
      </c>
      <c r="P14" s="7">
        <v>20.333413685847599</v>
      </c>
      <c r="Q14" s="7">
        <v>0.78937500000000005</v>
      </c>
      <c r="R14" s="8">
        <v>2292546.7459294698</v>
      </c>
      <c r="S14" s="8">
        <v>3.38554692641832</v>
      </c>
      <c r="T14" s="7">
        <v>2.8832292041129759</v>
      </c>
      <c r="U14" s="7">
        <v>0.16113562937886497</v>
      </c>
      <c r="V14" s="7">
        <v>2.3801392221740065</v>
      </c>
      <c r="W14" s="7">
        <v>0.71189069784012959</v>
      </c>
      <c r="Y14" s="48"/>
    </row>
    <row r="15" spans="1:25" s="2" customFormat="1" x14ac:dyDescent="0.2">
      <c r="A15" s="2" t="s">
        <v>12</v>
      </c>
      <c r="B15" s="9">
        <v>0.28156098099999999</v>
      </c>
      <c r="C15" s="10">
        <v>1143</v>
      </c>
      <c r="D15" s="7">
        <v>4.3997278319999999</v>
      </c>
      <c r="E15" s="7">
        <v>53.214392074999999</v>
      </c>
      <c r="F15" s="7">
        <v>28.574839177000001</v>
      </c>
      <c r="G15" s="9">
        <v>0.26917306415489078</v>
      </c>
      <c r="H15" s="8" t="s">
        <v>58</v>
      </c>
      <c r="I15" s="8" t="s">
        <v>66</v>
      </c>
      <c r="J15" s="9" t="s">
        <v>74</v>
      </c>
      <c r="K15" s="10">
        <v>1</v>
      </c>
      <c r="L15" s="10">
        <v>1.4</v>
      </c>
      <c r="M15" s="10">
        <v>2.2999999999999998</v>
      </c>
      <c r="N15" s="10">
        <v>0.81399485432029473</v>
      </c>
      <c r="O15" s="9">
        <v>0.43478260869565222</v>
      </c>
      <c r="P15" s="7">
        <v>20.142064723188</v>
      </c>
      <c r="Q15" s="7">
        <v>0.80065500000000001</v>
      </c>
      <c r="R15" s="8">
        <v>1928028.60163603</v>
      </c>
      <c r="S15" s="8">
        <v>3.4476717381281698</v>
      </c>
      <c r="T15" s="7">
        <v>3.8023687836821281</v>
      </c>
      <c r="U15" s="7">
        <v>0.13974094231059031</v>
      </c>
      <c r="V15" s="7">
        <v>2.4617255371632787</v>
      </c>
      <c r="W15" s="7">
        <v>0.71714431933666256</v>
      </c>
      <c r="Y15" s="48"/>
    </row>
    <row r="16" spans="1:25" s="2" customFormat="1" x14ac:dyDescent="0.2">
      <c r="A16" s="2" t="s">
        <v>13</v>
      </c>
      <c r="B16" s="9">
        <v>0.24899980899999999</v>
      </c>
      <c r="C16" s="10">
        <v>1550</v>
      </c>
      <c r="D16" s="7">
        <v>4.3968654750000002</v>
      </c>
      <c r="E16" s="7">
        <v>45.336363714999997</v>
      </c>
      <c r="F16" s="7">
        <v>41.454901927000002</v>
      </c>
      <c r="G16" s="9">
        <v>0.23805162236526306</v>
      </c>
      <c r="H16" s="8" t="s">
        <v>59</v>
      </c>
      <c r="I16" s="8" t="s">
        <v>67</v>
      </c>
      <c r="J16" s="9" t="s">
        <v>75</v>
      </c>
      <c r="K16" s="10">
        <v>1</v>
      </c>
      <c r="L16" s="10">
        <v>1.4</v>
      </c>
      <c r="M16" s="10">
        <v>5.5</v>
      </c>
      <c r="N16" s="10">
        <v>0.8140602649820291</v>
      </c>
      <c r="O16" s="9">
        <v>0.18181818181818182</v>
      </c>
      <c r="P16" s="7">
        <v>19.746249256041001</v>
      </c>
      <c r="Q16" s="7">
        <v>0.14619500000000002</v>
      </c>
      <c r="R16" s="8">
        <v>2161887.6631656801</v>
      </c>
      <c r="S16" s="8">
        <v>5.7430954334153803</v>
      </c>
      <c r="T16" s="7">
        <v>9.0310412042223209</v>
      </c>
      <c r="U16" s="7">
        <v>0.1279190311558682</v>
      </c>
      <c r="V16" s="7">
        <v>2.7258156219217886</v>
      </c>
      <c r="W16" s="7">
        <v>0.71584300097251674</v>
      </c>
      <c r="Y16" s="48"/>
    </row>
    <row r="18" spans="1:14" x14ac:dyDescent="0.2">
      <c r="A18" s="2" t="s">
        <v>50</v>
      </c>
    </row>
    <row r="19" spans="1:14" ht="18" x14ac:dyDescent="0.2">
      <c r="A19" s="2" t="s">
        <v>51</v>
      </c>
    </row>
    <row r="21" spans="1:14" x14ac:dyDescent="0.2">
      <c r="A21" s="5" t="s">
        <v>21</v>
      </c>
    </row>
    <row r="22" spans="1:14" x14ac:dyDescent="0.2">
      <c r="A22" s="5"/>
    </row>
    <row r="23" spans="1:14" s="35" customFormat="1" x14ac:dyDescent="0.2">
      <c r="A23" s="30" t="s">
        <v>87</v>
      </c>
      <c r="B23" s="27"/>
      <c r="C23" s="2"/>
      <c r="D23" s="2"/>
    </row>
    <row r="24" spans="1:14" s="35" customFormat="1" x14ac:dyDescent="0.2">
      <c r="A24" s="4" t="s">
        <v>1</v>
      </c>
      <c r="B24" s="6" t="s">
        <v>90</v>
      </c>
      <c r="C24" s="6" t="s">
        <v>91</v>
      </c>
      <c r="D24" s="6" t="s">
        <v>88</v>
      </c>
    </row>
    <row r="25" spans="1:14" s="35" customFormat="1" x14ac:dyDescent="0.2">
      <c r="A25" s="2" t="s">
        <v>6</v>
      </c>
      <c r="B25" s="9">
        <v>62.039089242668211</v>
      </c>
      <c r="C25" s="9">
        <v>50.544355286847889</v>
      </c>
      <c r="D25" s="9">
        <f>AVERAGE(B25:C25)</f>
        <v>56.29172226475805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4" s="35" customFormat="1" x14ac:dyDescent="0.2">
      <c r="A26" s="2" t="s">
        <v>7</v>
      </c>
      <c r="B26" s="9">
        <v>54.124936033904291</v>
      </c>
      <c r="C26" s="9">
        <v>43.347310134518359</v>
      </c>
      <c r="D26" s="9">
        <f t="shared" ref="D26:D32" si="0">AVERAGE(B26:C26)</f>
        <v>48.736123084211329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s="35" customFormat="1" x14ac:dyDescent="0.2">
      <c r="A27" s="2" t="s">
        <v>8</v>
      </c>
      <c r="B27" s="9">
        <v>69.927290701079642</v>
      </c>
      <c r="C27" s="9">
        <v>60.610715163430811</v>
      </c>
      <c r="D27" s="9">
        <f t="shared" si="0"/>
        <v>65.269002932255233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s="35" customFormat="1" x14ac:dyDescent="0.2">
      <c r="A28" s="2" t="s">
        <v>9</v>
      </c>
      <c r="B28" s="9">
        <v>56.364863949948408</v>
      </c>
      <c r="C28" s="9">
        <v>40.91594839791145</v>
      </c>
      <c r="D28" s="9">
        <f t="shared" si="0"/>
        <v>48.640406173929932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s="35" customFormat="1" x14ac:dyDescent="0.2">
      <c r="A29" s="2" t="s">
        <v>10</v>
      </c>
      <c r="B29" s="9">
        <v>58.665977712981039</v>
      </c>
      <c r="C29" s="9">
        <v>40.98383004955307</v>
      </c>
      <c r="D29" s="9">
        <f t="shared" si="0"/>
        <v>49.824903881267055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35" customFormat="1" x14ac:dyDescent="0.2">
      <c r="A30" s="2" t="s">
        <v>11</v>
      </c>
      <c r="B30" s="9">
        <v>57.759238470653123</v>
      </c>
      <c r="C30" s="9">
        <v>45.363298202107885</v>
      </c>
      <c r="D30" s="9">
        <f t="shared" si="0"/>
        <v>51.561268336380508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s="35" customFormat="1" x14ac:dyDescent="0.2">
      <c r="A31" s="2" t="s">
        <v>12</v>
      </c>
      <c r="B31" s="9">
        <v>56.874981878865356</v>
      </c>
      <c r="C31" s="9">
        <v>50.425483112563796</v>
      </c>
      <c r="D31" s="9">
        <f t="shared" si="0"/>
        <v>53.650232495714576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s="35" customFormat="1" x14ac:dyDescent="0.2">
      <c r="A32" s="2" t="s">
        <v>13</v>
      </c>
      <c r="B32" s="9">
        <v>53.145907618126799</v>
      </c>
      <c r="C32" s="9">
        <v>53.151392394324368</v>
      </c>
      <c r="D32" s="9">
        <f t="shared" si="0"/>
        <v>53.14865000622558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s="35" customFormat="1" x14ac:dyDescent="0.2">
      <c r="A33" s="31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s="35" customFormat="1" x14ac:dyDescent="0.2">
      <c r="A34" s="40" t="s">
        <v>86</v>
      </c>
      <c r="B34" s="41"/>
      <c r="C34" s="41"/>
      <c r="D34" s="41"/>
    </row>
    <row r="35" spans="1:14" s="35" customFormat="1" x14ac:dyDescent="0.2">
      <c r="A35" s="42" t="s">
        <v>1</v>
      </c>
      <c r="B35" s="43" t="s">
        <v>90</v>
      </c>
      <c r="C35" s="43" t="s">
        <v>91</v>
      </c>
      <c r="D35" s="43" t="s">
        <v>88</v>
      </c>
    </row>
    <row r="36" spans="1:14" s="35" customFormat="1" x14ac:dyDescent="0.2">
      <c r="A36" s="44" t="s">
        <v>6</v>
      </c>
      <c r="B36" s="45">
        <v>58.704838859478045</v>
      </c>
      <c r="C36" s="45">
        <v>52.739258922482385</v>
      </c>
      <c r="D36" s="45">
        <f>AVERAGE(B36:C36)</f>
        <v>55.722048890980219</v>
      </c>
    </row>
    <row r="37" spans="1:14" s="35" customFormat="1" x14ac:dyDescent="0.2">
      <c r="A37" s="44" t="s">
        <v>7</v>
      </c>
      <c r="B37" s="45">
        <v>45.868931397746785</v>
      </c>
      <c r="C37" s="45">
        <v>41.376550620248089</v>
      </c>
      <c r="D37" s="45">
        <f t="shared" ref="D37:D43" si="1">AVERAGE(B37:C37)</f>
        <v>43.622741008997437</v>
      </c>
      <c r="E37" s="33"/>
      <c r="F37" s="33"/>
      <c r="G37" s="33"/>
      <c r="H37" s="33"/>
      <c r="I37" s="38"/>
    </row>
    <row r="38" spans="1:14" s="35" customFormat="1" x14ac:dyDescent="0.2">
      <c r="A38" s="44" t="s">
        <v>8</v>
      </c>
      <c r="B38" s="45">
        <v>59.463060343811172</v>
      </c>
      <c r="C38" s="45">
        <v>63.195222097797682</v>
      </c>
      <c r="D38" s="45">
        <f t="shared" si="1"/>
        <v>61.329141220804431</v>
      </c>
      <c r="E38" s="33"/>
      <c r="F38" s="33"/>
      <c r="G38" s="33"/>
      <c r="H38" s="37"/>
      <c r="I38" s="39"/>
    </row>
    <row r="39" spans="1:14" s="35" customFormat="1" x14ac:dyDescent="0.2">
      <c r="A39" s="46" t="s">
        <v>9</v>
      </c>
      <c r="B39" s="24">
        <v>58.882837625296361</v>
      </c>
      <c r="C39" s="24">
        <v>53.450824332006832</v>
      </c>
      <c r="D39" s="24">
        <f t="shared" si="1"/>
        <v>56.166830978651596</v>
      </c>
      <c r="E39" s="33"/>
      <c r="F39" s="33"/>
      <c r="G39" s="33"/>
      <c r="H39" s="37"/>
      <c r="I39" s="39"/>
    </row>
    <row r="40" spans="1:14" s="35" customFormat="1" x14ac:dyDescent="0.2">
      <c r="A40" s="46" t="s">
        <v>10</v>
      </c>
      <c r="B40" s="24">
        <v>57.941687876420637</v>
      </c>
      <c r="C40" s="24">
        <v>47.778850796716561</v>
      </c>
      <c r="D40" s="24">
        <f t="shared" si="1"/>
        <v>52.860269336568599</v>
      </c>
      <c r="E40" s="33"/>
      <c r="F40" s="33"/>
      <c r="G40" s="33"/>
      <c r="H40" s="37"/>
      <c r="I40" s="39"/>
    </row>
    <row r="41" spans="1:14" s="35" customFormat="1" x14ac:dyDescent="0.2">
      <c r="A41" s="46" t="s">
        <v>11</v>
      </c>
      <c r="B41" s="24">
        <v>60.934287672275943</v>
      </c>
      <c r="C41" s="24">
        <v>55.573354692297428</v>
      </c>
      <c r="D41" s="24">
        <f t="shared" si="1"/>
        <v>58.253821182286686</v>
      </c>
      <c r="E41" s="33"/>
      <c r="F41" s="33"/>
      <c r="G41" s="33"/>
      <c r="H41" s="37"/>
      <c r="I41" s="39"/>
    </row>
    <row r="42" spans="1:14" s="35" customFormat="1" x14ac:dyDescent="0.2">
      <c r="A42" s="46" t="s">
        <v>12</v>
      </c>
      <c r="B42" s="24">
        <v>59.854359750330993</v>
      </c>
      <c r="C42" s="24">
        <v>57.991703269887758</v>
      </c>
      <c r="D42" s="24">
        <f t="shared" si="1"/>
        <v>58.923031510109375</v>
      </c>
      <c r="E42" s="33"/>
      <c r="F42" s="33"/>
      <c r="G42" s="33"/>
      <c r="H42" s="37"/>
      <c r="I42" s="39"/>
    </row>
    <row r="43" spans="1:14" s="35" customFormat="1" x14ac:dyDescent="0.2">
      <c r="A43" s="46" t="s">
        <v>13</v>
      </c>
      <c r="B43" s="24">
        <v>56.797817625049873</v>
      </c>
      <c r="C43" s="24">
        <v>55.598705501618127</v>
      </c>
      <c r="D43" s="24">
        <f t="shared" si="1"/>
        <v>56.198261563334</v>
      </c>
      <c r="E43" s="33"/>
      <c r="F43" s="33"/>
      <c r="G43" s="33"/>
      <c r="H43" s="37"/>
      <c r="I43" s="39"/>
    </row>
    <row r="44" spans="1:14" s="35" customFormat="1" x14ac:dyDescent="0.2">
      <c r="A44" s="31"/>
      <c r="B44" s="33"/>
      <c r="C44" s="33"/>
      <c r="D44" s="33"/>
      <c r="E44" s="33"/>
      <c r="F44" s="33"/>
      <c r="G44" s="33"/>
      <c r="H44" s="37"/>
      <c r="I44" s="39"/>
    </row>
    <row r="45" spans="1:14" s="35" customFormat="1" x14ac:dyDescent="0.2">
      <c r="A45" s="31"/>
      <c r="B45" s="33"/>
      <c r="C45" s="33"/>
      <c r="D45" s="33"/>
      <c r="E45" s="33"/>
      <c r="F45" s="33"/>
      <c r="G45" s="33"/>
      <c r="H45" s="37"/>
      <c r="I45" s="39"/>
    </row>
  </sheetData>
  <mergeCells count="1">
    <mergeCell ref="Y9:Y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2CE2-E2A3-E94D-9F81-01697843A2A1}">
  <dimension ref="A1:O47"/>
  <sheetViews>
    <sheetView workbookViewId="0">
      <selection activeCell="H4" sqref="H4"/>
    </sheetView>
  </sheetViews>
  <sheetFormatPr baseColWidth="10" defaultColWidth="8.83203125" defaultRowHeight="16" x14ac:dyDescent="0.2"/>
  <cols>
    <col min="1" max="1" width="8.1640625" customWidth="1"/>
    <col min="2" max="2" width="11.33203125" style="14" bestFit="1" customWidth="1"/>
    <col min="3" max="3" width="20.83203125" style="13" bestFit="1" customWidth="1"/>
    <col min="4" max="4" width="35.33203125" style="14" bestFit="1" customWidth="1"/>
    <col min="5" max="5" width="27.83203125" style="12" bestFit="1" customWidth="1"/>
    <col min="6" max="6" width="12.5" style="12" bestFit="1" customWidth="1"/>
    <col min="7" max="7" width="15.1640625" style="12" bestFit="1" customWidth="1"/>
    <col min="8" max="8" width="24.83203125" style="13" bestFit="1" customWidth="1"/>
    <col min="9" max="9" width="34.33203125" style="15" bestFit="1" customWidth="1"/>
    <col min="10" max="10" width="15" style="13" bestFit="1" customWidth="1"/>
    <col min="11" max="11" width="22.33203125" style="15" bestFit="1" customWidth="1"/>
    <col min="12" max="12" width="9.33203125" style="14" bestFit="1" customWidth="1"/>
    <col min="13" max="13" width="20.1640625" style="14" bestFit="1" customWidth="1"/>
    <col min="14" max="14" width="11.33203125" style="14" bestFit="1" customWidth="1"/>
    <col min="15" max="15" width="18.5" bestFit="1" customWidth="1"/>
  </cols>
  <sheetData>
    <row r="1" spans="1:15" x14ac:dyDescent="0.2">
      <c r="A1" s="1" t="s">
        <v>33</v>
      </c>
      <c r="C1" s="9"/>
      <c r="D1" s="10"/>
      <c r="E1" s="7"/>
      <c r="F1" s="7"/>
      <c r="G1" s="7"/>
      <c r="H1" s="9"/>
    </row>
    <row r="2" spans="1:15" x14ac:dyDescent="0.2">
      <c r="A2" s="2"/>
      <c r="C2" s="9"/>
      <c r="D2" s="10"/>
      <c r="E2" s="7"/>
      <c r="F2" s="7"/>
      <c r="G2" s="7"/>
      <c r="H2" s="9"/>
      <c r="I2" s="8"/>
      <c r="J2" s="9"/>
      <c r="K2" s="8"/>
    </row>
    <row r="3" spans="1:15" x14ac:dyDescent="0.2">
      <c r="A3" s="3" t="s">
        <v>32</v>
      </c>
      <c r="C3" s="9"/>
      <c r="D3" s="10"/>
      <c r="E3" s="7"/>
      <c r="F3" s="7"/>
      <c r="G3" s="7"/>
      <c r="H3" s="9"/>
    </row>
    <row r="4" spans="1:15" x14ac:dyDescent="0.2">
      <c r="A4" s="2" t="s">
        <v>0</v>
      </c>
      <c r="C4" s="9"/>
      <c r="D4" s="10"/>
      <c r="E4" s="7"/>
      <c r="F4" s="7"/>
    </row>
    <row r="5" spans="1:15" x14ac:dyDescent="0.2">
      <c r="A5" s="2"/>
      <c r="C5" s="9"/>
      <c r="D5" s="10"/>
      <c r="E5" s="7"/>
      <c r="F5" s="7"/>
    </row>
    <row r="6" spans="1:15" x14ac:dyDescent="0.2">
      <c r="A6" s="11" t="s">
        <v>76</v>
      </c>
      <c r="C6" s="9"/>
      <c r="D6" s="10"/>
      <c r="E6" s="7"/>
      <c r="F6" s="7"/>
    </row>
    <row r="7" spans="1:15" x14ac:dyDescent="0.2">
      <c r="A7" s="2" t="s">
        <v>77</v>
      </c>
      <c r="C7" s="9"/>
      <c r="D7" s="10"/>
      <c r="E7" s="7"/>
      <c r="F7" s="7"/>
    </row>
    <row r="9" spans="1:15" s="11" customFormat="1" x14ac:dyDescent="0.2">
      <c r="A9" s="16" t="s">
        <v>1</v>
      </c>
      <c r="B9" s="18" t="s">
        <v>40</v>
      </c>
      <c r="C9" s="17" t="s">
        <v>34</v>
      </c>
      <c r="D9" s="18" t="s">
        <v>35</v>
      </c>
      <c r="E9" s="19" t="s">
        <v>36</v>
      </c>
      <c r="F9" s="19" t="s">
        <v>37</v>
      </c>
      <c r="G9" s="19" t="s">
        <v>18</v>
      </c>
      <c r="H9" s="17" t="s">
        <v>38</v>
      </c>
      <c r="I9" s="20" t="s">
        <v>110</v>
      </c>
      <c r="J9" s="17" t="s">
        <v>46</v>
      </c>
      <c r="K9" s="20" t="s">
        <v>39</v>
      </c>
      <c r="M9" s="21" t="s">
        <v>111</v>
      </c>
      <c r="N9" s="21" t="s">
        <v>41</v>
      </c>
      <c r="O9" s="21" t="s">
        <v>47</v>
      </c>
    </row>
    <row r="10" spans="1:15" s="2" customFormat="1" x14ac:dyDescent="0.2">
      <c r="A10" s="22" t="s">
        <v>6</v>
      </c>
      <c r="B10" s="10" t="s">
        <v>42</v>
      </c>
      <c r="C10" s="9">
        <v>0.21340919899999999</v>
      </c>
      <c r="D10" s="10">
        <v>739</v>
      </c>
      <c r="E10" s="7">
        <v>1.001834573</v>
      </c>
      <c r="F10" s="7">
        <v>43.720775277000001</v>
      </c>
      <c r="G10" s="7">
        <v>46.314764672999999</v>
      </c>
      <c r="H10" s="9">
        <f t="shared" ref="H10:H17" si="0">C10-(C10*E10)/100</f>
        <v>0.21127119186245563</v>
      </c>
      <c r="I10" s="8">
        <f t="shared" ref="I10:I17" si="1">D10/H10</f>
        <v>3497.8739575678301</v>
      </c>
      <c r="J10" s="9">
        <f>(C10*G10/100)/(C10-(C10*(E10/100)))</f>
        <v>0.46783457524929517</v>
      </c>
      <c r="K10" s="8">
        <v>90.816254397834896</v>
      </c>
      <c r="L10" s="10"/>
      <c r="M10" s="23">
        <f t="shared" ref="M10:O17" si="2">_xlfn.STDEV.P(I10,I20,I30,I40)</f>
        <v>199.42360047676721</v>
      </c>
      <c r="N10" s="24">
        <f t="shared" si="2"/>
        <v>3.400090169715092E-2</v>
      </c>
      <c r="O10" s="23">
        <f t="shared" si="2"/>
        <v>8.9025523563885844</v>
      </c>
    </row>
    <row r="11" spans="1:15" s="2" customFormat="1" x14ac:dyDescent="0.2">
      <c r="A11" s="22" t="s">
        <v>7</v>
      </c>
      <c r="B11" s="10" t="s">
        <v>42</v>
      </c>
      <c r="C11" s="9">
        <v>0.239313686</v>
      </c>
      <c r="D11" s="10">
        <v>1863</v>
      </c>
      <c r="E11" s="7">
        <v>0.77579148499999995</v>
      </c>
      <c r="F11" s="7">
        <v>44.989916608000001</v>
      </c>
      <c r="G11" s="7">
        <v>45.822568998000001</v>
      </c>
      <c r="H11" s="9">
        <f t="shared" si="0"/>
        <v>0.23745711080157236</v>
      </c>
      <c r="I11" s="8">
        <f t="shared" si="1"/>
        <v>7845.6273375480814</v>
      </c>
      <c r="J11" s="9">
        <f t="shared" ref="J11:J17" si="3">(C11*G11/100)/(C11-(C11*(E11/100)))</f>
        <v>0.461808359913225</v>
      </c>
      <c r="K11" s="8">
        <v>50.078455179817482</v>
      </c>
      <c r="L11" s="10"/>
      <c r="M11" s="23">
        <f t="shared" si="2"/>
        <v>251.68766711160566</v>
      </c>
      <c r="N11" s="24">
        <f t="shared" si="2"/>
        <v>2.9268459455747881E-2</v>
      </c>
      <c r="O11" s="23">
        <f t="shared" si="2"/>
        <v>5.1975312658154342</v>
      </c>
    </row>
    <row r="12" spans="1:15" s="2" customFormat="1" x14ac:dyDescent="0.2">
      <c r="A12" s="22" t="s">
        <v>8</v>
      </c>
      <c r="B12" s="10" t="s">
        <v>42</v>
      </c>
      <c r="C12" s="9">
        <v>0.165321462</v>
      </c>
      <c r="D12" s="10">
        <v>560</v>
      </c>
      <c r="E12" s="7">
        <v>7.4920037869999998</v>
      </c>
      <c r="F12" s="7">
        <v>46.110999757999998</v>
      </c>
      <c r="G12" s="7">
        <v>40.522561689</v>
      </c>
      <c r="H12" s="9">
        <f t="shared" si="0"/>
        <v>0.15293557180623624</v>
      </c>
      <c r="I12" s="8">
        <f t="shared" si="1"/>
        <v>3661.6726467633016</v>
      </c>
      <c r="J12" s="9">
        <f t="shared" si="3"/>
        <v>0.43804388104674385</v>
      </c>
      <c r="K12" s="8">
        <v>66.459180357142856</v>
      </c>
      <c r="L12" s="10"/>
      <c r="M12" s="23">
        <f t="shared" si="2"/>
        <v>230.74409523082511</v>
      </c>
      <c r="N12" s="24">
        <f t="shared" si="2"/>
        <v>3.1021922631961091E-2</v>
      </c>
      <c r="O12" s="23">
        <f t="shared" si="2"/>
        <v>1.1102114725046681</v>
      </c>
    </row>
    <row r="13" spans="1:15" s="2" customFormat="1" x14ac:dyDescent="0.2">
      <c r="A13" s="22" t="s">
        <v>9</v>
      </c>
      <c r="B13" s="10" t="s">
        <v>42</v>
      </c>
      <c r="C13" s="9">
        <v>0.114825888</v>
      </c>
      <c r="D13" s="10">
        <v>427</v>
      </c>
      <c r="E13" s="7">
        <v>1.9957029019999999</v>
      </c>
      <c r="F13" s="7">
        <v>57.95266762</v>
      </c>
      <c r="G13" s="7">
        <v>31.753243099999999</v>
      </c>
      <c r="H13" s="9">
        <f t="shared" si="0"/>
        <v>0.11253430442093673</v>
      </c>
      <c r="I13" s="8">
        <f t="shared" si="1"/>
        <v>3794.3985364924661</v>
      </c>
      <c r="J13" s="9">
        <f t="shared" si="3"/>
        <v>0.32399847802844961</v>
      </c>
      <c r="K13" s="8">
        <v>79.177510538641656</v>
      </c>
      <c r="L13" s="10"/>
      <c r="M13" s="23">
        <f t="shared" si="2"/>
        <v>224.39007043296854</v>
      </c>
      <c r="N13" s="24">
        <f t="shared" si="2"/>
        <v>2.4870713486233223E-2</v>
      </c>
      <c r="O13" s="23">
        <f t="shared" si="2"/>
        <v>13.992464634711743</v>
      </c>
    </row>
    <row r="14" spans="1:15" s="2" customFormat="1" x14ac:dyDescent="0.2">
      <c r="A14" s="22" t="s">
        <v>10</v>
      </c>
      <c r="B14" s="10" t="s">
        <v>42</v>
      </c>
      <c r="C14" s="9">
        <v>0.30753921899999997</v>
      </c>
      <c r="D14" s="10">
        <v>1021</v>
      </c>
      <c r="E14" s="7">
        <v>20.591365949</v>
      </c>
      <c r="F14" s="7">
        <v>42.54986839</v>
      </c>
      <c r="G14" s="7">
        <v>19.776409435000001</v>
      </c>
      <c r="H14" s="9">
        <f t="shared" si="0"/>
        <v>0.24421269297901343</v>
      </c>
      <c r="I14" s="8">
        <f t="shared" si="1"/>
        <v>4180.7818731507959</v>
      </c>
      <c r="J14" s="9">
        <f t="shared" si="3"/>
        <v>0.24904608511838464</v>
      </c>
      <c r="K14" s="8">
        <v>45.510238001958911</v>
      </c>
      <c r="L14" s="10"/>
      <c r="M14" s="23">
        <f t="shared" si="2"/>
        <v>265.0699381862471</v>
      </c>
      <c r="N14" s="24">
        <f t="shared" si="2"/>
        <v>4.2586539170488727E-2</v>
      </c>
      <c r="O14" s="23">
        <f t="shared" si="2"/>
        <v>6.589443434094937</v>
      </c>
    </row>
    <row r="15" spans="1:15" s="2" customFormat="1" x14ac:dyDescent="0.2">
      <c r="A15" s="22" t="s">
        <v>11</v>
      </c>
      <c r="B15" s="10" t="s">
        <v>42</v>
      </c>
      <c r="C15" s="9">
        <v>7.8872221000000006E-2</v>
      </c>
      <c r="D15" s="10">
        <v>391</v>
      </c>
      <c r="E15" s="7">
        <v>0.79701640600000001</v>
      </c>
      <c r="F15" s="7">
        <v>66.366889177000004</v>
      </c>
      <c r="G15" s="7">
        <v>23.376972113000001</v>
      </c>
      <c r="H15" s="9">
        <f t="shared" si="0"/>
        <v>7.8243596458853426E-2</v>
      </c>
      <c r="I15" s="8">
        <f t="shared" si="1"/>
        <v>4997.2140557932844</v>
      </c>
      <c r="J15" s="9">
        <f t="shared" si="3"/>
        <v>0.23564787334091722</v>
      </c>
      <c r="K15" s="8">
        <v>31.720132992327343</v>
      </c>
      <c r="L15" s="10"/>
      <c r="M15" s="23">
        <f t="shared" si="2"/>
        <v>434.18865448819008</v>
      </c>
      <c r="N15" s="24">
        <f t="shared" si="2"/>
        <v>1.9667365930992848E-2</v>
      </c>
      <c r="O15" s="23">
        <f t="shared" si="2"/>
        <v>7.4807348894134309</v>
      </c>
    </row>
    <row r="16" spans="1:15" s="2" customFormat="1" x14ac:dyDescent="0.2">
      <c r="A16" s="22" t="s">
        <v>12</v>
      </c>
      <c r="B16" s="10" t="s">
        <v>42</v>
      </c>
      <c r="C16" s="9">
        <v>0.127222953</v>
      </c>
      <c r="D16" s="10">
        <v>432</v>
      </c>
      <c r="E16" s="7">
        <v>10.60873825</v>
      </c>
      <c r="F16" s="7">
        <v>47.278225714000001</v>
      </c>
      <c r="G16" s="7">
        <v>30.775617528000001</v>
      </c>
      <c r="H16" s="9">
        <f t="shared" si="0"/>
        <v>0.11372620292230948</v>
      </c>
      <c r="I16" s="8">
        <f t="shared" si="1"/>
        <v>3798.5968835617855</v>
      </c>
      <c r="J16" s="9">
        <f t="shared" si="3"/>
        <v>0.34427993212658731</v>
      </c>
      <c r="K16" s="8">
        <v>56.207224537037014</v>
      </c>
      <c r="L16" s="10"/>
      <c r="M16" s="23">
        <f t="shared" si="2"/>
        <v>304.24258639709439</v>
      </c>
      <c r="N16" s="24">
        <f t="shared" si="2"/>
        <v>2.9106837712531208E-2</v>
      </c>
      <c r="O16" s="23">
        <f t="shared" si="2"/>
        <v>4.8242311174787238</v>
      </c>
    </row>
    <row r="17" spans="1:15" s="2" customFormat="1" x14ac:dyDescent="0.2">
      <c r="A17" s="22" t="s">
        <v>13</v>
      </c>
      <c r="B17" s="10" t="s">
        <v>42</v>
      </c>
      <c r="C17" s="9">
        <v>0.13262961300000001</v>
      </c>
      <c r="D17" s="10">
        <v>779</v>
      </c>
      <c r="E17" s="7">
        <v>3.2863343500000002</v>
      </c>
      <c r="F17" s="7">
        <v>42.870979222999999</v>
      </c>
      <c r="G17" s="7">
        <v>45.873559141999998</v>
      </c>
      <c r="H17" s="9">
        <f t="shared" si="0"/>
        <v>0.12827096046970893</v>
      </c>
      <c r="I17" s="8">
        <f t="shared" si="1"/>
        <v>6073.0815232646528</v>
      </c>
      <c r="J17" s="9">
        <f t="shared" si="3"/>
        <v>0.47432344574771068</v>
      </c>
      <c r="K17" s="8">
        <v>54.409910141206716</v>
      </c>
      <c r="L17" s="10"/>
      <c r="M17" s="23">
        <f t="shared" si="2"/>
        <v>336.68451856550917</v>
      </c>
      <c r="N17" s="24">
        <f t="shared" si="2"/>
        <v>3.0335371680584217E-2</v>
      </c>
      <c r="O17" s="23">
        <f t="shared" si="2"/>
        <v>6.2267329337997133</v>
      </c>
    </row>
    <row r="18" spans="1:15" s="2" customFormat="1" x14ac:dyDescent="0.2">
      <c r="B18" s="10"/>
      <c r="C18" s="9"/>
      <c r="D18" s="10"/>
      <c r="E18" s="7"/>
      <c r="F18" s="7"/>
      <c r="G18" s="7"/>
      <c r="H18" s="9"/>
      <c r="I18" s="8"/>
      <c r="J18" s="9"/>
      <c r="K18" s="8"/>
      <c r="L18" s="10"/>
      <c r="M18" s="10"/>
      <c r="N18" s="10"/>
    </row>
    <row r="19" spans="1:15" s="11" customFormat="1" x14ac:dyDescent="0.2">
      <c r="A19" s="16" t="s">
        <v>1</v>
      </c>
      <c r="B19" s="18" t="s">
        <v>40</v>
      </c>
      <c r="C19" s="17" t="s">
        <v>34</v>
      </c>
      <c r="D19" s="18" t="s">
        <v>35</v>
      </c>
      <c r="E19" s="19" t="s">
        <v>36</v>
      </c>
      <c r="F19" s="19" t="s">
        <v>37</v>
      </c>
      <c r="G19" s="19" t="s">
        <v>18</v>
      </c>
      <c r="H19" s="17" t="s">
        <v>38</v>
      </c>
      <c r="I19" s="20" t="s">
        <v>110</v>
      </c>
      <c r="J19" s="17" t="s">
        <v>46</v>
      </c>
      <c r="K19" s="20" t="s">
        <v>39</v>
      </c>
      <c r="L19" s="25"/>
      <c r="M19" s="25"/>
      <c r="N19" s="25"/>
    </row>
    <row r="20" spans="1:15" s="2" customFormat="1" x14ac:dyDescent="0.2">
      <c r="A20" s="22" t="s">
        <v>6</v>
      </c>
      <c r="B20" s="10" t="s">
        <v>43</v>
      </c>
      <c r="C20" s="9">
        <v>0.19348396600000001</v>
      </c>
      <c r="D20" s="10">
        <v>771</v>
      </c>
      <c r="E20" s="7">
        <v>1.4936537759999999</v>
      </c>
      <c r="F20" s="7">
        <v>48.625895526000001</v>
      </c>
      <c r="G20" s="7">
        <v>37.417055720999997</v>
      </c>
      <c r="H20" s="9">
        <f t="shared" ref="H20:H27" si="4">C20-(C20*E20)/100</f>
        <v>0.19059398543588646</v>
      </c>
      <c r="I20" s="8">
        <f t="shared" ref="I20:I27" si="5">D20/H20</f>
        <v>4045.2483232182331</v>
      </c>
      <c r="J20" s="9">
        <f t="shared" ref="J20:J27" si="6">(C20*G20/100)/(C20-(C20*(E20/100)))</f>
        <v>0.37984411314896316</v>
      </c>
      <c r="K20" s="8">
        <v>67.343236057068665</v>
      </c>
      <c r="L20" s="10"/>
      <c r="M20" s="10"/>
      <c r="N20" s="10"/>
    </row>
    <row r="21" spans="1:15" s="2" customFormat="1" x14ac:dyDescent="0.2">
      <c r="A21" s="22" t="s">
        <v>7</v>
      </c>
      <c r="B21" s="10" t="s">
        <v>43</v>
      </c>
      <c r="C21" s="9">
        <v>0.17577785300000001</v>
      </c>
      <c r="D21" s="10">
        <v>1492</v>
      </c>
      <c r="E21" s="7">
        <v>0.567839282</v>
      </c>
      <c r="F21" s="7">
        <v>52.988415623999998</v>
      </c>
      <c r="G21" s="7">
        <v>38.320679736000002</v>
      </c>
      <c r="H21" s="9">
        <f t="shared" si="4"/>
        <v>0.17477971730160979</v>
      </c>
      <c r="I21" s="8">
        <f t="shared" si="5"/>
        <v>8536.4596249192928</v>
      </c>
      <c r="J21" s="9">
        <f t="shared" si="6"/>
        <v>0.38539522282615835</v>
      </c>
      <c r="K21" s="8">
        <v>35.738282360831676</v>
      </c>
      <c r="L21" s="10"/>
      <c r="M21" s="10"/>
      <c r="N21" s="10"/>
    </row>
    <row r="22" spans="1:15" s="2" customFormat="1" x14ac:dyDescent="0.2">
      <c r="A22" s="22" t="s">
        <v>8</v>
      </c>
      <c r="B22" s="10" t="s">
        <v>43</v>
      </c>
      <c r="C22" s="9">
        <v>0.16461688599999999</v>
      </c>
      <c r="D22" s="10">
        <v>689</v>
      </c>
      <c r="E22" s="7">
        <v>2.2217820709999998</v>
      </c>
      <c r="F22" s="7">
        <v>55.080073253999998</v>
      </c>
      <c r="G22" s="7">
        <v>36.843237307999999</v>
      </c>
      <c r="H22" s="9">
        <f t="shared" si="4"/>
        <v>0.16095945754101348</v>
      </c>
      <c r="I22" s="8">
        <f t="shared" si="5"/>
        <v>4280.5810265882537</v>
      </c>
      <c r="J22" s="9">
        <f t="shared" si="6"/>
        <v>0.37680413990315403</v>
      </c>
      <c r="K22" s="8">
        <v>68.227500725689467</v>
      </c>
      <c r="L22" s="10"/>
      <c r="M22" s="10"/>
      <c r="N22" s="10"/>
    </row>
    <row r="23" spans="1:15" s="2" customFormat="1" x14ac:dyDescent="0.2">
      <c r="A23" s="22" t="s">
        <v>9</v>
      </c>
      <c r="B23" s="10" t="s">
        <v>43</v>
      </c>
      <c r="C23" s="9">
        <v>9.8613310999999995E-2</v>
      </c>
      <c r="D23" s="10">
        <v>330</v>
      </c>
      <c r="E23" s="7">
        <v>2.4748036130000002</v>
      </c>
      <c r="F23" s="7">
        <v>58.763204815000002</v>
      </c>
      <c r="G23" s="7">
        <v>29.448375456000001</v>
      </c>
      <c r="H23" s="9">
        <f t="shared" si="4"/>
        <v>9.6172825216473065E-2</v>
      </c>
      <c r="I23" s="8">
        <f t="shared" si="5"/>
        <v>3431.3227177969561</v>
      </c>
      <c r="J23" s="9">
        <f t="shared" si="6"/>
        <v>0.30195658708691858</v>
      </c>
      <c r="K23" s="8">
        <v>64.838669696969674</v>
      </c>
      <c r="L23" s="10"/>
      <c r="M23" s="10"/>
      <c r="N23" s="10"/>
    </row>
    <row r="24" spans="1:15" s="2" customFormat="1" x14ac:dyDescent="0.2">
      <c r="A24" s="22" t="s">
        <v>10</v>
      </c>
      <c r="B24" s="10" t="s">
        <v>43</v>
      </c>
      <c r="C24" s="9">
        <v>0.25238517700000002</v>
      </c>
      <c r="D24" s="10">
        <v>876</v>
      </c>
      <c r="E24" s="7">
        <v>29.561209431000002</v>
      </c>
      <c r="F24" s="7">
        <v>44.692764382999997</v>
      </c>
      <c r="G24" s="7">
        <v>18.467310787999999</v>
      </c>
      <c r="H24" s="9">
        <f t="shared" si="4"/>
        <v>0.17777706625422995</v>
      </c>
      <c r="I24" s="8">
        <f t="shared" si="5"/>
        <v>4927.5197215105172</v>
      </c>
      <c r="J24" s="9">
        <f t="shared" si="6"/>
        <v>0.26217529629373615</v>
      </c>
      <c r="K24" s="8">
        <v>45.912969178082143</v>
      </c>
      <c r="L24" s="10"/>
      <c r="M24" s="10"/>
      <c r="N24" s="10"/>
    </row>
    <row r="25" spans="1:15" s="2" customFormat="1" x14ac:dyDescent="0.2">
      <c r="A25" s="22" t="s">
        <v>11</v>
      </c>
      <c r="B25" s="10" t="s">
        <v>43</v>
      </c>
      <c r="C25" s="9">
        <v>0.118155951</v>
      </c>
      <c r="D25" s="10">
        <v>451</v>
      </c>
      <c r="E25" s="7">
        <v>1.609542045</v>
      </c>
      <c r="F25" s="7">
        <v>58.912795269</v>
      </c>
      <c r="G25" s="7">
        <v>27.293494996</v>
      </c>
      <c r="H25" s="9">
        <f t="shared" si="4"/>
        <v>0.11625418128998539</v>
      </c>
      <c r="I25" s="8">
        <f t="shared" si="5"/>
        <v>3879.4303567888182</v>
      </c>
      <c r="J25" s="9">
        <f t="shared" si="6"/>
        <v>0.27739981664159946</v>
      </c>
      <c r="K25" s="8">
        <v>51.701483370288265</v>
      </c>
      <c r="L25" s="10"/>
      <c r="M25" s="10"/>
      <c r="N25" s="10"/>
    </row>
    <row r="26" spans="1:15" s="2" customFormat="1" x14ac:dyDescent="0.2">
      <c r="A26" s="22" t="s">
        <v>12</v>
      </c>
      <c r="B26" s="10" t="s">
        <v>43</v>
      </c>
      <c r="C26" s="9">
        <v>0.17441085000000001</v>
      </c>
      <c r="D26" s="10">
        <v>757</v>
      </c>
      <c r="E26" s="7">
        <v>2.0086023279999998</v>
      </c>
      <c r="F26" s="7">
        <v>57.443564981999998</v>
      </c>
      <c r="G26" s="7">
        <v>25.749587930000001</v>
      </c>
      <c r="H26" s="9">
        <f t="shared" si="4"/>
        <v>0.17090762960661543</v>
      </c>
      <c r="I26" s="8">
        <f t="shared" si="5"/>
        <v>4429.2931903766703</v>
      </c>
      <c r="J26" s="9">
        <f t="shared" si="6"/>
        <v>0.26277396324307833</v>
      </c>
      <c r="K26" s="8">
        <v>48.01638044914138</v>
      </c>
      <c r="L26" s="10"/>
      <c r="M26" s="10"/>
      <c r="N26" s="10"/>
    </row>
    <row r="27" spans="1:15" s="2" customFormat="1" x14ac:dyDescent="0.2">
      <c r="A27" s="22" t="s">
        <v>13</v>
      </c>
      <c r="B27" s="10" t="s">
        <v>43</v>
      </c>
      <c r="C27" s="9">
        <v>0.115504447</v>
      </c>
      <c r="D27" s="10">
        <v>750</v>
      </c>
      <c r="E27" s="7">
        <v>6.1613042099999999</v>
      </c>
      <c r="F27" s="7">
        <v>47.950048688000003</v>
      </c>
      <c r="G27" s="7">
        <v>36.705222882999998</v>
      </c>
      <c r="H27" s="9">
        <f t="shared" si="4"/>
        <v>0.10838786664425178</v>
      </c>
      <c r="I27" s="8">
        <f t="shared" si="5"/>
        <v>6919.5937074915701</v>
      </c>
      <c r="J27" s="9">
        <f t="shared" si="6"/>
        <v>0.39115231274251711</v>
      </c>
      <c r="K27" s="8">
        <v>46.180345333333264</v>
      </c>
      <c r="L27" s="10"/>
      <c r="M27" s="10"/>
      <c r="N27" s="10"/>
    </row>
    <row r="28" spans="1:15" s="2" customFormat="1" x14ac:dyDescent="0.2">
      <c r="B28" s="10"/>
      <c r="C28" s="9"/>
      <c r="D28" s="10"/>
      <c r="E28" s="7"/>
      <c r="F28" s="7"/>
      <c r="G28" s="7"/>
      <c r="H28" s="9"/>
      <c r="I28" s="8"/>
      <c r="J28" s="9"/>
      <c r="K28" s="8"/>
      <c r="L28" s="10"/>
      <c r="M28" s="10"/>
      <c r="N28" s="10"/>
    </row>
    <row r="29" spans="1:15" s="2" customFormat="1" x14ac:dyDescent="0.2">
      <c r="A29" s="16" t="s">
        <v>1</v>
      </c>
      <c r="B29" s="18" t="s">
        <v>40</v>
      </c>
      <c r="C29" s="17" t="s">
        <v>34</v>
      </c>
      <c r="D29" s="18" t="s">
        <v>35</v>
      </c>
      <c r="E29" s="19" t="s">
        <v>36</v>
      </c>
      <c r="F29" s="19" t="s">
        <v>37</v>
      </c>
      <c r="G29" s="19" t="s">
        <v>18</v>
      </c>
      <c r="H29" s="17" t="s">
        <v>38</v>
      </c>
      <c r="I29" s="20" t="s">
        <v>110</v>
      </c>
      <c r="J29" s="17" t="s">
        <v>46</v>
      </c>
      <c r="K29" s="20" t="s">
        <v>39</v>
      </c>
      <c r="L29" s="10"/>
      <c r="M29" s="10"/>
      <c r="N29" s="10"/>
    </row>
    <row r="30" spans="1:15" s="2" customFormat="1" x14ac:dyDescent="0.2">
      <c r="A30" s="22" t="s">
        <v>6</v>
      </c>
      <c r="B30" s="10" t="s">
        <v>44</v>
      </c>
      <c r="C30" s="9">
        <v>0.230199236</v>
      </c>
      <c r="D30" s="10">
        <v>872</v>
      </c>
      <c r="E30" s="7">
        <v>0.83141375699999998</v>
      </c>
      <c r="F30" s="7">
        <v>46.538613798999997</v>
      </c>
      <c r="G30" s="7">
        <v>43.799489377</v>
      </c>
      <c r="H30" s="9">
        <f t="shared" ref="H30:H37" si="7">C30-(C30*E30)/100</f>
        <v>0.2282853278833871</v>
      </c>
      <c r="I30" s="8">
        <f t="shared" ref="I30:I37" si="8">D30/H30</f>
        <v>3819.7811838588059</v>
      </c>
      <c r="J30" s="9">
        <f t="shared" ref="J30:J37" si="9">(C30*G30/100)/(C30-(C30*(E30/100)))</f>
        <v>0.44166697374988212</v>
      </c>
      <c r="K30" s="8">
        <v>71.419034403669741</v>
      </c>
      <c r="L30" s="10"/>
      <c r="M30" s="10"/>
      <c r="N30" s="10"/>
    </row>
    <row r="31" spans="1:15" s="2" customFormat="1" x14ac:dyDescent="0.2">
      <c r="A31" s="22" t="s">
        <v>7</v>
      </c>
      <c r="B31" s="10" t="s">
        <v>44</v>
      </c>
      <c r="C31" s="9">
        <v>0.268884132</v>
      </c>
      <c r="D31" s="10">
        <v>2171</v>
      </c>
      <c r="E31" s="7">
        <v>0.71542954400000003</v>
      </c>
      <c r="F31" s="7">
        <v>48.271800446999997</v>
      </c>
      <c r="G31" s="7">
        <v>43.948336730999998</v>
      </c>
      <c r="H31" s="9">
        <f t="shared" si="7"/>
        <v>0.26696045548054403</v>
      </c>
      <c r="I31" s="8">
        <f t="shared" si="8"/>
        <v>8132.2905899754942</v>
      </c>
      <c r="J31" s="9">
        <f t="shared" si="9"/>
        <v>0.44265021774432323</v>
      </c>
      <c r="K31" s="8">
        <v>41.461906955320153</v>
      </c>
      <c r="L31" s="10"/>
      <c r="M31" s="10"/>
      <c r="N31" s="10"/>
    </row>
    <row r="32" spans="1:15" s="2" customFormat="1" x14ac:dyDescent="0.2">
      <c r="A32" s="22" t="s">
        <v>8</v>
      </c>
      <c r="B32" s="10" t="s">
        <v>44</v>
      </c>
      <c r="C32" s="9">
        <v>0.23924944000000001</v>
      </c>
      <c r="D32" s="10">
        <v>887</v>
      </c>
      <c r="E32" s="7">
        <v>5.8783136560000004</v>
      </c>
      <c r="F32" s="7">
        <v>52.090334964</v>
      </c>
      <c r="G32" s="7">
        <v>35.665872348000001</v>
      </c>
      <c r="H32" s="9">
        <f t="shared" si="7"/>
        <v>0.22518560749657648</v>
      </c>
      <c r="I32" s="8">
        <f t="shared" si="8"/>
        <v>3938.9728760239932</v>
      </c>
      <c r="J32" s="9">
        <f t="shared" si="9"/>
        <v>0.37893363084939674</v>
      </c>
      <c r="K32" s="8">
        <v>65.104759864712491</v>
      </c>
      <c r="L32" s="10"/>
      <c r="M32" s="10"/>
      <c r="N32" s="10"/>
    </row>
    <row r="33" spans="1:14" s="2" customFormat="1" x14ac:dyDescent="0.2">
      <c r="A33" s="22" t="s">
        <v>9</v>
      </c>
      <c r="B33" s="10" t="s">
        <v>44</v>
      </c>
      <c r="C33" s="9">
        <v>0.149817107</v>
      </c>
      <c r="D33" s="10">
        <v>507</v>
      </c>
      <c r="E33" s="7">
        <v>1.930602766</v>
      </c>
      <c r="F33" s="7">
        <v>55.813415218999999</v>
      </c>
      <c r="G33" s="7">
        <v>33.338124293</v>
      </c>
      <c r="H33" s="9">
        <f t="shared" si="7"/>
        <v>0.14692473378831683</v>
      </c>
      <c r="I33" s="8">
        <f t="shared" si="8"/>
        <v>3450.7464259248886</v>
      </c>
      <c r="J33" s="9">
        <f t="shared" si="9"/>
        <v>0.33994421535449076</v>
      </c>
      <c r="K33" s="8">
        <v>88.810159763313493</v>
      </c>
      <c r="L33" s="10"/>
      <c r="M33" s="10"/>
      <c r="N33" s="10"/>
    </row>
    <row r="34" spans="1:14" s="2" customFormat="1" x14ac:dyDescent="0.2">
      <c r="A34" s="22" t="s">
        <v>10</v>
      </c>
      <c r="B34" s="10" t="s">
        <v>44</v>
      </c>
      <c r="C34" s="9">
        <v>0.28878902400000001</v>
      </c>
      <c r="D34" s="10">
        <v>1043</v>
      </c>
      <c r="E34" s="7">
        <v>19.882583655000001</v>
      </c>
      <c r="F34" s="7">
        <v>46.672269225999997</v>
      </c>
      <c r="G34" s="7">
        <v>23.514780693999999</v>
      </c>
      <c r="H34" s="9">
        <f t="shared" si="7"/>
        <v>0.23137030471674197</v>
      </c>
      <c r="I34" s="8">
        <f t="shared" si="8"/>
        <v>4507.9250825939225</v>
      </c>
      <c r="J34" s="9">
        <f t="shared" si="9"/>
        <v>0.29350398161544711</v>
      </c>
      <c r="K34" s="8">
        <v>51.761930968360495</v>
      </c>
      <c r="L34" s="10"/>
      <c r="M34" s="10"/>
      <c r="N34" s="10"/>
    </row>
    <row r="35" spans="1:14" s="2" customFormat="1" x14ac:dyDescent="0.2">
      <c r="A35" s="22" t="s">
        <v>11</v>
      </c>
      <c r="B35" s="10" t="s">
        <v>44</v>
      </c>
      <c r="C35" s="9">
        <v>9.3338200999999996E-2</v>
      </c>
      <c r="D35" s="10">
        <v>371</v>
      </c>
      <c r="E35" s="7">
        <v>1.0976711729999999</v>
      </c>
      <c r="F35" s="7">
        <v>61.676884966000003</v>
      </c>
      <c r="G35" s="7">
        <v>28.335010722</v>
      </c>
      <c r="H35" s="9">
        <f t="shared" si="7"/>
        <v>9.2313654474226195E-2</v>
      </c>
      <c r="I35" s="8">
        <f t="shared" si="8"/>
        <v>4018.907084905652</v>
      </c>
      <c r="J35" s="9">
        <f t="shared" si="9"/>
        <v>0.28649487891800424</v>
      </c>
      <c r="K35" s="8">
        <v>41.820805929919132</v>
      </c>
      <c r="L35" s="10"/>
      <c r="M35" s="10"/>
      <c r="N35" s="10"/>
    </row>
    <row r="36" spans="1:14" s="2" customFormat="1" x14ac:dyDescent="0.2">
      <c r="A36" s="22" t="s">
        <v>12</v>
      </c>
      <c r="B36" s="10" t="s">
        <v>44</v>
      </c>
      <c r="C36" s="9">
        <v>0.105445039</v>
      </c>
      <c r="D36" s="10">
        <v>443</v>
      </c>
      <c r="E36" s="7">
        <v>7.7203781779999998</v>
      </c>
      <c r="F36" s="7">
        <v>56.589398062999997</v>
      </c>
      <c r="G36" s="7">
        <v>27.592921267000001</v>
      </c>
      <c r="H36" s="9">
        <f t="shared" si="7"/>
        <v>9.7304283219260421E-2</v>
      </c>
      <c r="I36" s="8">
        <f t="shared" si="8"/>
        <v>4552.7286707591975</v>
      </c>
      <c r="J36" s="9">
        <f t="shared" si="9"/>
        <v>0.2990142430386693</v>
      </c>
      <c r="K36" s="8">
        <v>45.86395259593678</v>
      </c>
      <c r="L36" s="10"/>
      <c r="M36" s="10"/>
      <c r="N36" s="10"/>
    </row>
    <row r="37" spans="1:14" s="2" customFormat="1" x14ac:dyDescent="0.2">
      <c r="A37" s="22" t="s">
        <v>13</v>
      </c>
      <c r="B37" s="10" t="s">
        <v>44</v>
      </c>
      <c r="C37" s="9">
        <v>0.14004361900000001</v>
      </c>
      <c r="D37" s="10">
        <v>884</v>
      </c>
      <c r="E37" s="7">
        <v>5.6676355489999999</v>
      </c>
      <c r="F37" s="7">
        <v>46.777392747</v>
      </c>
      <c r="G37" s="7">
        <v>40.084563254999999</v>
      </c>
      <c r="H37" s="9">
        <f t="shared" si="7"/>
        <v>0.13210645706544988</v>
      </c>
      <c r="I37" s="8">
        <f t="shared" si="8"/>
        <v>6691.5729907285104</v>
      </c>
      <c r="J37" s="9">
        <f t="shared" si="9"/>
        <v>0.42492906319359275</v>
      </c>
      <c r="K37" s="8">
        <v>55.405623303167431</v>
      </c>
      <c r="L37" s="10"/>
      <c r="M37" s="10"/>
      <c r="N37" s="10"/>
    </row>
    <row r="38" spans="1:14" s="2" customFormat="1" x14ac:dyDescent="0.2">
      <c r="B38" s="10"/>
      <c r="C38" s="9"/>
      <c r="D38" s="10"/>
      <c r="E38" s="7"/>
      <c r="F38" s="7"/>
      <c r="G38" s="7"/>
      <c r="H38" s="9"/>
      <c r="I38" s="8"/>
      <c r="J38" s="9"/>
      <c r="K38" s="8"/>
      <c r="L38" s="10"/>
      <c r="M38" s="10"/>
      <c r="N38" s="10"/>
    </row>
    <row r="39" spans="1:14" s="2" customFormat="1" x14ac:dyDescent="0.2">
      <c r="A39" s="16" t="s">
        <v>1</v>
      </c>
      <c r="B39" s="18" t="s">
        <v>40</v>
      </c>
      <c r="C39" s="17" t="s">
        <v>34</v>
      </c>
      <c r="D39" s="18" t="s">
        <v>35</v>
      </c>
      <c r="E39" s="19" t="s">
        <v>36</v>
      </c>
      <c r="F39" s="19" t="s">
        <v>37</v>
      </c>
      <c r="G39" s="19" t="s">
        <v>18</v>
      </c>
      <c r="H39" s="17" t="s">
        <v>38</v>
      </c>
      <c r="I39" s="20" t="s">
        <v>110</v>
      </c>
      <c r="J39" s="17" t="s">
        <v>46</v>
      </c>
      <c r="K39" s="20" t="s">
        <v>39</v>
      </c>
      <c r="L39" s="10"/>
      <c r="M39" s="10"/>
      <c r="N39" s="10"/>
    </row>
    <row r="40" spans="1:14" s="2" customFormat="1" x14ac:dyDescent="0.2">
      <c r="A40" s="22" t="s">
        <v>6</v>
      </c>
      <c r="B40" s="10" t="s">
        <v>45</v>
      </c>
      <c r="C40" s="9">
        <v>0.16756396400000001</v>
      </c>
      <c r="D40" s="10">
        <v>610</v>
      </c>
      <c r="E40" s="7">
        <v>1.2419360189999999</v>
      </c>
      <c r="F40" s="7">
        <v>46.488867882999998</v>
      </c>
      <c r="G40" s="7">
        <v>39.791523423000001</v>
      </c>
      <c r="H40" s="9">
        <f t="shared" ref="H40:H47" si="10">C40-(C40*E40)/100</f>
        <v>0.16548292677621981</v>
      </c>
      <c r="I40" s="8">
        <f t="shared" ref="I40:I47" si="11">D40/H40</f>
        <v>3686.1808760784988</v>
      </c>
      <c r="J40" s="9">
        <f>(C40*G40/100)/(C40-(C40*(E40/100)))</f>
        <v>0.40291923331603041</v>
      </c>
      <c r="K40" s="8">
        <v>78.317313114754057</v>
      </c>
      <c r="L40" s="10"/>
      <c r="M40" s="10"/>
      <c r="N40" s="10"/>
    </row>
    <row r="41" spans="1:14" s="2" customFormat="1" x14ac:dyDescent="0.2">
      <c r="A41" s="22" t="s">
        <v>7</v>
      </c>
      <c r="B41" s="10" t="s">
        <v>45</v>
      </c>
      <c r="C41" s="9">
        <v>0.225283082</v>
      </c>
      <c r="D41" s="10">
        <v>1797</v>
      </c>
      <c r="E41" s="7">
        <v>0.81977878400000004</v>
      </c>
      <c r="F41" s="7">
        <v>48.946775062</v>
      </c>
      <c r="G41" s="7">
        <v>40.777679435000003</v>
      </c>
      <c r="H41" s="9">
        <f t="shared" si="10"/>
        <v>0.22343625908982268</v>
      </c>
      <c r="I41" s="8">
        <f t="shared" si="11"/>
        <v>8042.5621486868677</v>
      </c>
      <c r="J41" s="9">
        <f t="shared" ref="J41:J47" si="12">(C41*G41/100)/(C41-(C41*(E41/100)))</f>
        <v>0.41114729262593791</v>
      </c>
      <c r="K41" s="8">
        <v>44.689608235948761</v>
      </c>
      <c r="L41" s="10"/>
      <c r="M41" s="10"/>
      <c r="N41" s="10"/>
    </row>
    <row r="42" spans="1:14" s="2" customFormat="1" x14ac:dyDescent="0.2">
      <c r="A42" s="22" t="s">
        <v>8</v>
      </c>
      <c r="B42" s="10" t="s">
        <v>45</v>
      </c>
      <c r="C42" s="9">
        <v>0.18170140700000001</v>
      </c>
      <c r="D42" s="10">
        <v>674</v>
      </c>
      <c r="E42" s="7">
        <v>2.2313973460000001</v>
      </c>
      <c r="F42" s="7">
        <v>48.916986436999998</v>
      </c>
      <c r="G42" s="7">
        <v>43.178593921000001</v>
      </c>
      <c r="H42" s="9">
        <f t="shared" si="10"/>
        <v>0.17764692662655734</v>
      </c>
      <c r="I42" s="8">
        <f t="shared" si="11"/>
        <v>3794.0425584556119</v>
      </c>
      <c r="J42" s="9">
        <f t="shared" si="12"/>
        <v>0.44164069802457634</v>
      </c>
      <c r="K42" s="8">
        <v>66.411062314540089</v>
      </c>
      <c r="L42" s="10"/>
      <c r="M42" s="10"/>
      <c r="N42" s="10"/>
    </row>
    <row r="43" spans="1:14" s="2" customFormat="1" x14ac:dyDescent="0.2">
      <c r="A43" s="22" t="s">
        <v>9</v>
      </c>
      <c r="B43" s="10" t="s">
        <v>45</v>
      </c>
      <c r="C43" s="9">
        <v>7.2867180000000004E-2</v>
      </c>
      <c r="D43" s="10">
        <v>279</v>
      </c>
      <c r="E43" s="7">
        <v>3.1992013319999999</v>
      </c>
      <c r="F43" s="7">
        <v>62.416035207</v>
      </c>
      <c r="G43" s="7">
        <v>26.495381760000001</v>
      </c>
      <c r="H43" s="9">
        <f t="shared" si="10"/>
        <v>7.0536012206849172E-2</v>
      </c>
      <c r="I43" s="8">
        <f t="shared" si="11"/>
        <v>3955.4263314719769</v>
      </c>
      <c r="J43" s="9">
        <f t="shared" si="12"/>
        <v>0.27371036318483111</v>
      </c>
      <c r="K43" s="8">
        <v>51.99241218637993</v>
      </c>
      <c r="L43" s="10"/>
      <c r="M43" s="10"/>
      <c r="N43" s="10"/>
    </row>
    <row r="44" spans="1:14" s="2" customFormat="1" x14ac:dyDescent="0.2">
      <c r="A44" s="22" t="s">
        <v>10</v>
      </c>
      <c r="B44" s="10" t="s">
        <v>45</v>
      </c>
      <c r="C44" s="9">
        <v>0.26450782099999998</v>
      </c>
      <c r="D44" s="10">
        <v>835</v>
      </c>
      <c r="E44" s="7">
        <v>29.938686003000001</v>
      </c>
      <c r="F44" s="7">
        <v>40.344477984000001</v>
      </c>
      <c r="G44" s="7">
        <v>12.417665498</v>
      </c>
      <c r="H44" s="9">
        <f t="shared" si="10"/>
        <v>0.18531765501743269</v>
      </c>
      <c r="I44" s="8">
        <f t="shared" si="11"/>
        <v>4505.7768506808061</v>
      </c>
      <c r="J44" s="9">
        <f t="shared" si="12"/>
        <v>0.17723997438203515</v>
      </c>
      <c r="K44" s="8">
        <v>33.624117365269427</v>
      </c>
      <c r="L44" s="10"/>
      <c r="M44" s="10"/>
      <c r="N44" s="10"/>
    </row>
    <row r="45" spans="1:14" s="2" customFormat="1" x14ac:dyDescent="0.2">
      <c r="A45" s="22" t="s">
        <v>11</v>
      </c>
      <c r="B45" s="10" t="s">
        <v>45</v>
      </c>
      <c r="C45" s="9">
        <v>0.116992231</v>
      </c>
      <c r="D45" s="10">
        <v>510</v>
      </c>
      <c r="E45" s="7">
        <v>1.4958493340000001</v>
      </c>
      <c r="F45" s="7">
        <v>60.791776667000001</v>
      </c>
      <c r="G45" s="7">
        <v>25.256177254000001</v>
      </c>
      <c r="H45" s="9">
        <f t="shared" si="10"/>
        <v>0.11524220349175476</v>
      </c>
      <c r="I45" s="8">
        <f t="shared" si="11"/>
        <v>4425.4620663903652</v>
      </c>
      <c r="J45" s="9">
        <f t="shared" si="12"/>
        <v>0.25639708665309574</v>
      </c>
      <c r="K45" s="8">
        <v>36.065886274509822</v>
      </c>
      <c r="L45" s="10"/>
      <c r="M45" s="10"/>
      <c r="N45" s="10"/>
    </row>
    <row r="46" spans="1:14" s="2" customFormat="1" x14ac:dyDescent="0.2">
      <c r="A46" s="22" t="s">
        <v>12</v>
      </c>
      <c r="B46" s="10" t="s">
        <v>45</v>
      </c>
      <c r="C46" s="9">
        <v>0.198141821</v>
      </c>
      <c r="D46" s="10">
        <v>761</v>
      </c>
      <c r="E46" s="7">
        <v>4.4779858969999999</v>
      </c>
      <c r="F46" s="7">
        <v>51.308127767999999</v>
      </c>
      <c r="G46" s="7">
        <v>28.041961408999999</v>
      </c>
      <c r="H46" s="9">
        <f t="shared" si="10"/>
        <v>0.18926905819956102</v>
      </c>
      <c r="I46" s="8">
        <f t="shared" si="11"/>
        <v>4020.7311603866005</v>
      </c>
      <c r="J46" s="9">
        <f t="shared" si="12"/>
        <v>0.2935654327678095</v>
      </c>
      <c r="K46" s="8">
        <v>56.714902759526936</v>
      </c>
      <c r="L46" s="10"/>
      <c r="M46" s="10"/>
      <c r="N46" s="10"/>
    </row>
    <row r="47" spans="1:14" s="2" customFormat="1" x14ac:dyDescent="0.2">
      <c r="A47" s="22" t="s">
        <v>13</v>
      </c>
      <c r="B47" s="10" t="s">
        <v>45</v>
      </c>
      <c r="C47" s="9">
        <v>0.11313763</v>
      </c>
      <c r="D47" s="10">
        <v>683</v>
      </c>
      <c r="E47" s="7">
        <v>3.510270416</v>
      </c>
      <c r="F47" s="7">
        <v>43.257889202999998</v>
      </c>
      <c r="G47" s="7">
        <v>43.004915988999997</v>
      </c>
      <c r="H47" s="9">
        <f t="shared" si="10"/>
        <v>0.10916619324474647</v>
      </c>
      <c r="I47" s="8">
        <f t="shared" si="11"/>
        <v>6256.5156821832188</v>
      </c>
      <c r="J47" s="9">
        <f t="shared" si="12"/>
        <v>0.44569423268578728</v>
      </c>
      <c r="K47" s="8">
        <v>63.763800878477269</v>
      </c>
      <c r="L47" s="10"/>
      <c r="M47" s="10"/>
      <c r="N4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CD0B-49EE-2042-BFBB-902B0237CCF2}">
  <dimension ref="A1:N92"/>
  <sheetViews>
    <sheetView workbookViewId="0">
      <selection activeCell="C69" sqref="C69"/>
    </sheetView>
  </sheetViews>
  <sheetFormatPr baseColWidth="10" defaultRowHeight="16" x14ac:dyDescent="0.2"/>
  <cols>
    <col min="1" max="1" width="8.1640625" customWidth="1"/>
    <col min="2" max="2" width="20.83203125" bestFit="1" customWidth="1"/>
    <col min="3" max="3" width="20.33203125" bestFit="1" customWidth="1"/>
    <col min="4" max="4" width="15.83203125" bestFit="1" customWidth="1"/>
    <col min="5" max="5" width="19.83203125" bestFit="1" customWidth="1"/>
    <col min="6" max="7" width="20" bestFit="1" customWidth="1"/>
    <col min="8" max="8" width="32.1640625" bestFit="1" customWidth="1"/>
    <col min="9" max="9" width="40.5" bestFit="1" customWidth="1"/>
    <col min="10" max="10" width="13.83203125" bestFit="1" customWidth="1"/>
    <col min="11" max="11" width="10.6640625" bestFit="1" customWidth="1"/>
    <col min="12" max="12" width="20.1640625" bestFit="1" customWidth="1"/>
    <col min="13" max="13" width="35.1640625" bestFit="1" customWidth="1"/>
    <col min="14" max="14" width="40.5" bestFit="1" customWidth="1"/>
  </cols>
  <sheetData>
    <row r="1" spans="1:14" x14ac:dyDescent="0.2">
      <c r="A1" s="1" t="s">
        <v>33</v>
      </c>
      <c r="B1" s="14"/>
      <c r="C1" s="9"/>
      <c r="D1" s="10"/>
      <c r="E1" s="7"/>
      <c r="F1" s="7"/>
      <c r="G1" s="7"/>
      <c r="H1" s="9"/>
      <c r="I1" s="15"/>
      <c r="J1" s="13"/>
      <c r="K1" s="15"/>
      <c r="L1" s="14"/>
      <c r="M1" s="14"/>
      <c r="N1" s="14"/>
    </row>
    <row r="2" spans="1:14" x14ac:dyDescent="0.2">
      <c r="A2" s="2"/>
      <c r="B2" s="14"/>
      <c r="C2" s="9"/>
      <c r="D2" s="10"/>
      <c r="E2" s="7"/>
      <c r="F2" s="7"/>
      <c r="G2" s="7"/>
      <c r="H2" s="9"/>
      <c r="I2" s="8"/>
      <c r="J2" s="9"/>
      <c r="K2" s="8"/>
      <c r="L2" s="14"/>
      <c r="M2" s="14"/>
      <c r="N2" s="14"/>
    </row>
    <row r="3" spans="1:14" x14ac:dyDescent="0.2">
      <c r="A3" s="3" t="s">
        <v>32</v>
      </c>
      <c r="B3" s="14"/>
      <c r="C3" s="9"/>
      <c r="D3" s="10"/>
      <c r="E3" s="7"/>
      <c r="F3" s="7"/>
      <c r="G3" s="7"/>
      <c r="H3" s="9"/>
      <c r="I3" s="15"/>
      <c r="J3" s="13"/>
      <c r="K3" s="15"/>
      <c r="L3" s="14"/>
      <c r="M3" s="14"/>
      <c r="N3" s="14"/>
    </row>
    <row r="4" spans="1:14" x14ac:dyDescent="0.2">
      <c r="A4" s="2" t="s">
        <v>0</v>
      </c>
      <c r="B4" s="14"/>
      <c r="C4" s="9"/>
      <c r="D4" s="10"/>
      <c r="E4" s="7"/>
      <c r="F4" s="7"/>
      <c r="G4" s="12"/>
      <c r="H4" s="13"/>
      <c r="I4" s="15"/>
      <c r="J4" s="13"/>
      <c r="K4" s="15"/>
      <c r="L4" s="14"/>
      <c r="M4" s="14"/>
      <c r="N4" s="14"/>
    </row>
    <row r="6" spans="1:14" s="2" customFormat="1" x14ac:dyDescent="0.2">
      <c r="A6" s="11" t="s">
        <v>78</v>
      </c>
    </row>
    <row r="7" spans="1:14" s="2" customFormat="1" x14ac:dyDescent="0.2"/>
    <row r="8" spans="1:14" s="2" customFormat="1" x14ac:dyDescent="0.2">
      <c r="A8" s="26" t="s">
        <v>79</v>
      </c>
    </row>
    <row r="9" spans="1:14" s="2" customFormat="1" x14ac:dyDescent="0.2"/>
    <row r="10" spans="1:14" s="2" customFormat="1" x14ac:dyDescent="0.2">
      <c r="A10" s="4" t="s">
        <v>1</v>
      </c>
      <c r="B10" s="6" t="s">
        <v>14</v>
      </c>
      <c r="C10" s="6" t="s">
        <v>92</v>
      </c>
      <c r="D10" s="6" t="s">
        <v>94</v>
      </c>
      <c r="E10" s="6" t="s">
        <v>28</v>
      </c>
      <c r="F10" s="6" t="s">
        <v>93</v>
      </c>
      <c r="G10" s="6" t="s">
        <v>29</v>
      </c>
      <c r="H10" s="6" t="s">
        <v>85</v>
      </c>
      <c r="I10" s="6" t="s">
        <v>30</v>
      </c>
      <c r="J10" s="6" t="s">
        <v>84</v>
      </c>
      <c r="K10" s="6" t="s">
        <v>80</v>
      </c>
      <c r="L10" s="6" t="s">
        <v>95</v>
      </c>
      <c r="M10" s="6" t="s">
        <v>96</v>
      </c>
      <c r="N10" s="6" t="s">
        <v>97</v>
      </c>
    </row>
    <row r="11" spans="1:14" s="2" customFormat="1" x14ac:dyDescent="0.2">
      <c r="A11" s="2" t="s">
        <v>6</v>
      </c>
      <c r="B11" s="9">
        <v>551.44810178499995</v>
      </c>
      <c r="C11" s="9">
        <v>54.353016572000001</v>
      </c>
      <c r="D11" s="9">
        <f t="shared" ref="D11:D18" si="0">C11*B11/100</f>
        <v>299.72867814918044</v>
      </c>
      <c r="E11" s="9">
        <v>0.93073262199999995</v>
      </c>
      <c r="F11" s="9">
        <f t="shared" ref="F11:F15" si="1">E11*B11/100</f>
        <v>5.1325073767127583</v>
      </c>
      <c r="G11" s="9">
        <f t="shared" ref="G11:G12" si="2">H11*100/B11</f>
        <v>33.827406158000002</v>
      </c>
      <c r="H11" s="9">
        <f t="shared" ref="H11:H12" si="3">B11-L11-J11</f>
        <v>186.54058914139321</v>
      </c>
      <c r="I11" s="9">
        <v>10.888844647999999</v>
      </c>
      <c r="J11" s="9">
        <f t="shared" ref="J11:J18" si="4">I11*B11/100</f>
        <v>60.046327117713552</v>
      </c>
      <c r="K11" s="9">
        <f t="shared" ref="K11:K15" si="5">D11+F11+H11+J11</f>
        <v>551.44810178499995</v>
      </c>
      <c r="L11" s="9">
        <f t="shared" ref="L11:L15" si="6">D11+F11</f>
        <v>304.86118552589318</v>
      </c>
      <c r="M11" s="9">
        <f t="shared" ref="M11:M18" si="7">B11-J11</f>
        <v>491.40177466728642</v>
      </c>
      <c r="N11" s="9">
        <f t="shared" ref="N11:N18" si="8">L11*100/M11</f>
        <v>62.039089242668211</v>
      </c>
    </row>
    <row r="12" spans="1:14" s="2" customFormat="1" x14ac:dyDescent="0.2">
      <c r="A12" s="2" t="s">
        <v>7</v>
      </c>
      <c r="B12" s="9">
        <v>433.185771327</v>
      </c>
      <c r="C12" s="9">
        <f>26.378129232+23.410336973</f>
        <v>49.788466204999999</v>
      </c>
      <c r="D12" s="9">
        <f t="shared" si="0"/>
        <v>215.67655136201196</v>
      </c>
      <c r="E12" s="9">
        <v>2.942133986</v>
      </c>
      <c r="F12" s="9">
        <f t="shared" si="1"/>
        <v>12.744905800727912</v>
      </c>
      <c r="G12" s="9">
        <f t="shared" si="2"/>
        <v>44.693256639000005</v>
      </c>
      <c r="H12" s="9">
        <f t="shared" si="3"/>
        <v>193.60482850280781</v>
      </c>
      <c r="I12" s="9">
        <v>2.5761431699999999</v>
      </c>
      <c r="J12" s="9">
        <f t="shared" si="4"/>
        <v>11.159485661452329</v>
      </c>
      <c r="K12" s="9">
        <f t="shared" si="5"/>
        <v>433.185771327</v>
      </c>
      <c r="L12" s="9">
        <f t="shared" si="6"/>
        <v>228.42145716273987</v>
      </c>
      <c r="M12" s="9">
        <f t="shared" si="7"/>
        <v>422.02628566554768</v>
      </c>
      <c r="N12" s="9">
        <f t="shared" si="8"/>
        <v>54.124936033904291</v>
      </c>
    </row>
    <row r="13" spans="1:14" s="2" customFormat="1" x14ac:dyDescent="0.2">
      <c r="A13" s="2" t="s">
        <v>8</v>
      </c>
      <c r="B13" s="9">
        <v>461.51296822699999</v>
      </c>
      <c r="C13" s="9">
        <v>58.121945574000001</v>
      </c>
      <c r="D13" s="9">
        <f t="shared" si="0"/>
        <v>268.24031620984886</v>
      </c>
      <c r="E13" s="9">
        <v>3.7662396789999999</v>
      </c>
      <c r="F13" s="9">
        <f t="shared" si="1"/>
        <v>17.381684533095935</v>
      </c>
      <c r="G13" s="9">
        <f>H13*100/B13</f>
        <v>26.615437055999998</v>
      </c>
      <c r="H13" s="9">
        <f>B13-L13-J13</f>
        <v>122.83369356373444</v>
      </c>
      <c r="I13" s="9">
        <v>11.496377690999999</v>
      </c>
      <c r="J13" s="9">
        <f t="shared" si="4"/>
        <v>53.057273920320739</v>
      </c>
      <c r="K13" s="9">
        <f t="shared" si="5"/>
        <v>461.51296822699999</v>
      </c>
      <c r="L13" s="9">
        <f t="shared" si="6"/>
        <v>285.62200074294481</v>
      </c>
      <c r="M13" s="9">
        <f t="shared" si="7"/>
        <v>408.45569430667922</v>
      </c>
      <c r="N13" s="9">
        <f t="shared" si="8"/>
        <v>69.927290701079642</v>
      </c>
    </row>
    <row r="14" spans="1:14" s="2" customFormat="1" x14ac:dyDescent="0.2">
      <c r="A14" s="2" t="s">
        <v>9</v>
      </c>
      <c r="B14" s="9">
        <v>410.408411419</v>
      </c>
      <c r="C14" s="9">
        <v>47.292852033999999</v>
      </c>
      <c r="D14" s="9">
        <f t="shared" si="0"/>
        <v>194.09384274747762</v>
      </c>
      <c r="E14" s="9">
        <v>1.245847902</v>
      </c>
      <c r="F14" s="9">
        <f t="shared" si="1"/>
        <v>5.1130645832951398</v>
      </c>
      <c r="G14" s="9">
        <f>H14*100/B14</f>
        <v>37.576472769999995</v>
      </c>
      <c r="H14" s="9">
        <f>B14-L14-J14</f>
        <v>154.21700496265009</v>
      </c>
      <c r="I14" s="9">
        <v>13.884827294000001</v>
      </c>
      <c r="J14" s="9">
        <f t="shared" si="4"/>
        <v>56.98449912557713</v>
      </c>
      <c r="K14" s="9">
        <f t="shared" si="5"/>
        <v>410.408411419</v>
      </c>
      <c r="L14" s="9">
        <f t="shared" si="6"/>
        <v>199.20690733077276</v>
      </c>
      <c r="M14" s="9">
        <f t="shared" si="7"/>
        <v>353.42391229342286</v>
      </c>
      <c r="N14" s="9">
        <f t="shared" si="8"/>
        <v>56.364863949948408</v>
      </c>
    </row>
    <row r="15" spans="1:14" s="2" customFormat="1" x14ac:dyDescent="0.2">
      <c r="A15" s="2" t="s">
        <v>10</v>
      </c>
      <c r="B15" s="9">
        <v>557.43907506000005</v>
      </c>
      <c r="C15" s="9">
        <v>47.348175429999998</v>
      </c>
      <c r="D15" s="9">
        <f t="shared" si="0"/>
        <v>263.93723117477816</v>
      </c>
      <c r="E15" s="9">
        <v>1.7038118339999999</v>
      </c>
      <c r="F15" s="9">
        <f t="shared" si="1"/>
        <v>9.4977129282124224</v>
      </c>
      <c r="G15" s="9">
        <f t="shared" ref="G15:G18" si="9">H15*100/B15</f>
        <v>34.560336567000007</v>
      </c>
      <c r="H15" s="9">
        <f t="shared" ref="H15:H18" si="10">B15-L15-J15</f>
        <v>192.65282049670782</v>
      </c>
      <c r="I15" s="9">
        <v>16.387676168999999</v>
      </c>
      <c r="J15" s="9">
        <f t="shared" si="4"/>
        <v>91.351310460301647</v>
      </c>
      <c r="K15" s="9">
        <f t="shared" si="5"/>
        <v>557.43907506000005</v>
      </c>
      <c r="L15" s="9">
        <f t="shared" si="6"/>
        <v>273.43494410299058</v>
      </c>
      <c r="M15" s="9">
        <f t="shared" si="7"/>
        <v>466.0877645996984</v>
      </c>
      <c r="N15" s="9">
        <f t="shared" si="8"/>
        <v>58.665977712981039</v>
      </c>
    </row>
    <row r="16" spans="1:14" s="2" customFormat="1" x14ac:dyDescent="0.2">
      <c r="A16" s="2" t="s">
        <v>11</v>
      </c>
      <c r="B16" s="9">
        <v>466.06275369600002</v>
      </c>
      <c r="C16" s="9">
        <v>43.587070844000003</v>
      </c>
      <c r="D16" s="9">
        <f t="shared" si="0"/>
        <v>203.14310263097275</v>
      </c>
      <c r="E16" s="9">
        <v>0.88517016000000004</v>
      </c>
      <c r="F16" s="9">
        <f>E16*B16/100</f>
        <v>4.1254484225912895</v>
      </c>
      <c r="G16" s="9">
        <f t="shared" si="9"/>
        <v>32.523651222999995</v>
      </c>
      <c r="H16" s="9">
        <f t="shared" si="10"/>
        <v>151.58062449239657</v>
      </c>
      <c r="I16" s="9">
        <v>23.004107773000001</v>
      </c>
      <c r="J16" s="9">
        <f t="shared" si="4"/>
        <v>107.2135781500394</v>
      </c>
      <c r="K16" s="9">
        <f>D16+F16+H16+J16</f>
        <v>466.06275369600002</v>
      </c>
      <c r="L16" s="9">
        <f>D16+F16</f>
        <v>207.26855105356404</v>
      </c>
      <c r="M16" s="9">
        <f t="shared" si="7"/>
        <v>358.84917554596063</v>
      </c>
      <c r="N16" s="9">
        <f t="shared" si="8"/>
        <v>57.759238470653123</v>
      </c>
    </row>
    <row r="17" spans="1:14" s="2" customFormat="1" x14ac:dyDescent="0.2">
      <c r="A17" s="2" t="s">
        <v>12</v>
      </c>
      <c r="B17" s="9">
        <v>476.301270848</v>
      </c>
      <c r="C17" s="9">
        <v>47.182303871999999</v>
      </c>
      <c r="D17" s="9">
        <f t="shared" si="0"/>
        <v>224.72991295770109</v>
      </c>
      <c r="E17" s="9">
        <v>1.160875367</v>
      </c>
      <c r="F17" s="9">
        <f>E17*B17/100</f>
        <v>5.5292641259823849</v>
      </c>
      <c r="G17" s="9">
        <f t="shared" si="9"/>
        <v>36.655844307000002</v>
      </c>
      <c r="H17" s="9">
        <f t="shared" si="10"/>
        <v>174.59225227430528</v>
      </c>
      <c r="I17" s="9">
        <v>15.000976454</v>
      </c>
      <c r="J17" s="9">
        <f t="shared" si="4"/>
        <v>71.449841490011252</v>
      </c>
      <c r="K17" s="9">
        <f>D17+F17+H17+J17</f>
        <v>476.301270848</v>
      </c>
      <c r="L17" s="9">
        <f>D17+F17</f>
        <v>230.25917708368348</v>
      </c>
      <c r="M17" s="9">
        <f t="shared" si="7"/>
        <v>404.85142935798876</v>
      </c>
      <c r="N17" s="9">
        <f t="shared" si="8"/>
        <v>56.874981878865356</v>
      </c>
    </row>
    <row r="18" spans="1:14" s="2" customFormat="1" x14ac:dyDescent="0.2">
      <c r="A18" s="2" t="s">
        <v>13</v>
      </c>
      <c r="B18" s="9">
        <v>500.50109312199999</v>
      </c>
      <c r="C18" s="9">
        <v>48.939851910000002</v>
      </c>
      <c r="D18" s="9">
        <f t="shared" si="0"/>
        <v>244.94449378183799</v>
      </c>
      <c r="E18" s="9">
        <v>1.244217103</v>
      </c>
      <c r="F18" s="9">
        <f>E18*B18/100</f>
        <v>6.2273202013258802</v>
      </c>
      <c r="G18" s="9">
        <f t="shared" si="9"/>
        <v>44.242898673000006</v>
      </c>
      <c r="H18" s="9">
        <f t="shared" si="10"/>
        <v>221.43619148722382</v>
      </c>
      <c r="I18" s="9">
        <v>5.5730323139999998</v>
      </c>
      <c r="J18" s="9">
        <f t="shared" si="4"/>
        <v>27.893087651612291</v>
      </c>
      <c r="K18" s="9">
        <f>D18+F18+H18+J18</f>
        <v>500.50109312199999</v>
      </c>
      <c r="L18" s="9">
        <f>D18+F18</f>
        <v>251.17181398316387</v>
      </c>
      <c r="M18" s="9">
        <f t="shared" si="7"/>
        <v>472.6080054703877</v>
      </c>
      <c r="N18" s="9">
        <f t="shared" si="8"/>
        <v>53.145907618126799</v>
      </c>
    </row>
    <row r="19" spans="1:14" s="2" customFormat="1" x14ac:dyDescent="0.2"/>
    <row r="20" spans="1:14" s="2" customFormat="1" x14ac:dyDescent="0.2">
      <c r="A20" s="26" t="s">
        <v>81</v>
      </c>
    </row>
    <row r="21" spans="1:14" s="2" customFormat="1" x14ac:dyDescent="0.2"/>
    <row r="22" spans="1:14" s="2" customFormat="1" x14ac:dyDescent="0.2">
      <c r="A22" s="4" t="s">
        <v>1</v>
      </c>
      <c r="B22" s="6" t="s">
        <v>14</v>
      </c>
      <c r="C22" s="6" t="s">
        <v>28</v>
      </c>
      <c r="D22" s="6" t="s">
        <v>92</v>
      </c>
      <c r="E22" s="6" t="s">
        <v>30</v>
      </c>
      <c r="F22" s="6" t="s">
        <v>29</v>
      </c>
      <c r="G22" s="6" t="s">
        <v>31</v>
      </c>
      <c r="H22" s="6" t="s">
        <v>98</v>
      </c>
      <c r="I22" s="6" t="s">
        <v>97</v>
      </c>
    </row>
    <row r="23" spans="1:14" s="2" customFormat="1" x14ac:dyDescent="0.2">
      <c r="A23" s="2" t="s">
        <v>6</v>
      </c>
      <c r="B23" s="9">
        <v>551.32851776045982</v>
      </c>
      <c r="C23" s="9">
        <v>1.0109999999999999</v>
      </c>
      <c r="D23" s="9">
        <v>49.555</v>
      </c>
      <c r="E23" s="9">
        <f>14.875-C23</f>
        <v>13.864000000000001</v>
      </c>
      <c r="F23" s="9">
        <f>100-(C23+D23+E23)</f>
        <v>35.569999999999993</v>
      </c>
      <c r="G23" s="9">
        <f>C23+D23</f>
        <v>50.566000000000003</v>
      </c>
      <c r="H23" s="9">
        <f>F23+G23</f>
        <v>86.135999999999996</v>
      </c>
      <c r="I23" s="9">
        <f>G23*100/H23</f>
        <v>58.704838859478045</v>
      </c>
    </row>
    <row r="24" spans="1:14" s="2" customFormat="1" x14ac:dyDescent="0.2">
      <c r="A24" s="2" t="s">
        <v>7</v>
      </c>
      <c r="B24" s="9">
        <v>433.33634623841982</v>
      </c>
      <c r="C24" s="9">
        <v>1.331</v>
      </c>
      <c r="D24" s="9">
        <f>18.482+25.339</f>
        <v>43.820999999999998</v>
      </c>
      <c r="E24" s="9">
        <f>2.894-C24</f>
        <v>1.5630000000000002</v>
      </c>
      <c r="F24" s="9">
        <f t="shared" ref="F24:F30" si="11">100-(C24+D24+E24)</f>
        <v>53.284999999999997</v>
      </c>
      <c r="G24" s="9">
        <f t="shared" ref="G24:G30" si="12">C24+D24</f>
        <v>45.152000000000001</v>
      </c>
      <c r="H24" s="9">
        <f t="shared" ref="H24:H30" si="13">F24+G24</f>
        <v>98.436999999999998</v>
      </c>
      <c r="I24" s="9">
        <f t="shared" ref="I24:I30" si="14">G24*100/H24</f>
        <v>45.868931397746785</v>
      </c>
    </row>
    <row r="25" spans="1:14" s="2" customFormat="1" x14ac:dyDescent="0.2">
      <c r="A25" s="2" t="s">
        <v>8</v>
      </c>
      <c r="B25" s="9">
        <v>461.64989403487522</v>
      </c>
      <c r="C25" s="9">
        <v>5.2030000000000003</v>
      </c>
      <c r="D25" s="9">
        <v>45.23</v>
      </c>
      <c r="E25" s="9">
        <f>20.389-C25</f>
        <v>15.186</v>
      </c>
      <c r="F25" s="9">
        <f t="shared" si="11"/>
        <v>34.381</v>
      </c>
      <c r="G25" s="9">
        <f t="shared" si="12"/>
        <v>50.433</v>
      </c>
      <c r="H25" s="9">
        <f t="shared" si="13"/>
        <v>84.813999999999993</v>
      </c>
      <c r="I25" s="9">
        <f t="shared" si="14"/>
        <v>59.463060343811172</v>
      </c>
    </row>
    <row r="26" spans="1:14" s="2" customFormat="1" x14ac:dyDescent="0.2">
      <c r="A26" s="2" t="s">
        <v>9</v>
      </c>
      <c r="B26" s="9">
        <v>410.5204262011884</v>
      </c>
      <c r="C26" s="9">
        <v>3.69</v>
      </c>
      <c r="D26" s="9">
        <v>46.476999999999997</v>
      </c>
      <c r="E26" s="9">
        <f>18.492-C26</f>
        <v>14.802000000000001</v>
      </c>
      <c r="F26" s="9">
        <f t="shared" si="11"/>
        <v>35.031000000000006</v>
      </c>
      <c r="G26" s="9">
        <f t="shared" si="12"/>
        <v>50.166999999999994</v>
      </c>
      <c r="H26" s="9">
        <f t="shared" si="13"/>
        <v>85.198000000000008</v>
      </c>
      <c r="I26" s="9">
        <f t="shared" si="14"/>
        <v>58.882837625296361</v>
      </c>
    </row>
    <row r="27" spans="1:14" s="2" customFormat="1" x14ac:dyDescent="0.2">
      <c r="A27" s="2" t="s">
        <v>10</v>
      </c>
      <c r="B27" s="9">
        <v>557.57448815037537</v>
      </c>
      <c r="C27" s="9">
        <v>2.0379999999999998</v>
      </c>
      <c r="D27" s="9">
        <v>43.948</v>
      </c>
      <c r="E27" s="9">
        <f>22.672-C27</f>
        <v>20.634</v>
      </c>
      <c r="F27" s="9">
        <f t="shared" si="11"/>
        <v>33.379999999999995</v>
      </c>
      <c r="G27" s="9">
        <f t="shared" si="12"/>
        <v>45.985999999999997</v>
      </c>
      <c r="H27" s="9">
        <f t="shared" si="13"/>
        <v>79.365999999999985</v>
      </c>
      <c r="I27" s="9">
        <f t="shared" si="14"/>
        <v>57.941687876420637</v>
      </c>
    </row>
    <row r="28" spans="1:14" s="2" customFormat="1" x14ac:dyDescent="0.2">
      <c r="A28" s="2" t="s">
        <v>11</v>
      </c>
      <c r="B28" s="9">
        <v>466.05237481948495</v>
      </c>
      <c r="C28" s="9">
        <v>1.399</v>
      </c>
      <c r="D28" s="9">
        <v>46.616</v>
      </c>
      <c r="E28" s="9">
        <f>22.601-C28</f>
        <v>21.201999999999998</v>
      </c>
      <c r="F28" s="9">
        <f t="shared" si="11"/>
        <v>30.783000000000001</v>
      </c>
      <c r="G28" s="9">
        <f t="shared" si="12"/>
        <v>48.015000000000001</v>
      </c>
      <c r="H28" s="9">
        <f t="shared" si="13"/>
        <v>78.798000000000002</v>
      </c>
      <c r="I28" s="9">
        <f t="shared" si="14"/>
        <v>60.934287672275943</v>
      </c>
    </row>
    <row r="29" spans="1:14" s="2" customFormat="1" x14ac:dyDescent="0.2">
      <c r="A29" s="2" t="s">
        <v>12</v>
      </c>
      <c r="B29" s="9">
        <v>476.28467204921179</v>
      </c>
      <c r="C29" s="9">
        <v>1.986</v>
      </c>
      <c r="D29" s="9">
        <v>48.646000000000001</v>
      </c>
      <c r="E29" s="9">
        <f>17.394-C29</f>
        <v>15.407999999999998</v>
      </c>
      <c r="F29" s="9">
        <f t="shared" si="11"/>
        <v>33.960000000000008</v>
      </c>
      <c r="G29" s="9">
        <f t="shared" si="12"/>
        <v>50.631999999999998</v>
      </c>
      <c r="H29" s="9">
        <f t="shared" si="13"/>
        <v>84.592000000000013</v>
      </c>
      <c r="I29" s="9">
        <f t="shared" si="14"/>
        <v>59.854359750330993</v>
      </c>
    </row>
    <row r="30" spans="1:14" s="2" customFormat="1" x14ac:dyDescent="0.2">
      <c r="A30" s="2" t="s">
        <v>13</v>
      </c>
      <c r="B30" s="9">
        <v>500.45006590156817</v>
      </c>
      <c r="C30" s="9">
        <v>2.1890000000000001</v>
      </c>
      <c r="D30" s="9">
        <v>50.487000000000002</v>
      </c>
      <c r="E30" s="9">
        <f>9.446-C30</f>
        <v>7.2569999999999997</v>
      </c>
      <c r="F30" s="9">
        <f t="shared" si="11"/>
        <v>40.067</v>
      </c>
      <c r="G30" s="9">
        <f t="shared" si="12"/>
        <v>52.676000000000002</v>
      </c>
      <c r="H30" s="9">
        <f t="shared" si="13"/>
        <v>92.742999999999995</v>
      </c>
      <c r="I30" s="9">
        <f t="shared" si="14"/>
        <v>56.797817625049873</v>
      </c>
    </row>
    <row r="31" spans="1:14" s="2" customFormat="1" x14ac:dyDescent="0.2"/>
    <row r="32" spans="1:14" s="2" customFormat="1" x14ac:dyDescent="0.2">
      <c r="A32" s="26" t="s">
        <v>82</v>
      </c>
    </row>
    <row r="33" spans="1:14" s="2" customFormat="1" x14ac:dyDescent="0.2"/>
    <row r="34" spans="1:14" s="2" customFormat="1" x14ac:dyDescent="0.2">
      <c r="A34" s="4" t="s">
        <v>1</v>
      </c>
      <c r="B34" s="6" t="s">
        <v>14</v>
      </c>
      <c r="C34" s="6" t="s">
        <v>92</v>
      </c>
      <c r="D34" s="6" t="s">
        <v>94</v>
      </c>
      <c r="E34" s="6" t="s">
        <v>28</v>
      </c>
      <c r="F34" s="6" t="s">
        <v>93</v>
      </c>
      <c r="G34" s="6" t="s">
        <v>29</v>
      </c>
      <c r="H34" s="6" t="s">
        <v>85</v>
      </c>
      <c r="I34" s="6" t="s">
        <v>30</v>
      </c>
      <c r="J34" s="6" t="s">
        <v>84</v>
      </c>
      <c r="K34" s="6" t="s">
        <v>80</v>
      </c>
      <c r="L34" s="6" t="s">
        <v>95</v>
      </c>
      <c r="M34" s="6" t="s">
        <v>96</v>
      </c>
      <c r="N34" s="6" t="s">
        <v>97</v>
      </c>
    </row>
    <row r="35" spans="1:14" s="2" customFormat="1" x14ac:dyDescent="0.2">
      <c r="A35" s="2" t="s">
        <v>6</v>
      </c>
      <c r="B35" s="7">
        <v>77.42246763216697</v>
      </c>
      <c r="C35" s="7">
        <v>45.335000000000001</v>
      </c>
      <c r="D35" s="7">
        <f>B35*C35/100</f>
        <v>35.099475701042898</v>
      </c>
      <c r="E35" s="7">
        <v>1.4379999999999999</v>
      </c>
      <c r="F35" s="7">
        <f>E35*B35/1000</f>
        <v>0.1113335084550561</v>
      </c>
      <c r="G35" s="7">
        <f>H35*100/B35</f>
        <v>44.499200000000002</v>
      </c>
      <c r="H35" s="7">
        <f>B35-(D35+F35+J35)</f>
        <v>34.452378716573243</v>
      </c>
      <c r="I35" s="7">
        <v>10.022</v>
      </c>
      <c r="J35" s="7">
        <f>I35*B35/100</f>
        <v>7.7592797060957741</v>
      </c>
      <c r="K35" s="7">
        <f>D35+F35+H35+J35</f>
        <v>77.42246763216697</v>
      </c>
      <c r="L35" s="7">
        <f>D35+F35</f>
        <v>35.210809209497953</v>
      </c>
      <c r="M35" s="7">
        <f>B35-J35</f>
        <v>69.663187926071203</v>
      </c>
      <c r="N35" s="7">
        <f>L35*100/M35</f>
        <v>50.544355286847889</v>
      </c>
    </row>
    <row r="36" spans="1:14" s="2" customFormat="1" x14ac:dyDescent="0.2">
      <c r="A36" s="2" t="s">
        <v>7</v>
      </c>
      <c r="B36" s="7">
        <v>95.62949538620083</v>
      </c>
      <c r="C36" s="7">
        <f>22.447+20.453</f>
        <v>42.9</v>
      </c>
      <c r="D36" s="7">
        <f t="shared" ref="D36:D42" si="15">B36*C36/100</f>
        <v>41.02505352068016</v>
      </c>
      <c r="E36" s="7">
        <v>3.125</v>
      </c>
      <c r="F36" s="7">
        <f t="shared" ref="F36:F42" si="16">E36*B36/1000</f>
        <v>0.2988421730818776</v>
      </c>
      <c r="G36" s="7">
        <f t="shared" ref="G36:G42" si="17">H36*100/B36</f>
        <v>56.476499999999994</v>
      </c>
      <c r="H36" s="7">
        <f t="shared" ref="H36:H42" si="18">B36-(D36+F36+J36)</f>
        <v>54.008191961787702</v>
      </c>
      <c r="I36" s="7">
        <v>0.311</v>
      </c>
      <c r="J36" s="7">
        <f t="shared" ref="J36:J42" si="19">I36*B36/100</f>
        <v>0.29740773065108456</v>
      </c>
      <c r="K36" s="7">
        <f t="shared" ref="K36:K42" si="20">D36+F36+H36+J36</f>
        <v>95.62949538620083</v>
      </c>
      <c r="L36" s="7">
        <f t="shared" ref="L36:L42" si="21">D36+F36</f>
        <v>41.32389569376204</v>
      </c>
      <c r="M36" s="7">
        <f t="shared" ref="M36:M42" si="22">B36-J36</f>
        <v>95.332087655549742</v>
      </c>
      <c r="N36" s="7">
        <f t="shared" ref="N36:N42" si="23">L36*100/M36</f>
        <v>43.347310134518359</v>
      </c>
    </row>
    <row r="37" spans="1:14" s="2" customFormat="1" x14ac:dyDescent="0.2">
      <c r="A37" s="2" t="s">
        <v>8</v>
      </c>
      <c r="B37" s="7">
        <v>63.563742087851928</v>
      </c>
      <c r="C37" s="7">
        <f>40.917+12.809</f>
        <v>53.725999999999999</v>
      </c>
      <c r="D37" s="7">
        <f t="shared" si="15"/>
        <v>34.150256074119326</v>
      </c>
      <c r="E37" s="7">
        <v>5.3150000000000004</v>
      </c>
      <c r="F37" s="7">
        <f t="shared" si="16"/>
        <v>0.33784128919693301</v>
      </c>
      <c r="G37" s="7">
        <f t="shared" si="17"/>
        <v>35.260500000000008</v>
      </c>
      <c r="H37" s="7">
        <f t="shared" si="18"/>
        <v>22.412893278887033</v>
      </c>
      <c r="I37" s="7">
        <v>10.481999999999999</v>
      </c>
      <c r="J37" s="7">
        <f t="shared" si="19"/>
        <v>6.662751445648639</v>
      </c>
      <c r="K37" s="7">
        <f t="shared" si="20"/>
        <v>63.563742087851928</v>
      </c>
      <c r="L37" s="7">
        <f t="shared" si="21"/>
        <v>34.488097363316257</v>
      </c>
      <c r="M37" s="7">
        <f t="shared" si="22"/>
        <v>56.90099064220329</v>
      </c>
      <c r="N37" s="7">
        <f t="shared" si="23"/>
        <v>60.610715163430811</v>
      </c>
    </row>
    <row r="38" spans="1:14" s="2" customFormat="1" x14ac:dyDescent="0.2">
      <c r="A38" s="2" t="s">
        <v>9</v>
      </c>
      <c r="B38" s="7">
        <v>164.46219032461761</v>
      </c>
      <c r="C38" s="7">
        <v>35.764000000000003</v>
      </c>
      <c r="D38" s="7">
        <f t="shared" si="15"/>
        <v>58.818257747696244</v>
      </c>
      <c r="E38" s="7">
        <v>3.6110000000000002</v>
      </c>
      <c r="F38" s="7">
        <f t="shared" si="16"/>
        <v>0.59387296926219424</v>
      </c>
      <c r="G38" s="7">
        <f t="shared" si="17"/>
        <v>52.165900000000008</v>
      </c>
      <c r="H38" s="7">
        <f t="shared" si="18"/>
        <v>85.793181742549706</v>
      </c>
      <c r="I38" s="7">
        <v>11.709</v>
      </c>
      <c r="J38" s="7">
        <f t="shared" si="19"/>
        <v>19.256877865109473</v>
      </c>
      <c r="K38" s="7">
        <f t="shared" si="20"/>
        <v>164.46219032461761</v>
      </c>
      <c r="L38" s="7">
        <f t="shared" si="21"/>
        <v>59.412130716958437</v>
      </c>
      <c r="M38" s="7">
        <f t="shared" si="22"/>
        <v>145.20531245950815</v>
      </c>
      <c r="N38" s="7">
        <f t="shared" si="23"/>
        <v>40.91594839791145</v>
      </c>
    </row>
    <row r="39" spans="1:14" s="2" customFormat="1" x14ac:dyDescent="0.2">
      <c r="A39" s="2" t="s">
        <v>10</v>
      </c>
      <c r="B39" s="7">
        <v>157.37371299995169</v>
      </c>
      <c r="C39" s="7">
        <v>34.488</v>
      </c>
      <c r="D39" s="7">
        <f t="shared" si="15"/>
        <v>54.275046139423338</v>
      </c>
      <c r="E39" s="7">
        <v>0.83499999999999996</v>
      </c>
      <c r="F39" s="7">
        <f t="shared" si="16"/>
        <v>0.13140705035495967</v>
      </c>
      <c r="G39" s="7">
        <f t="shared" si="17"/>
        <v>49.782499999999999</v>
      </c>
      <c r="H39" s="7">
        <f t="shared" si="18"/>
        <v>78.344568674200957</v>
      </c>
      <c r="I39" s="7">
        <v>15.646000000000001</v>
      </c>
      <c r="J39" s="7">
        <f t="shared" si="19"/>
        <v>24.622691135972442</v>
      </c>
      <c r="K39" s="7">
        <f t="shared" si="20"/>
        <v>157.37371299995169</v>
      </c>
      <c r="L39" s="7">
        <f t="shared" si="21"/>
        <v>54.406453189778297</v>
      </c>
      <c r="M39" s="7">
        <f t="shared" si="22"/>
        <v>132.75102186397925</v>
      </c>
      <c r="N39" s="7">
        <f t="shared" si="23"/>
        <v>40.98383004955307</v>
      </c>
    </row>
    <row r="40" spans="1:14" s="2" customFormat="1" x14ac:dyDescent="0.2">
      <c r="A40" s="2" t="s">
        <v>11</v>
      </c>
      <c r="B40" s="7">
        <v>146.04444939125804</v>
      </c>
      <c r="C40" s="7">
        <v>36.521000000000001</v>
      </c>
      <c r="D40" s="7">
        <f t="shared" si="15"/>
        <v>53.336893362181357</v>
      </c>
      <c r="E40" s="7">
        <v>0.64500000000000002</v>
      </c>
      <c r="F40" s="7">
        <f t="shared" si="16"/>
        <v>9.4198669857361444E-2</v>
      </c>
      <c r="G40" s="7">
        <f t="shared" si="17"/>
        <v>44.064499999999988</v>
      </c>
      <c r="H40" s="7">
        <f t="shared" si="18"/>
        <v>64.353756402010887</v>
      </c>
      <c r="I40" s="7">
        <v>19.350000000000001</v>
      </c>
      <c r="J40" s="7">
        <f t="shared" si="19"/>
        <v>28.259600957208431</v>
      </c>
      <c r="K40" s="7">
        <f t="shared" si="20"/>
        <v>146.04444939125804</v>
      </c>
      <c r="L40" s="7">
        <f t="shared" si="21"/>
        <v>53.43109203203872</v>
      </c>
      <c r="M40" s="7">
        <f t="shared" si="22"/>
        <v>117.78484843404961</v>
      </c>
      <c r="N40" s="7">
        <f t="shared" si="23"/>
        <v>45.363298202107885</v>
      </c>
    </row>
    <row r="41" spans="1:14" s="2" customFormat="1" x14ac:dyDescent="0.2">
      <c r="A41" s="2" t="s">
        <v>12</v>
      </c>
      <c r="B41" s="7">
        <v>64.984873817762406</v>
      </c>
      <c r="C41" s="7">
        <v>43.878</v>
      </c>
      <c r="D41" s="7">
        <f t="shared" si="15"/>
        <v>28.514062933757785</v>
      </c>
      <c r="E41" s="7">
        <v>0.90500000000000003</v>
      </c>
      <c r="F41" s="7">
        <f t="shared" si="16"/>
        <v>5.8811310805074984E-2</v>
      </c>
      <c r="G41" s="7">
        <f t="shared" si="17"/>
        <v>43.226500000000001</v>
      </c>
      <c r="H41" s="7">
        <f t="shared" si="18"/>
        <v>28.090686480835068</v>
      </c>
      <c r="I41" s="7">
        <v>12.805</v>
      </c>
      <c r="J41" s="7">
        <f t="shared" si="19"/>
        <v>8.3213130923644751</v>
      </c>
      <c r="K41" s="7">
        <f t="shared" si="20"/>
        <v>64.984873817762406</v>
      </c>
      <c r="L41" s="7">
        <f t="shared" si="21"/>
        <v>28.572874244562861</v>
      </c>
      <c r="M41" s="7">
        <f t="shared" si="22"/>
        <v>56.663560725397929</v>
      </c>
      <c r="N41" s="7">
        <f t="shared" si="23"/>
        <v>50.425483112563796</v>
      </c>
    </row>
    <row r="42" spans="1:14" s="2" customFormat="1" x14ac:dyDescent="0.2">
      <c r="A42" s="2" t="s">
        <v>13</v>
      </c>
      <c r="B42" s="7">
        <v>58.666472266752002</v>
      </c>
      <c r="C42" s="7">
        <v>49.963999999999999</v>
      </c>
      <c r="D42" s="7">
        <f t="shared" si="15"/>
        <v>29.31211620335997</v>
      </c>
      <c r="E42" s="7">
        <v>1.5669999999999999</v>
      </c>
      <c r="F42" s="7">
        <f t="shared" si="16"/>
        <v>9.1930362042000377E-2</v>
      </c>
      <c r="G42" s="7">
        <f t="shared" si="17"/>
        <v>44.177300000000002</v>
      </c>
      <c r="H42" s="7">
        <f t="shared" si="18"/>
        <v>25.917263452699835</v>
      </c>
      <c r="I42" s="7">
        <v>5.702</v>
      </c>
      <c r="J42" s="7">
        <f t="shared" si="19"/>
        <v>3.3451622486501993</v>
      </c>
      <c r="K42" s="7">
        <f t="shared" si="20"/>
        <v>58.666472266752002</v>
      </c>
      <c r="L42" s="7">
        <f t="shared" si="21"/>
        <v>29.40404656540197</v>
      </c>
      <c r="M42" s="7">
        <f t="shared" si="22"/>
        <v>55.321310018101805</v>
      </c>
      <c r="N42" s="7">
        <f t="shared" si="23"/>
        <v>53.151392394324368</v>
      </c>
    </row>
    <row r="43" spans="1:14" s="2" customFormat="1" x14ac:dyDescent="0.2"/>
    <row r="44" spans="1:14" s="2" customFormat="1" x14ac:dyDescent="0.2">
      <c r="A44" s="26" t="s">
        <v>83</v>
      </c>
    </row>
    <row r="45" spans="1:14" s="2" customFormat="1" x14ac:dyDescent="0.2"/>
    <row r="46" spans="1:14" s="2" customFormat="1" x14ac:dyDescent="0.2">
      <c r="A46" s="4" t="s">
        <v>1</v>
      </c>
      <c r="B46" s="6" t="s">
        <v>14</v>
      </c>
      <c r="C46" s="6" t="s">
        <v>28</v>
      </c>
      <c r="D46" s="6" t="s">
        <v>92</v>
      </c>
      <c r="E46" s="6" t="s">
        <v>30</v>
      </c>
      <c r="F46" s="6" t="s">
        <v>29</v>
      </c>
      <c r="G46" s="6" t="s">
        <v>31</v>
      </c>
      <c r="H46" s="6" t="s">
        <v>98</v>
      </c>
      <c r="I46" s="6" t="s">
        <v>97</v>
      </c>
    </row>
    <row r="47" spans="1:14" s="2" customFormat="1" x14ac:dyDescent="0.2">
      <c r="A47" s="2" t="s">
        <v>6</v>
      </c>
      <c r="B47" s="9">
        <v>77.42246763216697</v>
      </c>
      <c r="C47" s="9">
        <v>1.66</v>
      </c>
      <c r="D47" s="9">
        <v>44.74</v>
      </c>
      <c r="E47" s="9">
        <f>13.68-C47</f>
        <v>12.02</v>
      </c>
      <c r="F47" s="9">
        <f>100-(C47+D47+E47)</f>
        <v>41.58</v>
      </c>
      <c r="G47" s="9">
        <f>C47+D47</f>
        <v>46.4</v>
      </c>
      <c r="H47" s="9">
        <f>C47+D47+F47</f>
        <v>87.97999999999999</v>
      </c>
      <c r="I47" s="9">
        <f>G47*100/H47</f>
        <v>52.739258922482385</v>
      </c>
    </row>
    <row r="48" spans="1:14" s="2" customFormat="1" x14ac:dyDescent="0.2">
      <c r="A48" s="2" t="s">
        <v>7</v>
      </c>
      <c r="B48" s="9">
        <v>95.62949538620083</v>
      </c>
      <c r="C48" s="9">
        <v>3.12</v>
      </c>
      <c r="D48" s="9">
        <f>9.66+28.58</f>
        <v>38.239999999999995</v>
      </c>
      <c r="E48" s="9">
        <f>3.16-C48</f>
        <v>4.0000000000000036E-2</v>
      </c>
      <c r="F48" s="9">
        <f t="shared" ref="F48:F54" si="24">100-(C48+D48+E48)</f>
        <v>58.600000000000009</v>
      </c>
      <c r="G48" s="9">
        <f t="shared" ref="G48:G54" si="25">C48+D48</f>
        <v>41.359999999999992</v>
      </c>
      <c r="H48" s="9">
        <f t="shared" ref="H48:H54" si="26">C48+D48+F48</f>
        <v>99.960000000000008</v>
      </c>
      <c r="I48" s="9">
        <f t="shared" ref="I48:I54" si="27">G48*100/H48</f>
        <v>41.376550620248089</v>
      </c>
    </row>
    <row r="49" spans="1:9" s="2" customFormat="1" x14ac:dyDescent="0.2">
      <c r="A49" s="2" t="s">
        <v>8</v>
      </c>
      <c r="B49" s="9">
        <v>63.563742087851928</v>
      </c>
      <c r="C49" s="9">
        <v>2.08</v>
      </c>
      <c r="D49" s="9">
        <f>40.25+8.46</f>
        <v>48.71</v>
      </c>
      <c r="E49" s="9">
        <f>21.71-C49</f>
        <v>19.630000000000003</v>
      </c>
      <c r="F49" s="9">
        <f t="shared" si="24"/>
        <v>29.58</v>
      </c>
      <c r="G49" s="9">
        <f t="shared" si="25"/>
        <v>50.79</v>
      </c>
      <c r="H49" s="9">
        <f t="shared" si="26"/>
        <v>80.37</v>
      </c>
      <c r="I49" s="9">
        <f t="shared" si="27"/>
        <v>63.195222097797682</v>
      </c>
    </row>
    <row r="50" spans="1:9" s="2" customFormat="1" x14ac:dyDescent="0.2">
      <c r="A50" s="2" t="s">
        <v>9</v>
      </c>
      <c r="B50" s="9">
        <v>164.46219032461761</v>
      </c>
      <c r="C50" s="9">
        <v>1.53</v>
      </c>
      <c r="D50" s="9">
        <v>45.48</v>
      </c>
      <c r="E50" s="9">
        <f>13.58-C50</f>
        <v>12.05</v>
      </c>
      <c r="F50" s="9">
        <f t="shared" si="24"/>
        <v>40.94</v>
      </c>
      <c r="G50" s="9">
        <f t="shared" si="25"/>
        <v>47.01</v>
      </c>
      <c r="H50" s="9">
        <f t="shared" si="26"/>
        <v>87.949999999999989</v>
      </c>
      <c r="I50" s="9">
        <f t="shared" si="27"/>
        <v>53.450824332006832</v>
      </c>
    </row>
    <row r="51" spans="1:9" s="2" customFormat="1" x14ac:dyDescent="0.2">
      <c r="A51" s="2" t="s">
        <v>10</v>
      </c>
      <c r="B51" s="9">
        <v>157.37371299995169</v>
      </c>
      <c r="C51" s="9">
        <v>0.8</v>
      </c>
      <c r="D51" s="9">
        <v>38.78</v>
      </c>
      <c r="E51" s="9">
        <f>17.96-C51</f>
        <v>17.16</v>
      </c>
      <c r="F51" s="9">
        <f t="shared" si="24"/>
        <v>43.260000000000005</v>
      </c>
      <c r="G51" s="9">
        <f t="shared" si="25"/>
        <v>39.58</v>
      </c>
      <c r="H51" s="9">
        <f t="shared" si="26"/>
        <v>82.84</v>
      </c>
      <c r="I51" s="9">
        <f t="shared" si="27"/>
        <v>47.778850796716561</v>
      </c>
    </row>
    <row r="52" spans="1:9" s="2" customFormat="1" x14ac:dyDescent="0.2">
      <c r="A52" s="2" t="s">
        <v>11</v>
      </c>
      <c r="B52" s="9">
        <v>146.04444939125804</v>
      </c>
      <c r="C52" s="9">
        <v>0.55000000000000004</v>
      </c>
      <c r="D52" s="9">
        <v>41.08</v>
      </c>
      <c r="E52" s="9">
        <f>25.64-C52</f>
        <v>25.09</v>
      </c>
      <c r="F52" s="9">
        <f t="shared" si="24"/>
        <v>33.28</v>
      </c>
      <c r="G52" s="9">
        <f t="shared" si="25"/>
        <v>41.629999999999995</v>
      </c>
      <c r="H52" s="9">
        <f t="shared" si="26"/>
        <v>74.91</v>
      </c>
      <c r="I52" s="9">
        <f t="shared" si="27"/>
        <v>55.573354692297428</v>
      </c>
    </row>
    <row r="53" spans="1:9" s="2" customFormat="1" x14ac:dyDescent="0.2">
      <c r="A53" s="2" t="s">
        <v>12</v>
      </c>
      <c r="B53" s="9">
        <v>64.984873817762406</v>
      </c>
      <c r="C53" s="9">
        <v>0.97</v>
      </c>
      <c r="D53" s="9">
        <v>46.56</v>
      </c>
      <c r="E53" s="9">
        <f>19.01-C53</f>
        <v>18.040000000000003</v>
      </c>
      <c r="F53" s="9">
        <f t="shared" si="24"/>
        <v>34.429999999999993</v>
      </c>
      <c r="G53" s="9">
        <f t="shared" si="25"/>
        <v>47.53</v>
      </c>
      <c r="H53" s="9">
        <f t="shared" si="26"/>
        <v>81.96</v>
      </c>
      <c r="I53" s="9">
        <f t="shared" si="27"/>
        <v>57.991703269887758</v>
      </c>
    </row>
    <row r="54" spans="1:9" s="2" customFormat="1" x14ac:dyDescent="0.2">
      <c r="A54" s="2" t="s">
        <v>13</v>
      </c>
      <c r="B54" s="9">
        <v>58.666472266752002</v>
      </c>
      <c r="C54" s="9">
        <v>1.5</v>
      </c>
      <c r="D54" s="9">
        <v>50.04</v>
      </c>
      <c r="E54" s="9">
        <f>8.8-C54</f>
        <v>7.3000000000000007</v>
      </c>
      <c r="F54" s="9">
        <f t="shared" si="24"/>
        <v>41.16</v>
      </c>
      <c r="G54" s="9">
        <f t="shared" si="25"/>
        <v>51.54</v>
      </c>
      <c r="H54" s="9">
        <f t="shared" si="26"/>
        <v>92.699999999999989</v>
      </c>
      <c r="I54" s="9">
        <f t="shared" si="27"/>
        <v>55.598705501618127</v>
      </c>
    </row>
    <row r="55" spans="1:9" s="2" customFormat="1" x14ac:dyDescent="0.2"/>
    <row r="56" spans="1:9" s="2" customFormat="1" x14ac:dyDescent="0.2"/>
    <row r="57" spans="1:9" s="2" customFormat="1" x14ac:dyDescent="0.2">
      <c r="A57" s="11" t="s">
        <v>89</v>
      </c>
    </row>
    <row r="58" spans="1:9" s="2" customFormat="1" x14ac:dyDescent="0.2">
      <c r="E58" s="30" t="s">
        <v>87</v>
      </c>
      <c r="F58" s="27"/>
    </row>
    <row r="59" spans="1:9" s="2" customFormat="1" ht="49" customHeight="1" x14ac:dyDescent="0.2">
      <c r="A59" s="28" t="s">
        <v>1</v>
      </c>
      <c r="B59" s="29" t="s">
        <v>99</v>
      </c>
      <c r="C59" s="29" t="s">
        <v>100</v>
      </c>
      <c r="E59" s="4" t="s">
        <v>1</v>
      </c>
      <c r="F59" s="6" t="s">
        <v>103</v>
      </c>
      <c r="G59" s="6" t="s">
        <v>104</v>
      </c>
      <c r="H59" s="6" t="s">
        <v>105</v>
      </c>
      <c r="I59" s="27"/>
    </row>
    <row r="60" spans="1:9" s="2" customFormat="1" x14ac:dyDescent="0.2">
      <c r="A60" s="2" t="s">
        <v>6</v>
      </c>
      <c r="B60" s="8">
        <f t="shared" ref="B60:B67" si="28">ABS(N11-N35)</f>
        <v>11.494733955820323</v>
      </c>
      <c r="C60" s="8">
        <f t="shared" ref="C60:C67" si="29">ABS(I23-I47)</f>
        <v>5.9655799369956597</v>
      </c>
      <c r="E60" s="2" t="s">
        <v>6</v>
      </c>
      <c r="F60" s="9">
        <v>62.039089242668211</v>
      </c>
      <c r="G60" s="9">
        <v>50.544355286847889</v>
      </c>
      <c r="H60" s="9">
        <f>AVERAGE(F60:G60)</f>
        <v>56.29172226475805</v>
      </c>
    </row>
    <row r="61" spans="1:9" s="2" customFormat="1" x14ac:dyDescent="0.2">
      <c r="A61" s="2" t="s">
        <v>7</v>
      </c>
      <c r="B61" s="8">
        <f t="shared" si="28"/>
        <v>10.777625899385932</v>
      </c>
      <c r="C61" s="8">
        <f t="shared" si="29"/>
        <v>4.4923807774986955</v>
      </c>
      <c r="E61" s="2" t="s">
        <v>7</v>
      </c>
      <c r="F61" s="9">
        <v>54.124936033904291</v>
      </c>
      <c r="G61" s="9">
        <v>43.347310134518359</v>
      </c>
      <c r="H61" s="9">
        <f t="shared" ref="H61:H67" si="30">AVERAGE(F61:G61)</f>
        <v>48.736123084211329</v>
      </c>
    </row>
    <row r="62" spans="1:9" s="2" customFormat="1" x14ac:dyDescent="0.2">
      <c r="A62" s="2" t="s">
        <v>8</v>
      </c>
      <c r="B62" s="8">
        <f t="shared" si="28"/>
        <v>9.3165755376488306</v>
      </c>
      <c r="C62" s="8">
        <f t="shared" si="29"/>
        <v>3.7321617539865102</v>
      </c>
      <c r="E62" s="2" t="s">
        <v>8</v>
      </c>
      <c r="F62" s="9">
        <v>69.927290701079642</v>
      </c>
      <c r="G62" s="9">
        <v>60.610715163430811</v>
      </c>
      <c r="H62" s="9">
        <f t="shared" si="30"/>
        <v>65.269002932255233</v>
      </c>
    </row>
    <row r="63" spans="1:9" s="2" customFormat="1" x14ac:dyDescent="0.2">
      <c r="A63" s="2" t="s">
        <v>9</v>
      </c>
      <c r="B63" s="8">
        <f t="shared" si="28"/>
        <v>15.448915552036958</v>
      </c>
      <c r="C63" s="8">
        <f t="shared" si="29"/>
        <v>5.4320132932895291</v>
      </c>
      <c r="E63" s="2" t="s">
        <v>9</v>
      </c>
      <c r="F63" s="9">
        <v>56.364863949948408</v>
      </c>
      <c r="G63" s="9">
        <v>40.91594839791145</v>
      </c>
      <c r="H63" s="9">
        <f t="shared" si="30"/>
        <v>48.640406173929932</v>
      </c>
    </row>
    <row r="64" spans="1:9" s="2" customFormat="1" x14ac:dyDescent="0.2">
      <c r="A64" s="2" t="s">
        <v>10</v>
      </c>
      <c r="B64" s="8">
        <f t="shared" si="28"/>
        <v>17.682147663427969</v>
      </c>
      <c r="C64" s="8">
        <f t="shared" si="29"/>
        <v>10.162837079704076</v>
      </c>
      <c r="E64" s="2" t="s">
        <v>10</v>
      </c>
      <c r="F64" s="9">
        <v>58.665977712981039</v>
      </c>
      <c r="G64" s="9">
        <v>40.98383004955307</v>
      </c>
      <c r="H64" s="9">
        <f t="shared" si="30"/>
        <v>49.824903881267055</v>
      </c>
    </row>
    <row r="65" spans="1:8" s="2" customFormat="1" x14ac:dyDescent="0.2">
      <c r="A65" s="2" t="s">
        <v>11</v>
      </c>
      <c r="B65" s="8">
        <f t="shared" si="28"/>
        <v>12.395940268545239</v>
      </c>
      <c r="C65" s="8">
        <f t="shared" si="29"/>
        <v>5.3609329799785144</v>
      </c>
      <c r="E65" s="2" t="s">
        <v>11</v>
      </c>
      <c r="F65" s="9">
        <v>57.759238470653123</v>
      </c>
      <c r="G65" s="9">
        <v>45.363298202107885</v>
      </c>
      <c r="H65" s="9">
        <f t="shared" si="30"/>
        <v>51.561268336380508</v>
      </c>
    </row>
    <row r="66" spans="1:8" s="2" customFormat="1" x14ac:dyDescent="0.2">
      <c r="A66" s="2" t="s">
        <v>12</v>
      </c>
      <c r="B66" s="8">
        <f t="shared" si="28"/>
        <v>6.4494987663015593</v>
      </c>
      <c r="C66" s="8">
        <f t="shared" si="29"/>
        <v>1.8626564804432348</v>
      </c>
      <c r="E66" s="2" t="s">
        <v>12</v>
      </c>
      <c r="F66" s="9">
        <v>56.874981878865356</v>
      </c>
      <c r="G66" s="9">
        <v>50.425483112563796</v>
      </c>
      <c r="H66" s="9">
        <f t="shared" si="30"/>
        <v>53.650232495714576</v>
      </c>
    </row>
    <row r="67" spans="1:8" s="2" customFormat="1" x14ac:dyDescent="0.2">
      <c r="A67" s="2" t="s">
        <v>13</v>
      </c>
      <c r="B67" s="8">
        <f t="shared" si="28"/>
        <v>5.4847761975693743E-3</v>
      </c>
      <c r="C67" s="8">
        <f t="shared" si="29"/>
        <v>1.1991121234317461</v>
      </c>
      <c r="E67" s="2" t="s">
        <v>13</v>
      </c>
      <c r="F67" s="9">
        <v>53.145907618126799</v>
      </c>
      <c r="G67" s="9">
        <v>53.151392394324368</v>
      </c>
      <c r="H67" s="9">
        <f t="shared" si="30"/>
        <v>53.14865000622558</v>
      </c>
    </row>
    <row r="68" spans="1:8" s="2" customFormat="1" x14ac:dyDescent="0.2"/>
    <row r="69" spans="1:8" s="2" customFormat="1" ht="65" customHeight="1" x14ac:dyDescent="0.2">
      <c r="A69" s="28" t="s">
        <v>1</v>
      </c>
      <c r="B69" s="29" t="s">
        <v>101</v>
      </c>
      <c r="C69" s="29" t="s">
        <v>102</v>
      </c>
      <c r="E69" s="30" t="s">
        <v>86</v>
      </c>
      <c r="F69" s="32"/>
      <c r="G69" s="32"/>
      <c r="H69" s="32"/>
    </row>
    <row r="70" spans="1:8" s="2" customFormat="1" x14ac:dyDescent="0.2">
      <c r="A70" s="2" t="s">
        <v>6</v>
      </c>
      <c r="B70" s="8">
        <f t="shared" ref="B70:B77" si="31">ABS(N11-I23)</f>
        <v>3.3342503831901666</v>
      </c>
      <c r="C70" s="8">
        <f t="shared" ref="C70:C77" si="32">ABS(N35-I47)</f>
        <v>2.1949036356344962</v>
      </c>
      <c r="E70" s="4" t="s">
        <v>1</v>
      </c>
      <c r="F70" s="6" t="s">
        <v>103</v>
      </c>
      <c r="G70" s="6" t="s">
        <v>104</v>
      </c>
      <c r="H70" s="6" t="s">
        <v>105</v>
      </c>
    </row>
    <row r="71" spans="1:8" s="2" customFormat="1" x14ac:dyDescent="0.2">
      <c r="A71" s="2" t="s">
        <v>7</v>
      </c>
      <c r="B71" s="8">
        <f t="shared" si="31"/>
        <v>8.2560046361575061</v>
      </c>
      <c r="C71" s="8">
        <f t="shared" si="32"/>
        <v>1.9707595142702701</v>
      </c>
      <c r="E71" s="31" t="s">
        <v>6</v>
      </c>
      <c r="F71" s="34">
        <v>58.704838859478045</v>
      </c>
      <c r="G71" s="34">
        <v>52.739258922482385</v>
      </c>
      <c r="H71" s="34">
        <f>AVERAGE(F71:G71)</f>
        <v>55.722048890980219</v>
      </c>
    </row>
    <row r="72" spans="1:8" s="2" customFormat="1" x14ac:dyDescent="0.2">
      <c r="A72" s="2" t="s">
        <v>8</v>
      </c>
      <c r="B72" s="8">
        <f t="shared" si="31"/>
        <v>10.46423035726847</v>
      </c>
      <c r="C72" s="8">
        <f t="shared" si="32"/>
        <v>2.5845069343668712</v>
      </c>
      <c r="E72" s="31" t="s">
        <v>7</v>
      </c>
      <c r="F72" s="34">
        <v>45.868931397746785</v>
      </c>
      <c r="G72" s="34">
        <v>41.376550620248089</v>
      </c>
      <c r="H72" s="34">
        <f t="shared" ref="H72:H78" si="33">AVERAGE(F72:G72)</f>
        <v>43.622741008997437</v>
      </c>
    </row>
    <row r="73" spans="1:8" s="2" customFormat="1" x14ac:dyDescent="0.2">
      <c r="A73" s="2" t="s">
        <v>9</v>
      </c>
      <c r="B73" s="8">
        <f t="shared" si="31"/>
        <v>2.5179736753479531</v>
      </c>
      <c r="C73" s="8">
        <f t="shared" si="32"/>
        <v>12.534875934095382</v>
      </c>
      <c r="E73" s="31" t="s">
        <v>8</v>
      </c>
      <c r="F73" s="34">
        <v>59.463060343811172</v>
      </c>
      <c r="G73" s="34">
        <v>63.195222097797682</v>
      </c>
      <c r="H73" s="34">
        <f t="shared" si="33"/>
        <v>61.329141220804431</v>
      </c>
    </row>
    <row r="74" spans="1:8" s="2" customFormat="1" x14ac:dyDescent="0.2">
      <c r="A74" s="2" t="s">
        <v>10</v>
      </c>
      <c r="B74" s="8">
        <f t="shared" si="31"/>
        <v>0.72428983656040202</v>
      </c>
      <c r="C74" s="8">
        <f t="shared" si="32"/>
        <v>6.7950207471634911</v>
      </c>
      <c r="E74" s="2" t="s">
        <v>9</v>
      </c>
      <c r="F74" s="9">
        <v>58.882837625296361</v>
      </c>
      <c r="G74" s="9">
        <v>53.450824332006832</v>
      </c>
      <c r="H74" s="9">
        <f t="shared" si="33"/>
        <v>56.166830978651596</v>
      </c>
    </row>
    <row r="75" spans="1:8" s="2" customFormat="1" x14ac:dyDescent="0.2">
      <c r="A75" s="2" t="s">
        <v>11</v>
      </c>
      <c r="B75" s="8">
        <f t="shared" si="31"/>
        <v>3.1750492016228193</v>
      </c>
      <c r="C75" s="8">
        <f t="shared" si="32"/>
        <v>10.210056490189544</v>
      </c>
      <c r="E75" s="2" t="s">
        <v>10</v>
      </c>
      <c r="F75" s="9">
        <v>57.941687876420637</v>
      </c>
      <c r="G75" s="9">
        <v>47.778850796716561</v>
      </c>
      <c r="H75" s="9">
        <f t="shared" si="33"/>
        <v>52.860269336568599</v>
      </c>
    </row>
    <row r="76" spans="1:8" s="2" customFormat="1" x14ac:dyDescent="0.2">
      <c r="A76" s="2" t="s">
        <v>12</v>
      </c>
      <c r="B76" s="8">
        <f t="shared" si="31"/>
        <v>2.9793778714656369</v>
      </c>
      <c r="C76" s="8">
        <f t="shared" si="32"/>
        <v>7.5662201573239614</v>
      </c>
      <c r="E76" s="2" t="s">
        <v>11</v>
      </c>
      <c r="F76" s="9">
        <v>60.934287672275943</v>
      </c>
      <c r="G76" s="9">
        <v>55.573354692297428</v>
      </c>
      <c r="H76" s="9">
        <f t="shared" si="33"/>
        <v>58.253821182286686</v>
      </c>
    </row>
    <row r="77" spans="1:8" s="2" customFormat="1" x14ac:dyDescent="0.2">
      <c r="A77" s="2" t="s">
        <v>13</v>
      </c>
      <c r="B77" s="8">
        <f t="shared" si="31"/>
        <v>3.6519100069230745</v>
      </c>
      <c r="C77" s="8">
        <f t="shared" si="32"/>
        <v>2.4473131072937591</v>
      </c>
      <c r="E77" s="2" t="s">
        <v>12</v>
      </c>
      <c r="F77" s="9">
        <v>59.854359750330993</v>
      </c>
      <c r="G77" s="9">
        <v>57.991703269887758</v>
      </c>
      <c r="H77" s="9">
        <f t="shared" si="33"/>
        <v>58.923031510109375</v>
      </c>
    </row>
    <row r="78" spans="1:8" s="2" customFormat="1" x14ac:dyDescent="0.2">
      <c r="E78" s="2" t="s">
        <v>13</v>
      </c>
      <c r="F78" s="9">
        <v>56.797817625049873</v>
      </c>
      <c r="G78" s="9">
        <v>55.598705501618127</v>
      </c>
      <c r="H78" s="9">
        <f t="shared" si="33"/>
        <v>56.198261563334</v>
      </c>
    </row>
    <row r="79" spans="1:8" s="2" customFormat="1" x14ac:dyDescent="0.2"/>
    <row r="80" spans="1:8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results</vt:lpstr>
      <vt:lpstr>Microlite batch variability</vt:lpstr>
      <vt:lpstr>Phenocryst abundance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Amelia Bain</cp:lastModifiedBy>
  <dcterms:created xsi:type="dcterms:W3CDTF">2020-04-14T15:32:14Z</dcterms:created>
  <dcterms:modified xsi:type="dcterms:W3CDTF">2020-11-20T15:28:52Z</dcterms:modified>
</cp:coreProperties>
</file>